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0" yWindow="120" windowWidth="15195" windowHeight="8190" tabRatio="720" activeTab="0"/>
  </bookViews>
  <sheets>
    <sheet name="Charts" sheetId="1" r:id="rId1"/>
    <sheet name="DRC" sheetId="2" r:id="rId2"/>
    <sheet name="CBrazza" sheetId="3" r:id="rId3"/>
    <sheet name="CAR" sheetId="4" r:id="rId4"/>
    <sheet name="Gabon" sheetId="5" r:id="rId5"/>
    <sheet name="Cameroon" sheetId="6" r:id="rId6"/>
    <sheet name="GBissau" sheetId="7" r:id="rId7"/>
    <sheet name="Guinea" sheetId="8" r:id="rId8"/>
    <sheet name="SLeone" sheetId="9" r:id="rId9"/>
    <sheet name="Liberia" sheetId="10" r:id="rId10"/>
    <sheet name="IvoryC" sheetId="11" r:id="rId11"/>
  </sheets>
  <definedNames/>
  <calcPr fullCalcOnLoad="1"/>
</workbook>
</file>

<file path=xl/comments10.xml><?xml version="1.0" encoding="utf-8"?>
<comments xmlns="http://schemas.openxmlformats.org/spreadsheetml/2006/main">
  <authors>
    <author>Jo?o Sousa</author>
    <author>Windows User</author>
    <author>Joao Dinis de Sousa</author>
  </authors>
  <commentList>
    <comment ref="B52" authorId="0">
      <text>
        <r>
          <rPr>
            <sz val="8"/>
            <rFont val="Tahoma"/>
            <family val="0"/>
          </rPr>
          <t>Using a 1.01665 annual growth factor for this group, which can be derived from their numbers in 1926 and in 1958.</t>
        </r>
      </text>
    </comment>
    <comment ref="B53" authorId="1">
      <text>
        <r>
          <rPr>
            <sz val="9"/>
            <rFont val="Tahoma"/>
            <family val="0"/>
          </rPr>
          <t>This estimate puts them at 40% of the non-Westernized, in line of this percentage being 35% in 1948 and 30% in 1958.</t>
        </r>
      </text>
    </comment>
    <comment ref="A23" authorId="1">
      <text>
        <r>
          <rPr>
            <sz val="9"/>
            <rFont val="Tahoma"/>
            <family val="0"/>
          </rPr>
          <t xml:space="preserve">Or Americo-Liberians </t>
        </r>
        <r>
          <rPr>
            <i/>
            <sz val="9"/>
            <rFont val="Tahoma"/>
            <family val="2"/>
          </rPr>
          <t>sensu latu</t>
        </r>
        <r>
          <rPr>
            <sz val="9"/>
            <rFont val="Tahoma"/>
            <family val="0"/>
          </rPr>
          <t>, that is, including people with only some distant A-L ancestors but fully Westernized, Christian, and not only claiming to be an A-L. On p.35-36 Fraenkel (1964) says that the "pure A-L" were a small minority within these.</t>
        </r>
      </text>
    </comment>
    <comment ref="A52" authorId="1">
      <text>
        <r>
          <rPr>
            <sz val="9"/>
            <rFont val="Tahoma"/>
            <family val="0"/>
          </rPr>
          <t xml:space="preserve">Or Americo-Liberians </t>
        </r>
        <r>
          <rPr>
            <i/>
            <sz val="9"/>
            <rFont val="Tahoma"/>
            <family val="2"/>
          </rPr>
          <t>sensu latu</t>
        </r>
        <r>
          <rPr>
            <sz val="9"/>
            <rFont val="Tahoma"/>
            <family val="0"/>
          </rPr>
          <t>, that is, including people with only some distant A-L ancestors but fully Westernized, Christian, and not only claiming to be an A-L. On p.35-36 Fraenkel (1964) says that the "pure A-L" were a small minority within these.</t>
        </r>
      </text>
    </comment>
    <comment ref="H52" authorId="2">
      <text>
        <r>
          <rPr>
            <sz val="9"/>
            <rFont val="Tahoma"/>
            <family val="0"/>
          </rPr>
          <t xml:space="preserve">We assume that they were already universally circumcised in early 20th century, based on the following lines of evidence:
1) Circumcision is now universal among Americo-Liberians;
2) About 1/3 or more of the liberated slaves were recaptured in sea, and came from Congolese areas, and these brough circumcision with them;
3) The Americo-Liberians </t>
        </r>
        <r>
          <rPr>
            <i/>
            <sz val="9"/>
            <rFont val="Tahoma"/>
            <family val="2"/>
          </rPr>
          <t>sensu strictu</t>
        </r>
        <r>
          <rPr>
            <sz val="9"/>
            <rFont val="Tahoma"/>
            <family val="0"/>
          </rPr>
          <t xml:space="preserve"> miscegenated with many native tribes since early 19th century, experiencing a pressure to circumcise their children from their wives and family; most A-Ls of the 1950s were already from mixed heritage (Fraenkel 1964);
4) The Sierra-Leonan Creoles are culturally very similar (liberated slaves, English-speaking, and Protestant) and were circumcised (Porter 1953);
5) Jensen (1933) writes that, in Liberia, circumcision is done almost always after birth; he should be referring to the Westernized, because the others have bush school initiations;
6) According to a personal communication from Elwood Dunn (Univ of the South, Sewanee, USA) he and his known peers of American_liberian mixed descent were all circumcised in childhood in the 1940s-1950s;
7) According to a personal communication by Joseph Guannu (Cuttington Peace Institute, Liberia), circumcision is an old practice in the Americo-Liberians.</t>
        </r>
      </text>
    </comment>
    <comment ref="H23" authorId="2">
      <text>
        <r>
          <rPr>
            <sz val="9"/>
            <rFont val="Tahoma"/>
            <family val="0"/>
          </rPr>
          <t xml:space="preserve">We assume that they were already universally circumcised in early 20th century, based on the following lines of evidence:
1) Circumcision is now universal among Americo-Liberians;
2) About 1/3 or more of the liberated slaves were recaptured in sea, and came from Congolese areas, and these brough circumcision with them;
3) The Americo-Liberians </t>
        </r>
        <r>
          <rPr>
            <i/>
            <sz val="9"/>
            <rFont val="Tahoma"/>
            <family val="2"/>
          </rPr>
          <t>sensu strictu</t>
        </r>
        <r>
          <rPr>
            <sz val="9"/>
            <rFont val="Tahoma"/>
            <family val="0"/>
          </rPr>
          <t xml:space="preserve"> miscegenated with many native tribes since early 19th century, experiencing a pressure to circumcise their children from their wives and family; most A-Ls of the 1950s were already from mixed heritage (Fraenkel 1964);
4) The Sierra-Leonan Creoles are culturally very similar (liberated slaves, English-speaking, and Protestant) and were circumcised (Porter 1953);
5) Jensen (1933) writes that, in Liberia, circumcision is done almost always after birth; he should be referring to the Westernized, because the others have bush school initiations;
6) According to a personal communication from Elwood Dunn (Univ of the South, Sewanee, USA) he and his known peers of American_liberian mixed descent were all circumcised in childhood in the 1940s-1950s;
7) According to a personal communication by Joseph Guannu (Cuttington Peace Institute, Liberia), circumcision is an old practice in the Americo-Liberians.</t>
        </r>
      </text>
    </comment>
  </commentList>
</comments>
</file>

<file path=xl/comments11.xml><?xml version="1.0" encoding="utf-8"?>
<comments xmlns="http://schemas.openxmlformats.org/spreadsheetml/2006/main">
  <authors>
    <author>Joao Dinis de Sousa</author>
  </authors>
  <commentList>
    <comment ref="L23" authorId="0">
      <text>
        <r>
          <rPr>
            <sz val="9"/>
            <rFont val="Tahoma"/>
            <family val="0"/>
          </rPr>
          <t>We assume a late adoption of circumcision by the Ebrié and the other Lagunaire and Akan peoples of Côte d'Ivoire based on a personal communication from Marc Augé (EHESS, France) who worked among them in the 1950s. Many, however, were adopting it in mid 20th century, as can be inferred by Niangoran-Bouah (1964) and by the modern DHS surveys.</t>
        </r>
      </text>
    </comment>
    <comment ref="J81" authorId="0">
      <text>
        <r>
          <rPr>
            <sz val="9"/>
            <rFont val="Tahoma"/>
            <family val="0"/>
          </rPr>
          <t>A very late adoption and/or slow rate of generalization of circumcision for the Lobi, Birifor, and Kulango is supported by the DHS survey of Burkina-Faso, which shows these groups have 20-30% uncircumcised men even today.</t>
        </r>
      </text>
    </comment>
    <comment ref="L34" authorId="0">
      <text>
        <r>
          <rPr>
            <sz val="9"/>
            <rFont val="Tahoma"/>
            <family val="0"/>
          </rPr>
          <t>A very late adoption and/or slow rate of generalization of circumcision for the Lobi, Birifor, and Kulango is supported by the DHS survey of Burkina-Faso, which shows these groups have 20-30% uncircumcised men even today.</t>
        </r>
      </text>
    </comment>
    <comment ref="L111" authorId="0">
      <text>
        <r>
          <rPr>
            <sz val="9"/>
            <rFont val="Tahoma"/>
            <family val="0"/>
          </rPr>
          <t>A very late adoption and/or slow rate of generalization of circumcision for the Lobi, Birifor, and Kulango is supported by the DHS survey of Burkina-Faso, which shows these groups have 20-30% uncircumcised men even today. However, many of these Burkinese were also Mossi, who were already circumcised in early 20th century.</t>
        </r>
      </text>
    </comment>
    <comment ref="L36" authorId="0">
      <text>
        <r>
          <rPr>
            <sz val="9"/>
            <rFont val="Tahoma"/>
            <family val="0"/>
          </rPr>
          <t>A very late adoption and/or slow rate of generalization of circumcision for the Lobi, Birifor, and Kulango is supported by the DHS survey of Burkina-Faso, which shows these groups have 20-30% uncircumcised men even today. However, many of these Burkinese were also Mossi, who were already circumcised in early 20th century.</t>
        </r>
      </text>
    </comment>
    <comment ref="J68" authorId="0">
      <text>
        <r>
          <rPr>
            <sz val="9"/>
            <rFont val="Tahoma"/>
            <family val="0"/>
          </rPr>
          <t>We assume a late adoption of circumcision by the Ebrié and the other Lagunaire and Akan peoples of Côte d'Ivoire based on a personal communication from Marc Augé (EHESS, France) who worked among them in the 1950s. Many, however, were adopting it in mid 20th century, as can be inferred by Niangoran-Bouah (1964) and by the modern DHS surveys.</t>
        </r>
      </text>
    </comment>
    <comment ref="L107" authorId="0">
      <text>
        <r>
          <rPr>
            <sz val="9"/>
            <rFont val="Tahoma"/>
            <family val="0"/>
          </rPr>
          <t>We assume a late adoption of circumcision by the Ebrié and the other Lagunaire and Akan peoples of Côte d'Ivoire based on a personal communication from Marc Augé (EHESS, France) who worked among them in the 1950s. Many, however, were adopting it in mid 20th century, as can be inferred by Niangoran-Bouah (1964) and by the modern DHS surveys.</t>
        </r>
      </text>
    </comment>
    <comment ref="J134" authorId="0">
      <text>
        <r>
          <rPr>
            <sz val="9"/>
            <rFont val="Tahoma"/>
            <family val="0"/>
          </rPr>
          <t>We assume a late adoption of circumcision by the Ebrié and the other Lagunaire and Akan peoples of Côte d'Ivoire based on a personal communication from Marc Augé (EHESS, France) who worked among them in the 1950s. Many, however, were adopting it in mid 20th century, as can be inferred by Niangoran-Bouah (1964) and by the modern DHS surveys.</t>
        </r>
      </text>
    </comment>
  </commentList>
</comments>
</file>

<file path=xl/comments2.xml><?xml version="1.0" encoding="utf-8"?>
<comments xmlns="http://schemas.openxmlformats.org/spreadsheetml/2006/main">
  <authors>
    <author>Jo?o Sousa</author>
    <author>Windows User</author>
  </authors>
  <commentList>
    <comment ref="A106" authorId="0">
      <text>
        <r>
          <rPr>
            <sz val="8"/>
            <rFont val="Tahoma"/>
            <family val="0"/>
          </rPr>
          <t>Includes the Lomotwa, Shila (W of lake Nweru) and Bemba (W and SW of lake Mweru).</t>
        </r>
      </text>
    </comment>
    <comment ref="A105" authorId="0">
      <text>
        <r>
          <rPr>
            <sz val="8"/>
            <rFont val="Tahoma"/>
            <family val="0"/>
          </rPr>
          <t>Include here the Aushi, Ngoma, Lumbwe, Nwenshi, and Bemba nearby them.</t>
        </r>
      </text>
    </comment>
    <comment ref="A102" authorId="1">
      <text>
        <r>
          <rPr>
            <sz val="9"/>
            <rFont val="Tahoma"/>
            <family val="0"/>
          </rPr>
          <t>Includes also the Ruund and other E Lunda</t>
        </r>
      </text>
    </comment>
    <comment ref="N81" authorId="1">
      <text>
        <r>
          <rPr>
            <sz val="9"/>
            <rFont val="Tahoma"/>
            <family val="0"/>
          </rPr>
          <t>We assume this Adamawa-Ubangi group acquired in the same wave as others of its region (Haut Uele), intermediate between the Eastern Zande (1907) and the Abarambo (1880).</t>
        </r>
      </text>
    </comment>
    <comment ref="A340" authorId="1">
      <text>
        <r>
          <rPr>
            <sz val="9"/>
            <rFont val="Tahoma"/>
            <family val="0"/>
          </rPr>
          <t>We assume equal parts of Songola, Tetela, Kutshu, and Songye.</t>
        </r>
      </text>
    </comment>
    <comment ref="A341" authorId="1">
      <text>
        <r>
          <rPr>
            <sz val="9"/>
            <rFont val="Tahoma"/>
            <family val="0"/>
          </rPr>
          <t>We assume all are Luba-Kasai.</t>
        </r>
      </text>
    </comment>
    <comment ref="P26" authorId="1">
      <text>
        <r>
          <rPr>
            <sz val="9"/>
            <rFont val="Tahoma"/>
            <family val="0"/>
          </rPr>
          <t xml:space="preserve">We assume that the majority should be circumcised up to puberty because:
1) Many sources say that all Kongo in general are circumcised up to puberty; Weeks (1914) says this explicitly about the Kongo-San Salvador;
2) Bentley (1887) says expressly that circumcision is "by no means universal" among them and the coastal Kongo;
3) Frazer (1938) writes that the Kongo kingdom had forced abandonment of circumcision under Catholic influence (before the 19th century);
4) The Kongo-San-Salvador, having many generations of contacts with Christianity and Europeans are likely to have many uncircumcised among them as stated in general about coastal groups in this situation (Cureau 1915; Jensen 1933; Frazer 1938); 
</t>
        </r>
      </text>
    </comment>
  </commentList>
</comments>
</file>

<file path=xl/comments3.xml><?xml version="1.0" encoding="utf-8"?>
<comments xmlns="http://schemas.openxmlformats.org/spreadsheetml/2006/main">
  <authors>
    <author>Jo?o Sousa</author>
    <author>Joao Dinis de Sousa</author>
    <author>Windows User</author>
  </authors>
  <commentList>
    <comment ref="L87" authorId="0">
      <text>
        <r>
          <rPr>
            <sz val="9"/>
            <rFont val="Arial"/>
            <family val="2"/>
          </rPr>
          <t>Assumes half of the Angolans are from the San Salvador or Luanda areas.</t>
        </r>
      </text>
    </comment>
    <comment ref="A87" authorId="0">
      <text>
        <r>
          <rPr>
            <sz val="8"/>
            <rFont val="Tahoma"/>
            <family val="0"/>
          </rPr>
          <t>It likely  included many from the San Salvador and Luanda areas.</t>
        </r>
      </text>
    </comment>
    <comment ref="L63" authorId="0">
      <text>
        <r>
          <rPr>
            <sz val="9"/>
            <rFont val="Arial"/>
            <family val="2"/>
          </rPr>
          <t>Excepting in a small region with around 5% of the Bateke area (Courboin 1904; Frobenius 1929) where circumcision was not practiced in early 20th century. We thus estimate 92-94% for all Bateke of French Congo.</t>
        </r>
      </text>
    </comment>
    <comment ref="L62" authorId="1">
      <text>
        <r>
          <rPr>
            <sz val="9"/>
            <rFont val="Tahoma"/>
            <family val="0"/>
          </rPr>
          <t>They were traditionally uncircumcised, but they adopted circumcision when they moved into cities where the majority practiced it (Lebeuf 1954).</t>
        </r>
      </text>
    </comment>
    <comment ref="L65" authorId="2">
      <text>
        <r>
          <rPr>
            <sz val="9"/>
            <rFont val="Tahoma"/>
            <family val="0"/>
          </rPr>
          <t>We assume that the majority should be circumcised up to puberty because:
1) Several sources say the Loango/Vili in general are circumcised up to puberty (Jensen 1933; Hewlett);
2) The Loango/Vili, having many generations of contacts with Christianity and Europeans are likely to have many uncircumcised among them as stated in general about coastal groups in this situation (Cureau 1915; Jensen 1933; Frazer 1938); for example, the Vili of Mayumbe were not circumcised (Bruel 1935);
3) Other coastal groups of the area with long standing contacts with Europeans had abandoned circumcision at least partly: the Vili of Mayumbe (Bruel 1935), and the Batanga (Jensen 1933; Frobenius 1929).</t>
        </r>
      </text>
    </comment>
  </commentList>
</comments>
</file>

<file path=xl/comments4.xml><?xml version="1.0" encoding="utf-8"?>
<comments xmlns="http://schemas.openxmlformats.org/spreadsheetml/2006/main">
  <authors>
    <author>Windows User</author>
    <author>Joao Dinis de Sousa</author>
  </authors>
  <commentList>
    <comment ref="J64" authorId="0">
      <text>
        <r>
          <rPr>
            <sz val="9"/>
            <rFont val="Tahoma"/>
            <family val="0"/>
          </rPr>
          <t>Average of the dates of the Banziri and the Lambassi</t>
        </r>
      </text>
    </comment>
    <comment ref="J68" authorId="0">
      <text>
        <r>
          <rPr>
            <sz val="9"/>
            <rFont val="Tahoma"/>
            <family val="0"/>
          </rPr>
          <t>Average between Z-Abandiya and Z-Avungara</t>
        </r>
      </text>
    </comment>
    <comment ref="F32" authorId="0">
      <text>
        <r>
          <rPr>
            <sz val="9"/>
            <rFont val="Tahoma"/>
            <family val="0"/>
          </rPr>
          <t>Average between Z-Abandiyia, Z-Avungara and Nzakara.</t>
        </r>
      </text>
    </comment>
    <comment ref="L73" authorId="1">
      <text>
        <r>
          <rPr>
            <sz val="9"/>
            <rFont val="Tahoma"/>
            <family val="0"/>
          </rPr>
          <t>They were traditionally uncircumcised, but they adopted circumcision when they moved into cities where the majority practiced it (Lebeuf 1954).</t>
        </r>
      </text>
    </comment>
  </commentList>
</comments>
</file>

<file path=xl/comments5.xml><?xml version="1.0" encoding="utf-8"?>
<comments xmlns="http://schemas.openxmlformats.org/spreadsheetml/2006/main">
  <authors>
    <author>Windows User</author>
  </authors>
  <commentList>
    <comment ref="J57" authorId="0">
      <text>
        <r>
          <rPr>
            <sz val="9"/>
            <rFont val="Tahoma"/>
            <family val="0"/>
          </rPr>
          <t>Average between the adoption times of the Z-Abandiyia and Z-Avungara</t>
        </r>
      </text>
    </comment>
    <comment ref="A32" authorId="0">
      <text>
        <r>
          <rPr>
            <sz val="9"/>
            <rFont val="Tahoma"/>
            <family val="0"/>
          </rPr>
          <t>Mostly from the south</t>
        </r>
      </text>
    </comment>
    <comment ref="A55" authorId="0">
      <text>
        <r>
          <rPr>
            <sz val="9"/>
            <rFont val="Tahoma"/>
            <family val="0"/>
          </rPr>
          <t>They could be from São Tomé, Cabinda, and N Angola</t>
        </r>
      </text>
    </comment>
    <comment ref="L24" authorId="0">
      <text>
        <r>
          <rPr>
            <sz val="9"/>
            <rFont val="Tahoma"/>
            <family val="0"/>
          </rPr>
          <t>We assume that the majority should be circumcised up to puberty because:
1) Several sources say the Mpongwe in general are circumcised up to puberty (Jensen 1933; Raponda-Walker 1962; Gray 1999);
2) The Mpongwe, having many generations of contacts with Christianity and Europeans are likely to have many uncircumcised among them as stated in general about coastal groups in this situation (Cureau 1915; Jensen 1933; Frazer 1938);
3) Other coastal groups of the area with long standing contacts with Europeans had abandoned circumcision at least partly: the Vili of Mayumbe (Bruel 1935), and the Batanga (Jensen 1933; Frobenius 1929).</t>
        </r>
      </text>
    </comment>
  </commentList>
</comments>
</file>

<file path=xl/comments6.xml><?xml version="1.0" encoding="utf-8"?>
<comments xmlns="http://schemas.openxmlformats.org/spreadsheetml/2006/main">
  <authors>
    <author>Windows User</author>
  </authors>
  <commentList>
    <comment ref="A100" authorId="0">
      <text>
        <r>
          <rPr>
            <sz val="9"/>
            <rFont val="Tahoma"/>
            <family val="0"/>
          </rPr>
          <t>Distributed in the same proportions as they have in the 1935 table (calculated as proportions among the non-Duala, non-Bassa, non-Bakoko).</t>
        </r>
      </text>
    </comment>
    <comment ref="H96" authorId="0">
      <text>
        <r>
          <rPr>
            <sz val="9"/>
            <rFont val="Tahoma"/>
            <family val="0"/>
          </rPr>
          <t xml:space="preserve">We assume that the majority should be circumcised up to puberty because:
1) Several sources say the Duala in general are circumcised up to puberty (Jensen 1933; Bureau 1996; Gray 1999; Bekombo-Priso 2009);
2) However, Frobenius (1929) suggests that several Duala subgroups (all the Malimba, and part of the Wouri, but not the Mungo and Bodiman) had uncommon circumcision;
3) The Duala, having many generations of contacts with Christianity and Europeans are likely to have many uncircumcised among them as stated in general about coastal groups in this situation (Cureau 1915; Jensen 1933; Frazer 1938);
4) By 1918, the main initiations had been almost completelly abandoned by missionary pressure (Bureau 1996; Bekombo-Priso 2009), which would probably cause a decline in circumcision. </t>
        </r>
      </text>
    </comment>
    <comment ref="H55" authorId="0">
      <text>
        <r>
          <rPr>
            <sz val="9"/>
            <rFont val="Tahoma"/>
            <family val="0"/>
          </rPr>
          <t xml:space="preserve">We assume that the majority should be circumcised up to puberty because:
1) Several sources say the Duala in general are circumcised up to puberty (Jensen 1933; Bureau 1996; Gray 1999; Bekombo-Priso 2009);
2) However, Frobenius (1929) suggests that several Duala subgroups (all the Malimba, and part of the Wouri, but not the Mungo and Bodiman) had uncommon circumcision;
3) The Duala, having many generations of contacts with Christianity and Europeans are likely to have many uncircumcised among them as stated in general about coastal groups in this situation (Cureau 1915; Jensen 1933; Frazer 1938);
4) By 1918, the main initiations had been almost completelly abandoned by missionary pressure (Bureau 1996; Bekombo-Priso 2009), which would probably cause a decline in circumcision. </t>
        </r>
      </text>
    </comment>
    <comment ref="H23" authorId="0">
      <text>
        <r>
          <rPr>
            <sz val="9"/>
            <rFont val="Tahoma"/>
            <family val="0"/>
          </rPr>
          <t xml:space="preserve">We assume that the majority should be circumcised up to puberty because:
1) Several sources say the Duala in general are circumcised up to puberty (Jensen 1933; Bureau 1996; Gray 1999; Bekombo-Priso 2009);
2) However, Frobenius (1929) suggests that several Duala subgroups (all the Malimba, and part of the Wouri, but not the Mungo and Bodiman) had uncommon circumcision;
3) The Duala, having many generations of contacts with Christianity and Europeans are likely to have many uncircumcised among them as stated in general about coastal groups in this situation (Cureau 1915; Jensen 1933; Frazer 1938);
4) By 1918, the main initiations had been almost completelly abandoned by missionary pressure (Bureau 1996; Bekombo-Priso 2009), which would probably cause a decline in circumcision. </t>
        </r>
      </text>
    </comment>
    <comment ref="H105" authorId="0">
      <text>
        <r>
          <rPr>
            <sz val="9"/>
            <rFont val="Tahoma"/>
            <family val="0"/>
          </rPr>
          <t xml:space="preserve">We assume that the majority should be circumcised up to puberty because:
1) Several sources say the Batanga and Ngumba in general are circumcised up to puberty (Gray 1999; Hewlett);
2) However, Frobenius (1929) suggests that most Batanga had uncommon circumcision; and Jensen (1933) cites a source saying that circumcision was uncommon because of European influence;
3) The Batanga, having many generations of contacts with Christianity and Europeans are likely to have many uncircumcised among them as stated in general about coastal groups in this situation (Cureau 1915; Jensen 1933; Frazer 1938).
</t>
        </r>
      </text>
    </comment>
    <comment ref="H62" authorId="0">
      <text>
        <r>
          <rPr>
            <sz val="9"/>
            <rFont val="Tahoma"/>
            <family val="0"/>
          </rPr>
          <t xml:space="preserve">We assume that the majority should be circumcised up to puberty because:
1) Several sources say the Batanga and Ngumba in general are circumcised up to puberty (Gray 1999; Hewlett);
2) However, Frobenius (1929) suggests that most Batanga had uncommon circumcision; and Jensen (1933) cites a source saying that circumcision was uncommon because of European influence;
3) The Batanga, having many generations of contacts with Christianity and Europeans are likely to have many uncircumcised among them as stated in general about coastal groups in this situation (Cureau 1915; Jensen 1933; Frazer 1938).
</t>
        </r>
      </text>
    </comment>
  </commentList>
</comments>
</file>

<file path=xl/comments7.xml><?xml version="1.0" encoding="utf-8"?>
<comments xmlns="http://schemas.openxmlformats.org/spreadsheetml/2006/main">
  <authors>
    <author>Jo?o Sousa</author>
    <author>Joao Dinis de Sousa</author>
  </authors>
  <commentList>
    <comment ref="J53" authorId="0">
      <text>
        <r>
          <rPr>
            <sz val="9"/>
            <rFont val="Arial"/>
            <family val="2"/>
          </rPr>
          <t>Full circumcision takes place only at 40 years old; in young adulthood only incisions are made (Niang 2007). Circumcisions in old age (20-40) were also common among other tribes of the North and islands (Felupe, Bayote, Diola, Bijagós) (Carvalho Viegas 1936; Carreira 1961c; Machado 1972)..</t>
        </r>
      </text>
    </comment>
    <comment ref="H24" authorId="0">
      <text>
        <r>
          <rPr>
            <sz val="9"/>
            <rFont val="Arial"/>
            <family val="2"/>
          </rPr>
          <t>Assumes that 2/3 perform circumcision at puberty, and the remaining imitate the Balanta customs, a trend noted by Carreira (1962).</t>
        </r>
      </text>
    </comment>
    <comment ref="H25" authorId="0">
      <text>
        <r>
          <rPr>
            <sz val="9"/>
            <rFont val="Arial"/>
            <family val="2"/>
          </rPr>
          <t>Full circumcision takes place only at 40 years old; in young adulthood only incisions are made (Niang 2007). Circumcisions in old age (20-40) were also common among other tribes of the North and islands (Felupe, Bayote, Diola, Bijagós) (Carvalho Viegas 1936; Carreira 1961c; Machado 1972)..</t>
        </r>
      </text>
    </comment>
    <comment ref="J52" authorId="0">
      <text>
        <r>
          <rPr>
            <sz val="9"/>
            <rFont val="Arial"/>
            <family val="2"/>
          </rPr>
          <t>Assumes that 2/3 perform circumcision at puberty, and the remaining imitate the Balanta customs, a trend noted by Carreira (1962).</t>
        </r>
      </text>
    </comment>
    <comment ref="J51" authorId="1">
      <text>
        <r>
          <rPr>
            <sz val="9"/>
            <rFont val="Tahoma"/>
            <family val="0"/>
          </rPr>
          <t>Carvalho Viegas (1936) and other authors note that many of these were Cape-Verdians, and the latter are not circumcised (Drain et al 2006). Even the remaining "Westernized" and "Mullato" would have many uncircumcised among them (Cureau 1915; Berlin 1996).</t>
        </r>
      </text>
    </comment>
    <comment ref="H23" authorId="1">
      <text>
        <r>
          <rPr>
            <sz val="9"/>
            <rFont val="Tahoma"/>
            <family val="0"/>
          </rPr>
          <t>Carvalho Viegas (1936) and other authors note that many of these were Cape-Verdians, and the latter are not circumcised (Drain et al 2006). Even the remaining "Westernized" and "Mullato" would have many uncircumcised among them (Cureau 1915; Berlin 1996).</t>
        </r>
      </text>
    </comment>
  </commentList>
</comments>
</file>

<file path=xl/comments8.xml><?xml version="1.0" encoding="utf-8"?>
<comments xmlns="http://schemas.openxmlformats.org/spreadsheetml/2006/main">
  <authors>
    <author>Windows User</author>
  </authors>
  <commentList>
    <comment ref="A56" authorId="0">
      <text>
        <r>
          <rPr>
            <sz val="9"/>
            <rFont val="Tahoma"/>
            <family val="0"/>
          </rPr>
          <t>The Somono are a Bambara subgroup from Mali. The Lebu are a Wolof subgroup. All the others are foreign too.</t>
        </r>
      </text>
    </comment>
    <comment ref="A54" authorId="0">
      <text>
        <r>
          <rPr>
            <sz val="9"/>
            <rFont val="Tahoma"/>
            <family val="0"/>
          </rPr>
          <t>Part of them were Wassulunke, a Malinke groups in which circumcision was far from general (Frobenius 1929).</t>
        </r>
      </text>
    </comment>
  </commentList>
</comments>
</file>

<file path=xl/sharedStrings.xml><?xml version="1.0" encoding="utf-8"?>
<sst xmlns="http://schemas.openxmlformats.org/spreadsheetml/2006/main" count="2917" uniqueCount="918">
  <si>
    <t>Torday1906, Baumann1962, Hoover1978, Frobenius1929</t>
  </si>
  <si>
    <t>Burssens1958, Moiya1983, Gray1999</t>
  </si>
  <si>
    <t>Tessmann1913, Dugast1954, Dugast1955, Frobenius1929, Gray1999, Hewlett</t>
  </si>
  <si>
    <t>Bruel1910, Koch1913, Bruel1935, Frobenius1929</t>
  </si>
  <si>
    <t>Zaborowski1896, CarvalhoViegas1936, Delafosse1930, Frazer1938, Quintino1969, Niang2007, Gray1999, Hewlett</t>
  </si>
  <si>
    <t>Zaborowski1896, Delafosse1930, CarvalhoViegas1936, Frazer1938, Quintino1969, Niang2007, Gray1999, Hewlett</t>
  </si>
  <si>
    <t>Basis of circumcision estimate (see explanation in the Charts sheet)</t>
  </si>
  <si>
    <t>Kinshasa 1919</t>
  </si>
  <si>
    <t>Douala 1925</t>
  </si>
  <si>
    <t>Brazzaville 1919</t>
  </si>
  <si>
    <t>Circ. Class</t>
  </si>
  <si>
    <r>
      <t>Table CAR-1.</t>
    </r>
    <r>
      <rPr>
        <sz val="10"/>
        <rFont val="Arial"/>
        <family val="0"/>
      </rPr>
      <t xml:space="preserve"> Circumcision rate estimates for Bangui in 1960. The distribution of inhabitants by ethnic/regional origins is presented in Soret (1961), p.68. The bottom of the table shows the distribution of people by the defined circumcision classes CL1 and CL2 (the latter used in the charts of the Charts sheet). See additional explanations in the Charts sheet.</t>
    </r>
  </si>
  <si>
    <t>gray</t>
  </si>
  <si>
    <r>
      <t>Table CAR-2.</t>
    </r>
    <r>
      <rPr>
        <sz val="10"/>
        <rFont val="Arial"/>
        <family val="0"/>
      </rPr>
      <t xml:space="preserve"> Circumcision rate estimates for Bangui in 1931 and 1949. For the year 1949, the distribution of inhabitants by ethnic/regional origins is presented in Lebeuf (1954), p.25. For the year 1931, we assume a distribution proportional to the 1949 one. The bottom of the table shows the distribution of people by the defined circumcision classes CL1 and CL2 (the latter used in the charts of the Charts sheet). See additional explanations in the Charts sheet.</t>
    </r>
  </si>
  <si>
    <r>
      <t>Table Gabon-1.</t>
    </r>
    <r>
      <rPr>
        <sz val="10"/>
        <rFont val="Arial"/>
        <family val="0"/>
      </rPr>
      <t xml:space="preserve"> Circumcision rate estimates for Libreville in 1934 and 1953. For the year 1953, the distribution of inhabitants by ethnic/regional origins is presented in Lasserre (1958), p.206. For the year 1934, we assume a distribution proportional to the 1949 one. The bottom of the table shows the distribution of people by the defined circumcision classes CL1 and CL2 (the latter used in the charts of the Charts sheet). See additional explanations in the Charts sheet.</t>
    </r>
  </si>
  <si>
    <r>
      <t>Table Cameroon-1.</t>
    </r>
    <r>
      <rPr>
        <sz val="10"/>
        <rFont val="Arial"/>
        <family val="0"/>
      </rPr>
      <t xml:space="preserve"> Circumcision rate estimates for Douala in 1965. The distribution of inhabitants by ethnic/regional origins is presented in Mainet (1985), p.81. The bottom of the table shows the distribution of people by the defined circumcision classes CL1 and CL2 (the latter used in the charts of the Charts sheet). See additional explanations in the Charts sheet.</t>
    </r>
  </si>
  <si>
    <r>
      <t>Table Cameroon-2.</t>
    </r>
    <r>
      <rPr>
        <sz val="10"/>
        <rFont val="Arial"/>
        <family val="0"/>
      </rPr>
      <t xml:space="preserve"> Circumcision rate estimates for Douala in 1935. The distribution of inhabitants by ethnic/regional origins is presented in Service de Santé (1935). The bottom of the table shows the distribution of people by the defined circumcision classes CL1 and CL2 (the latter used in the charts of the Charts sheet). See additional explanations in the Charts sheet.</t>
    </r>
  </si>
  <si>
    <r>
      <t>Table Cameroon-3.</t>
    </r>
    <r>
      <rPr>
        <sz val="10"/>
        <rFont val="Arial"/>
        <family val="0"/>
      </rPr>
      <t xml:space="preserve"> Circumcision rate estimates for Douala in 1925. We obtained reliable counts of the groups Duala, "Bassa+Bakoko", and "Others" in Gouellain (1975, p.286) and Mainet (1985, p.61). We assumed the Bassa and Bakoko had the same proportions relative to one another as in the 1935 survey (Table Cameroon-2). We assumed the remaining groups had the same proportions, among themselves and within the city population (excluding the Duala, Bassa, and Bakoko), as they have in the 1935 survey (Table Cameroon-2). The bottom of the table shows the distribution of people by the defined circumcision classes CL1 and CL2 (the latter used in the charts of the Charts sheet). See additional explanations in the Charts sheet.</t>
    </r>
  </si>
  <si>
    <r>
      <t>Table Cameroon-4.</t>
    </r>
    <r>
      <rPr>
        <sz val="10"/>
        <rFont val="Arial"/>
        <family val="0"/>
      </rPr>
      <t xml:space="preserve"> Circumcision rate estimates for Yaoundé in 1957. The distribution of inhabitants by ethnic/regional origins is presented in Roubaud (1994), p.9. The bottom of the table shows the distribution of people by the defined circumcision classes CL1 and CL2 (the latter used in the charts of the Charts sheet). See additional explanations in the Charts sheet.</t>
    </r>
  </si>
  <si>
    <t>Tables of ethnic composition of cities and estimates of circumcision classes and circumcision rates</t>
  </si>
  <si>
    <t>Circumcision rate (weighted average) - Scen. 1</t>
  </si>
  <si>
    <t>«   - Scen. 2</t>
  </si>
  <si>
    <t>«   - Scen. 3</t>
  </si>
  <si>
    <r>
      <t>Table GBissau-1.</t>
    </r>
    <r>
      <rPr>
        <sz val="10"/>
        <rFont val="Arial"/>
        <family val="0"/>
      </rPr>
      <t xml:space="preserve"> Circumcision rate estimates for Bissau in 1950. The distribution of inhabitants by ethnic/regional origins is presented in Carreira (1962), p.282, and in Junta de Investigação do Ultramar (1950). The bottom of the table shows the distribution of people by the defined circumcision classes CL1 and CL2 (the latter used in the charts of the Charts sheet). See additional explanations in the Charts sheet.</t>
    </r>
  </si>
  <si>
    <r>
      <t>Table Guinea-1.</t>
    </r>
    <r>
      <rPr>
        <sz val="10"/>
        <rFont val="Arial"/>
        <family val="0"/>
      </rPr>
      <t xml:space="preserve"> Circumcision rate estimates for Conakry in 1950. The distribution of inhabitants by ethnic/regional origins is presented in Goerg (1990), p.96. The bottom of the table shows the distribution of people by the defined circumcision classes CL1 and CL2 (the latter used in the charts of the Charts sheet). See additional explanations in the Charts sheet.</t>
    </r>
  </si>
  <si>
    <r>
      <t>Table Guinea-2.</t>
    </r>
    <r>
      <rPr>
        <sz val="10"/>
        <rFont val="Arial"/>
        <family val="0"/>
      </rPr>
      <t xml:space="preserve"> Circumcision rate estimates for Conakry in 1936. The distribution of inhabitants by ethnic/regional origins is presented in Goerg (2006), p.11, and Goerg (1990), p.90. The bottom of the table shows the distribution of people by the defined circumcision classes CL1 and CL2 (the latter used in the charts of the Charts sheet). See additional explanations in the Charts sheet.</t>
    </r>
  </si>
  <si>
    <r>
      <t>Table GBissau-2.</t>
    </r>
    <r>
      <rPr>
        <sz val="10"/>
        <rFont val="Arial"/>
        <family val="0"/>
      </rPr>
      <t xml:space="preserve"> Circumcision rate estimates for Bissau in 1940. We obtained reliable counts of the groups "Mullato" and "Other Africans" in Província da Guiné (1940). We defined three scenarios for the relative proportions of the remaining groups. In scenario 1, we assumed the remaining groups had the same proportions as they have in the 1950 census (excluding the Westernized Africans) (Table GBissau-1). In scenarios 2 and 3, we varied some of the proportions realistically, taking into account statements about the city's history from the existing literature. The bottom of the table shows the distribution of people (of scenario 1) by the defined circumcision classes CL1 and CL2 (the latter used in the charts of the Charts sheet). See additional explanations in the Charts sheet.</t>
    </r>
  </si>
  <si>
    <r>
      <t>Table SLeone-1.</t>
    </r>
    <r>
      <rPr>
        <sz val="10"/>
        <rFont val="Arial"/>
        <family val="0"/>
      </rPr>
      <t xml:space="preserve"> Circumcision rate estimates for Freetown in 1963. The distribution of inhabitants by ethnic/regional origins is presented in Harvey (1971), p.98. The bottom of the table shows the distribution of people by the defined circumcision classes CL1 and CL2 (the latter used in the charts of the Charts sheet). See additional explanations in the Charts sheet.</t>
    </r>
  </si>
  <si>
    <r>
      <t>Table SLeone-2.</t>
    </r>
    <r>
      <rPr>
        <sz val="10"/>
        <rFont val="Arial"/>
        <family val="0"/>
      </rPr>
      <t xml:space="preserve"> Circumcision rate estimates for Freetown in 1931 and 1953. The distribution of inhabitants by ethnic/regional origins is presented in Banton (1956), p.355. The bottom of the table shows the distribution of people by the defined circumcision classes CL1 and CL2 (the latter used in the charts of the Charts sheet). See additional explanations in the Charts sheet.</t>
    </r>
  </si>
  <si>
    <r>
      <t>Table SLeone-3.</t>
    </r>
    <r>
      <rPr>
        <sz val="10"/>
        <rFont val="Arial"/>
        <family val="0"/>
      </rPr>
      <t xml:space="preserve"> Circumcision rate estimates for Freetown in 1911 and 1921. The distribution of inhabitants by ethnic/regional origins is presented in Banton (1956), p.355. The bottom of the table shows the distribution of people by the defined circumcision classes CL1 and CL2 (the latter used in the charts of the Charts sheet). See additional explanations in the Charts sheet.</t>
    </r>
  </si>
  <si>
    <r>
      <t>Table Liberia-1.</t>
    </r>
    <r>
      <rPr>
        <sz val="10"/>
        <rFont val="Arial"/>
        <family val="0"/>
      </rPr>
      <t xml:space="preserve"> Circumcision rate estimates for Monrovia in 1958. The distribution of inhabitants by ethnic/regional origins is presented in Fraenkel (1964), p.36. The bottom of the table shows the distribution of people by the defined circumcision classes CL1 and CL2 (the latter used in the charts of the Charts sheet). See additional explanations in the Charts sheet.</t>
    </r>
  </si>
  <si>
    <r>
      <t>Table Liberia-2.</t>
    </r>
    <r>
      <rPr>
        <sz val="10"/>
        <rFont val="Arial"/>
        <family val="0"/>
      </rPr>
      <t xml:space="preserve"> Circumcision rate estimates for Monrovia in 1939. We obtained estimated numbers of the Westernized based on their being 5,000 in 1926 (Strong 1930, p.37; Fraenkel 1964, p.33), 8,480 in 1958 (Table Liberia-1), and interpolating in between, using the resultant exponential growth rate. With the less stable Kru and Grebo, we assumed they were 40% of the remaining, in line of this percentage being 35% in 1948 and 30% in 1958 (Fraenkel 1964). The relative proportions of the other groups are irrelevant because they all practiced universal circumcision. The bottom of the table shows the distribution of people by the defined circumcision classes CL1 and CL2 (the latter used in the charts of the Charts sheet). See additional explanations in the Charts sheet.</t>
    </r>
  </si>
  <si>
    <t>Dengese</t>
  </si>
  <si>
    <t>Martinique</t>
  </si>
  <si>
    <t>Saint Thomas</t>
  </si>
  <si>
    <t>San Paul de Loanda</t>
  </si>
  <si>
    <t>Ivory Coast</t>
  </si>
  <si>
    <t>Brazzaville</t>
  </si>
  <si>
    <t>Bentley1887, Weeks1914, FerreiraDiniz1918, VanWing1938, Jensen1933, Frazer1938, Frobenius1929, Berlin1996</t>
  </si>
  <si>
    <t>Hulstaert1938, Baumann1962, Jensen1933, Frobenius1929, Gray1999, Hewlett</t>
  </si>
  <si>
    <t>VanOverbergh1907, Jensen1933, Burssens1958, Wolfe1961</t>
  </si>
  <si>
    <t>Jensen1933, Frobenius1929</t>
  </si>
  <si>
    <t>Jensen1933, Bruel1935, Calonne-Beaufaict1921, Friedrichs1924, Baumann1962, Frobenius1929, Gray1999, Hewlett</t>
  </si>
  <si>
    <t>Halkim1911, Friedrichs1924, Jensen1933</t>
  </si>
  <si>
    <t>Weeks1909, Gilliard1928, Jensen1933, Burssens1958, Baumann1962</t>
  </si>
  <si>
    <t>Delafosse1930, Burssens1958, Jensen1933, Frobenius1929, Tanghe1948, Baumann1962, Murdock1967, Gray1999, Hewlett</t>
  </si>
  <si>
    <t>Frazer1938, Frobenius1929, Jensen1933, Turner1969, Hoover1978</t>
  </si>
  <si>
    <t>Jensen1933, Baumann1962, Frobenius1929</t>
  </si>
  <si>
    <t>Zaborowski1896, Jensen1933, Hoover1978, Gray1999, Hewlett</t>
  </si>
  <si>
    <t>Zaborowski1896, Jensen1933, Borgonjon1945, Hoover1978</t>
  </si>
  <si>
    <t>Frazer1938, Jensen1933, Frobenius1929, Turner1969, Hoover1978</t>
  </si>
  <si>
    <t>Janssens1912, Jensen1933</t>
  </si>
  <si>
    <t>Jensen1933, Hewlett</t>
  </si>
  <si>
    <t>Jensen1933, Burssens1958, Moiya1983, Gray1999</t>
  </si>
  <si>
    <t>Torday1928, Jensen1933, VanWing1938, Frazer1938, Bruel1935, Laman1957, Gray1999, Hewlett</t>
  </si>
  <si>
    <t>Jensen1933, Bruel1935, Baumann1962</t>
  </si>
  <si>
    <t>Jensen1933, Tanghe1948, Baumann1962, Gray1999, Hewlett</t>
  </si>
  <si>
    <t>Landor1907, Jensen1933, Bruel1935, Baumann1962, Frobenius1929, Delafosse1930</t>
  </si>
  <si>
    <t>Kerandel1909, Jensen1933, Lebeuf1954, Baumann1962, Gray1999, Hewlett</t>
  </si>
  <si>
    <t>Guiral1886, Courboin1904, Jensen1933, Baumann1962, Bruel1935, Frobenius1929, Gray1999, Hewlett</t>
  </si>
  <si>
    <t>Zaborowski1896, Jensen1933, Frazer1938, Bruel1935, Hewlett</t>
  </si>
  <si>
    <t>VanOverbergh1907, Halkim1911, Jensen1933, Burssens1958, Gray1999</t>
  </si>
  <si>
    <t>Jensen1933, Frobenius1929, Gray1999, Hewlett</t>
  </si>
  <si>
    <t>Zenker1895, Jensen1933, Laburthe-Tolra1985, Laburthe-Tolra1999, Alexandre1958</t>
  </si>
  <si>
    <t>Weeks1914, FerreiraDiniz1918, Jensen1933, Frazer1938, Frobenius1929, MartinsVaz1970, Berlin1996</t>
  </si>
  <si>
    <t>Jensen1933, Gray1999, Hewlett</t>
  </si>
  <si>
    <t>Jensen1933, Gray1999</t>
  </si>
  <si>
    <t>Weeks1909, Jensen1933, Burssens1958, Hewlett</t>
  </si>
  <si>
    <t>Jensen1933, Dedave1957, Hewlett</t>
  </si>
  <si>
    <t>Friedrichs1924, Jensen1933, DeMahieu1986, Gray1999, Hewlett</t>
  </si>
  <si>
    <t>Delafosse1930, Jensen1933, Burssens1958, Frobenius1929, Tanghe1948, Baumann1962, Murdock1967, Gray1999, Hewlett</t>
  </si>
  <si>
    <t>Landor1907, Frobenius1929, Jensen1933, Baumann1962, Hewlett</t>
  </si>
  <si>
    <t>Bruel1935, Callone-Beaufaict1921, Friedrichs1924, Jensen1933, Baumann1962, Frobenius1929, Gray1999, Hewlett</t>
  </si>
  <si>
    <t>Kerandel1909, Jensen1933, Gray1999, Hewlett, Frobenius1929</t>
  </si>
  <si>
    <t>Landor1907, Delafosse1930, Jensen1933, Bruel1935, Baumann1962, Frobenius1929, Hewlett</t>
  </si>
  <si>
    <t>Callone-Beaufaict1921, Jensen1933, Frobenius1929</t>
  </si>
  <si>
    <t>Delafosse1930, Burssens1958, Frobenius1929, Jensen1933, Tanghe1948, Baumann1962, Murdock1967, Gray1999, Hewlett</t>
  </si>
  <si>
    <t>Lebeuf1954, Kerandel1909, Jensen1933, Baumann1962, Gray1999, Hewlett</t>
  </si>
  <si>
    <t>Jensen1933, Bryk1934, Trezenem1936, Alexandre1958, Bruel1935, Gray1999, Hewlett</t>
  </si>
  <si>
    <t>Zaborowski1896, Cureau1915, Jensen1933, Frazer1938, Raponda-Walker1962, Gray1999, Hewlett</t>
  </si>
  <si>
    <t>Jensen1933, Bruel1935, Friedrichs1924, Baumann1962, Frobenius1929, Gray1999, Hewlett</t>
  </si>
  <si>
    <t>Landor1907, Jensen1933, Bruel1935, Baumann1962, Frobenius1929, Hewlett</t>
  </si>
  <si>
    <t>Jensen1933, Ittmann1953, Bureau1996, Frobenius1929, Gray1999, Hewlett</t>
  </si>
  <si>
    <t>Cureau1915, Nicol1929, Jensen1933, Frobenius1929, Schwab1947, Berlin1996</t>
  </si>
  <si>
    <t>Frobenius1929, Jensen1933, Egerton1938, Lecoq1953, Littlewood1954, Gray1999, Hewlett</t>
  </si>
  <si>
    <t>Malcolm1925, Frobenius1929, Jensen1933, Egerton1938, Lecoq1953, Littlewood1954, McCulloch1954, Gray1999, Hewlett</t>
  </si>
  <si>
    <t>Jensen1933, Ittmann1953, Frobenius1929, Gray1999</t>
  </si>
  <si>
    <t>Nicol1929, Jensen1933, Frobenius1929</t>
  </si>
  <si>
    <t>Tessmann1913, Jensen1933, Dugast1954, Dugast1955, Frobenius1929, Gray1999, Hewlett</t>
  </si>
  <si>
    <t>Jensen1933, Frobenius1929, Littlewood1954b, Gray1999, Hewlett</t>
  </si>
  <si>
    <t>Jensen1933, Ittmann1953, Baumann1962, Gray1999, Hewlett</t>
  </si>
  <si>
    <t>Nicol1929, Frobenius1929, Jensen1933, Schwab1947</t>
  </si>
  <si>
    <t>Tessmann1913, Jensen1933, Dugast1954, Dugast1955, McCulloch1954, Frobenius1929, Gray1999, Hewlett</t>
  </si>
  <si>
    <t>Bangui</t>
  </si>
  <si>
    <t>Gray1999, Hewlett</t>
  </si>
  <si>
    <t>Bruel1935, Courboin1904</t>
  </si>
  <si>
    <t># of people in Kin.</t>
  </si>
  <si>
    <t>KINSHASA</t>
  </si>
  <si>
    <r>
      <t>Table DRC-2.</t>
    </r>
    <r>
      <rPr>
        <sz val="10"/>
        <rFont val="Arial"/>
        <family val="2"/>
      </rPr>
      <t xml:space="preserve"> The districts of the Belgian Congo, as described in the administrative map from 1921 (Institut Cartographique Militaire 1921). In the second column are the demographic weights of their ethnic groups, considered proportional to the ocuppied areas, as read in ethnic maps (Burssens 1958; Heeney 1959; Saint Moulin 2003). The weighted circumcision rate estimate of each district is calculated for four relevant years, based on the ethnic-specific circumcision rate estimates (Table DRC-1). The bottom of the table shows, for the four relevant years, the distribution of the inhabitants of Kinshasa (for which a district of origin is given in sources) by the defined circumcision classes CL1 and CL2 (the latter used in the charts of the Charts sheet).</t>
    </r>
  </si>
  <si>
    <r>
      <t>Table DRC-1.</t>
    </r>
    <r>
      <rPr>
        <sz val="10"/>
        <rFont val="Arial"/>
        <family val="2"/>
      </rPr>
      <t xml:space="preserve"> Circumcision classes and circumcision rate estimates for all relevant ethnic groups of the Belgian Congo, calculated for four relevant years. The four rightmost columns show the group-specific information used for calculation, and the references that support it (see explanation in the Charts sheet). Circumcision classes are in the columns labelled "CL1" and are used in some charts of the Charts sheet.</t>
    </r>
  </si>
  <si>
    <r>
      <t>Table DRC-3.</t>
    </r>
    <r>
      <rPr>
        <sz val="10"/>
        <rFont val="Arial"/>
        <family val="0"/>
      </rPr>
      <t xml:space="preserve"> Circumcision rate estimates for Kinshasa in 1958. The distribution of inhabitants by regions of origin is presented in Spitaels (1959), p.6. For the districts, the circumcision rate estimates come from Table DRC-2. The bottom of the table shows the distribution of people by the defined circumcision classes CL1 and CL2 (the latter used in the charts of the Charts sheet). See additional explanations in the Charts sheet. </t>
    </r>
  </si>
  <si>
    <r>
      <t>Table DRC-4.</t>
    </r>
    <r>
      <rPr>
        <sz val="10"/>
        <rFont val="Arial"/>
        <family val="0"/>
      </rPr>
      <t xml:space="preserve"> Circumcision rate estimates for Kinshasa in 1919 and 1927. For the year 1927, the distribution of inhabitants by ethnic groups/regions of origin is presented in AIMO (1927). For the year 1919, we assume a distribution proportional to the 1927 one. For the districts, the circumcision rate estimates come from Table DRC-2. The bottom of the table shows the distribution of people by the defined circumcision classes CL1 and CL2 (the latter used in the charts of the Charts sheet). See additional explanations in the Charts sheet. </t>
    </r>
  </si>
  <si>
    <t>Coquilhatville</t>
  </si>
  <si>
    <t>Stanley Falls</t>
  </si>
  <si>
    <t>Libenge (Ngombe)</t>
  </si>
  <si>
    <t>Libenge (Ngbaka)</t>
  </si>
  <si>
    <r>
      <t>Table DRC-5.</t>
    </r>
    <r>
      <rPr>
        <sz val="10"/>
        <rFont val="Arial"/>
        <family val="0"/>
      </rPr>
      <t xml:space="preserve"> Circumcision rate estimates for Kinshasa in 1912. We assume the distribution of inhabitants by regions of origin is proportional to the one shown in two surveys of hospital entries in 1911 and 1912, involving 656 patients either from the city (which at that time had about 5,000 people), or from connected colonial centers (Douchet &amp; Dubois 1911, 1912). For the districts, the circumcision rate estimates come from Table DRC-2. The bottom of the table shows the distribution of people by the defined circumcision classes CL1 and CL2 (the latter used in the charts of the Charts sheet). See additional explanations in the Charts sheet.</t>
    </r>
  </si>
  <si>
    <r>
      <t>Table CBrazza-2.</t>
    </r>
    <r>
      <rPr>
        <sz val="10"/>
        <rFont val="Arial"/>
        <family val="0"/>
      </rPr>
      <t xml:space="preserve"> Circumcision rate estimates for Brazzaville in 1919 and 1932. For the year 1932, the distribution of inhabitants by ethnic/regional origins is presented in Subdivision Autonome de Brazzaville (1932). For the year 1919, we assume a distribution proportional to the 1932 one. The bottom of the table shows the distribution of people by the defined circumcision classes CL1 and CL2 (the latter used in the charts of the Charts sheet). See additional explanations in the Charts sheet.</t>
    </r>
  </si>
  <si>
    <r>
      <t>Table CBrazza-1.</t>
    </r>
    <r>
      <rPr>
        <sz val="10"/>
        <rFont val="Arial"/>
        <family val="0"/>
      </rPr>
      <t xml:space="preserve"> Circumcision rate estimates for Brazzaville in 1950. The distribution of inhabitants by ethnic/regional origins is presented in Balandier (1955), p.37. The bottom of the table shows the distribution of people by the defined circumcision classes CL1 and CL2 (the latter used in the charts of the Charts sheet). See additional explanations in the Charts sheet.</t>
    </r>
  </si>
  <si>
    <t>Landor1907, Bruel1935, Baumann1962, Frobenius1929, Delafosse1930</t>
  </si>
  <si>
    <t>Frobenius1929</t>
  </si>
  <si>
    <t>Courboin1904, Delafosse1930, Bruel1935</t>
  </si>
  <si>
    <t>Clozel1896, Millous1936, Fontaine1928, Delafosse1930, Bruel1935, Bryk 1934, Gray1999, Hewlett</t>
  </si>
  <si>
    <t>Guiral1886, Courboin1904, Baumann1962, Bruel1935, Frobenius1929, Gray1999, Hewlett</t>
  </si>
  <si>
    <t>Zaborowski1896, Frazer1938, Bruel1935, Frobenius1929, Hewlett</t>
  </si>
  <si>
    <t>Gaud1911, Bruel1935, Frobenius1929</t>
  </si>
  <si>
    <t>Darré1923, Bruel1935, Hewlett</t>
  </si>
  <si>
    <t>Frazer1938, Bruel1935, Gray1999, Hewlett</t>
  </si>
  <si>
    <t>Frobenius1929, Gray1999</t>
  </si>
  <si>
    <t>Henric1902, Hewlett</t>
  </si>
  <si>
    <t>Clarke1863, Migeod1925, Gray1999, Hewlett</t>
  </si>
  <si>
    <t>Frobenius1929, Gray1999, Hewlett</t>
  </si>
  <si>
    <t>Frobenius1929, Bruel1929</t>
  </si>
  <si>
    <t>Cureau1915, Raponda-Walker1962, Bruel1935</t>
  </si>
  <si>
    <t>Advance to childhood</t>
  </si>
  <si>
    <t>Darré1923, Bruel1935</t>
  </si>
  <si>
    <t>FerreiraDiniz1918, Frazer1938, Frobenius1929</t>
  </si>
  <si>
    <t>Delafosse1930, Bruel1935, Frobenius1929</t>
  </si>
  <si>
    <t>Raponda-Walker1962, Bruel1935, Baumann1962, Frobenius1929, Gray1999, Hewlett</t>
  </si>
  <si>
    <t>Baumann1962, Frobenius1929, Gray1999, Hewlett</t>
  </si>
  <si>
    <t>Frazer1938, Delafosse1912, Delafosse1930, Zaborowski1896, Frobenius1929</t>
  </si>
  <si>
    <t>CONGO-BRAZZAVILLE / FRENCH CONGO</t>
  </si>
  <si>
    <t>DEMOCRATIC REPUBLIC OF CONGO / BELGIAN CONGO</t>
  </si>
  <si>
    <t>Friedrichs1924, VanGeluwe1960, Baumann1962, Gray1999, Hewlett</t>
  </si>
  <si>
    <t>Torday1928, Frazer1938, Bruel1935, Laman1957, Gray1999, Hewlett</t>
  </si>
  <si>
    <t>Janssens1912, Frobenius1929, Baumann1962</t>
  </si>
  <si>
    <t>DHS, Drain2006, Koch1913, Baumann1962, Forde1954, Gray1999, Hewlett</t>
  </si>
  <si>
    <t>Perrois1967, Gray1999, Hewlett</t>
  </si>
  <si>
    <t>Schwab1947</t>
  </si>
  <si>
    <t>Courboin1904, Torday1928, Delafosse1930, Bruel1935, Frazer1938, Baumann1962, Cureau1915, Raponda-Walker1962, Gray1999, Hewlett, Frobenius1929</t>
  </si>
  <si>
    <t>DHS, Drain2006, Koch1913, Alexandre1958, Baumann1962, Forde1954, Gray1999, Hewlett</t>
  </si>
  <si>
    <t>The column "Ref.Time" contains the estimated year of a major shift in circumcision practice (e.g., Adoption, Generalization). For many groups, the ethnographers provide an approximate date. Often, they provide also the rough temporal order of adoptions of groups occuppying the same region. Based on this, and on the inferred waves of adoptions, led by imitation, we estimated a date of adoption or start of generalization, for the remaining groups that adopted or generalized circumcision. The next two columns explain the nature of this shift, and the acronym of the Initial Situation (see these acronyms in the parameters' table to the left). The last column shows the references supporting this circumcision-related information. If the line corresponds to a country, the estimates done correspond to the weighted average of its ethnic groups, according to our ethnographic review; in this case, only the major sources, and those most encompassing for the country, are presented. See also the parameter table (left), and Methods.</t>
  </si>
  <si>
    <t>Frobenius1929, Littlewood1954b, Gray1999, Hewlett</t>
  </si>
  <si>
    <t>Delafosse1930, Paulme1947, Gray1999, Hewlett</t>
  </si>
  <si>
    <t>Clarke1863, Zaborowski1896, Migeod1925, Biyi1929, Strong1930, Paulme1947, Schwab1947, Delafosse1930, Frazer1938, Paulme1971, Tully1994, Gray1999, Hewlett</t>
  </si>
  <si>
    <t>Clarke1863, Zaborowski1896, Migeod1925, Biyi1929, Strong1930, Paulme1947, Schwab1947, Porter1953, Delafosse1930, Frazer1938, Paulme1971, Tully1994, Gray1999, Hewlett</t>
  </si>
  <si>
    <t>Migeod1925, Biyi1929, Strong1930, Paulme1947, Schwab1947, Porter1953, Baumann1962, Gray1999, Hewlett</t>
  </si>
  <si>
    <t>Gobu/ Mono</t>
  </si>
  <si>
    <t>TABLE DRC-2</t>
  </si>
  <si>
    <t>Table DRC-2</t>
  </si>
  <si>
    <t>TABLE DRC-3</t>
  </si>
  <si>
    <t>Table DRC-1</t>
  </si>
  <si>
    <t>Ngbandi/ Yakoma</t>
  </si>
  <si>
    <t>Courboin1904, Delafosse1930, Bruel1935, Frazer1938, Baumann1962</t>
  </si>
  <si>
    <t>Circumcision is absent in the group</t>
  </si>
  <si>
    <t>Frazer1938, Bruel1935, MartinsVaz1970</t>
  </si>
  <si>
    <t>Baumann1962, Gray1999</t>
  </si>
  <si>
    <t>Baumann1962, Frobenius1929</t>
  </si>
  <si>
    <t>Baumann1962</t>
  </si>
  <si>
    <t>Hewlett</t>
  </si>
  <si>
    <t>Gray1999</t>
  </si>
  <si>
    <t>Baumann1962, Hewlett</t>
  </si>
  <si>
    <t>Baumann1962, Gray1999, Frobenius1929</t>
  </si>
  <si>
    <t>Schmitz1912, Frobenius1929</t>
  </si>
  <si>
    <t>Halkim1911, Frobenius1929</t>
  </si>
  <si>
    <t>Bruel1935, Frobenius1929, Baumann1962, Burssens1958</t>
  </si>
  <si>
    <t>Landor1907, Baumann1962, Frobenius1929, Hewlett</t>
  </si>
  <si>
    <t>Guiral1886, Baumann1962, Bruel1935, Gray1999, Hewlett</t>
  </si>
  <si>
    <t>Delafosse1930, Bruel1935</t>
  </si>
  <si>
    <t>Guiral1886, Courboin1904, Baumann1962, Bruel1935, Gray1999, Hewlett</t>
  </si>
  <si>
    <t>Burssens1958</t>
  </si>
  <si>
    <t>VanGeluwe1960, Baumann1962</t>
  </si>
  <si>
    <t>VanGeluwe1960, Friedrichs1924, Frobenius1929, Hewlett</t>
  </si>
  <si>
    <t>Friedrichs1924, Frobenius1929, Gray1999, Hewlett</t>
  </si>
  <si>
    <t>Friedrichs1924, Gray1999, Hewlett</t>
  </si>
  <si>
    <t>Halkim1911, Frobenius1929, Gray1999, Hewlett</t>
  </si>
  <si>
    <t>Dedave1957, Hewlett</t>
  </si>
  <si>
    <t>Halkim1911</t>
  </si>
  <si>
    <t>Zaborowski1896, Gray1999, Hewlett</t>
  </si>
  <si>
    <t>TABLE DRC-4</t>
  </si>
  <si>
    <t>Zaborowski1896, Frobenius1929, Gray1999, Hewlett</t>
  </si>
  <si>
    <t>Topoke</t>
  </si>
  <si>
    <t>Kutshu</t>
  </si>
  <si>
    <t>Lombi</t>
  </si>
  <si>
    <t>Lobala</t>
  </si>
  <si>
    <t>Bouaké</t>
  </si>
  <si>
    <t>Freetown</t>
  </si>
  <si>
    <t>Conakry</t>
  </si>
  <si>
    <t>Malele/ Popoi</t>
  </si>
  <si>
    <t>Mba/ Amadi</t>
  </si>
  <si>
    <t>Abidjan</t>
  </si>
  <si>
    <t>Libreville</t>
  </si>
  <si>
    <t>Banziri</t>
  </si>
  <si>
    <t>Tongwe</t>
  </si>
  <si>
    <t>Bwile</t>
  </si>
  <si>
    <t>Kunda</t>
  </si>
  <si>
    <t>Circumcision is either generalized up to puberty, or its adoption/generalization/move to childhood by the group started more than 45 years before</t>
  </si>
  <si>
    <t>Circumcision was, less than 45 years before, done in late adolescence/young adulthood by many men</t>
  </si>
  <si>
    <t>Adoption/generalization of circumcision by the group started between 30 and 45 years before</t>
  </si>
  <si>
    <t>Adoption/generalization of circumcision by the group started between 15 and 30 years before</t>
  </si>
  <si>
    <t>Adoption/generalization of circumcision by the group started less than 15 years before</t>
  </si>
  <si>
    <t>Torday1928, VanWing1938, Frazer1938, Bruel1935, Laman1957, Gray1999, Hewlett</t>
  </si>
  <si>
    <t>Shi-Havu</t>
  </si>
  <si>
    <t>Mangbetu</t>
  </si>
  <si>
    <t>Songye</t>
  </si>
  <si>
    <t>Nyanga</t>
  </si>
  <si>
    <t>Lwena</t>
  </si>
  <si>
    <t>Tetela</t>
  </si>
  <si>
    <t>Manianga</t>
  </si>
  <si>
    <t>Yombe</t>
  </si>
  <si>
    <t>Kongo</t>
  </si>
  <si>
    <t>Suku</t>
  </si>
  <si>
    <t>Soonde</t>
  </si>
  <si>
    <t>Mbala</t>
  </si>
  <si>
    <t>Yans</t>
  </si>
  <si>
    <r>
      <t>EXPLANATION OF THE COLUMNS LABELLED "</t>
    </r>
    <r>
      <rPr>
        <b/>
        <sz val="12"/>
        <rFont val="Arial"/>
        <family val="0"/>
      </rPr>
      <t>BASIS OF CIRCUMCISION ESTIMATE</t>
    </r>
    <r>
      <rPr>
        <sz val="12"/>
        <rFont val="Arial"/>
        <family val="0"/>
      </rPr>
      <t>" IN THE OTHER SHEET'S TABLES</t>
    </r>
  </si>
  <si>
    <t>High GUD incidence in the early 20th century created a particularly permissive time window for the origin and initial spread of epidemic HIV strains</t>
  </si>
  <si>
    <t>João Dinis de Sousa1*, Viktor Müller2, Philippe Lemey1, Anne-Mieke Vandamme1,3</t>
  </si>
  <si>
    <r>
      <t>1</t>
    </r>
    <r>
      <rPr>
        <sz val="12"/>
        <rFont val="Arial"/>
        <family val="0"/>
      </rPr>
      <t xml:space="preserve"> Laboratory for Clinical and Evolutionary Virology, Rega Institute for Medical Research, Katholieke Universiteit Leuven, Leuven, Belgium; 2 Institute of Biology, Eötvös Loránd University, Budapest, Hungary; 3 Centro de Malária e Outras Doenças Tropicais, Instituto de Higiene e Medicina Tropical, Universidade Nova de Lisboa, Lisboa, Portugal
</t>
    </r>
  </si>
  <si>
    <t>* Corresponding author. E-mail: joao.sousa@rega.kuleuven.be</t>
  </si>
  <si>
    <t>joao.sousa@rega.kuleuven.be</t>
  </si>
  <si>
    <t>SUPPLEMENTARY DATASET S1</t>
  </si>
  <si>
    <t>These charts appear in the main article. You can recalculate them by changing the parameters above.</t>
  </si>
  <si>
    <t>Luba-Kasai</t>
  </si>
  <si>
    <t>Mbuund</t>
  </si>
  <si>
    <t>Kete</t>
  </si>
  <si>
    <t>Chokwe</t>
  </si>
  <si>
    <t>Dzing</t>
  </si>
  <si>
    <t>Kuba</t>
  </si>
  <si>
    <t>Mongo-Ngando</t>
  </si>
  <si>
    <t>Yamongeri</t>
  </si>
  <si>
    <t>Sankuru</t>
  </si>
  <si>
    <t>Lulonga</t>
  </si>
  <si>
    <t>AEF</t>
  </si>
  <si>
    <t>Bemba-Aushi</t>
  </si>
  <si>
    <t>Bemba-Lomotwa</t>
  </si>
  <si>
    <t>Western Lunda</t>
  </si>
  <si>
    <t>Tabwa</t>
  </si>
  <si>
    <t>Buraka</t>
  </si>
  <si>
    <t>Bangba</t>
  </si>
  <si>
    <t>Lendu</t>
  </si>
  <si>
    <t>Haut Luapula</t>
  </si>
  <si>
    <t>Lomami</t>
  </si>
  <si>
    <t>Tanganika-Moero</t>
  </si>
  <si>
    <t>Kivu</t>
  </si>
  <si>
    <t>San Salvador</t>
  </si>
  <si>
    <t>Lagos</t>
  </si>
  <si>
    <t>Cape Vert</t>
  </si>
  <si>
    <t>Jamaica</t>
  </si>
  <si>
    <t>Cuba</t>
  </si>
  <si>
    <t>Lulua</t>
  </si>
  <si>
    <t>Ngbaka</t>
  </si>
  <si>
    <t>Monrovia</t>
  </si>
  <si>
    <t>Yaoundé</t>
  </si>
  <si>
    <t>Douala</t>
  </si>
  <si>
    <t>Kinshasa</t>
  </si>
  <si>
    <t>Sakata</t>
  </si>
  <si>
    <t>Mbesa</t>
  </si>
  <si>
    <t>Mbanja</t>
  </si>
  <si>
    <t>Langwasi</t>
  </si>
  <si>
    <t>Haut Uele</t>
  </si>
  <si>
    <t>Bas Uele</t>
  </si>
  <si>
    <t>Kumu</t>
  </si>
  <si>
    <t>Lokele</t>
  </si>
  <si>
    <t>Angba</t>
  </si>
  <si>
    <t>Abarambo</t>
  </si>
  <si>
    <t>Babwa</t>
  </si>
  <si>
    <t>Nzakara</t>
  </si>
  <si>
    <t>Zande-Avungara</t>
  </si>
  <si>
    <t>Zande-Abandiya</t>
  </si>
  <si>
    <t>Metoko</t>
  </si>
  <si>
    <t>Budu</t>
  </si>
  <si>
    <t>Nande</t>
  </si>
  <si>
    <t>Forest Bira</t>
  </si>
  <si>
    <t>Plains Bira</t>
  </si>
  <si>
    <t>Binza</t>
  </si>
  <si>
    <t>Lamba</t>
  </si>
  <si>
    <t>Sanga</t>
  </si>
  <si>
    <t>Luba-Katanga</t>
  </si>
  <si>
    <t>Kaonde</t>
  </si>
  <si>
    <t>Lala</t>
  </si>
  <si>
    <t>Yaka</t>
  </si>
  <si>
    <t>Boyela/ Bosaka</t>
  </si>
  <si>
    <t>Hamba-Sankuru</t>
  </si>
  <si>
    <t>Ntomba/ Bobangi</t>
  </si>
  <si>
    <t>Mongo-Nkundu</t>
  </si>
  <si>
    <t>Ngombe/ Doko</t>
  </si>
  <si>
    <t>Ngiri/ Boloki</t>
  </si>
  <si>
    <t>Budja/ Poto</t>
  </si>
  <si>
    <t>Lengola/ Mbole</t>
  </si>
  <si>
    <t>Liberia</t>
  </si>
  <si>
    <t>Ruanda-Urundi</t>
  </si>
  <si>
    <t>Ndunga</t>
  </si>
  <si>
    <t>Ethnic group</t>
  </si>
  <si>
    <t>Teke</t>
  </si>
  <si>
    <t>Ombo</t>
  </si>
  <si>
    <t>Alur</t>
  </si>
  <si>
    <t>Bembe/ Boyo</t>
  </si>
  <si>
    <t>Lunda-Ndembu</t>
  </si>
  <si>
    <t>Togo</t>
  </si>
  <si>
    <t>Gold Coast</t>
  </si>
  <si>
    <t>Dahomey</t>
  </si>
  <si>
    <t>Lega</t>
  </si>
  <si>
    <t>Absent</t>
  </si>
  <si>
    <t>% of popul.</t>
  </si>
  <si>
    <t>Lower</t>
  </si>
  <si>
    <t>Upper</t>
  </si>
  <si>
    <t>Bangala</t>
  </si>
  <si>
    <t>Équateur</t>
  </si>
  <si>
    <t>Ubangi</t>
  </si>
  <si>
    <t>Budja</t>
  </si>
  <si>
    <t>Kwango</t>
  </si>
  <si>
    <t>Kasai</t>
  </si>
  <si>
    <t>Bokala</t>
  </si>
  <si>
    <t>Bolobo (Bobangi, Tiene)</t>
  </si>
  <si>
    <t>Orientale</t>
  </si>
  <si>
    <t>Lukolela (Bobangi, Mpama)</t>
  </si>
  <si>
    <t>Batetela</t>
  </si>
  <si>
    <t>Basonge-Kasai (Songye)</t>
  </si>
  <si>
    <t>Lac Leopold II</t>
  </si>
  <si>
    <t>Baluba</t>
  </si>
  <si>
    <t>Aruwimi</t>
  </si>
  <si>
    <t>Dolo (near Budjala -Ngombe, Mbanza, Ngbandi)</t>
  </si>
  <si>
    <t>Bacongo</t>
  </si>
  <si>
    <t>Moyen Congo (Teke, Ngenge, Mpama)</t>
  </si>
  <si>
    <t>Yumbi (near Bolobo, Tiene)</t>
  </si>
  <si>
    <t>Maniema</t>
  </si>
  <si>
    <t>Wangata (Mongo-Nkundu)</t>
  </si>
  <si>
    <t>Basankusu (Ngombe)</t>
  </si>
  <si>
    <t>Nouvelle Anvers (Ngombe, Mbanza)</t>
  </si>
  <si>
    <t>Akula (near N-Anvers -Ngombe, Mbanza)</t>
  </si>
  <si>
    <t>Rubi (near Buta -Babwa)</t>
  </si>
  <si>
    <t>Buta (Babwa)</t>
  </si>
  <si>
    <t>Katanga</t>
  </si>
  <si>
    <t>Mongala</t>
  </si>
  <si>
    <t>Ruzizi (Burundi)</t>
  </si>
  <si>
    <t>Bali</t>
  </si>
  <si>
    <t>Kwilu</t>
  </si>
  <si>
    <t>Basoko (So, Topoke, Mbesa)</t>
  </si>
  <si>
    <t>Kisantu (Kongo)</t>
  </si>
  <si>
    <t>Busira (near Boende -Mongo)</t>
  </si>
  <si>
    <t>Tanganika</t>
  </si>
  <si>
    <t>Ponthierville (Songola)</t>
  </si>
  <si>
    <t>Libanza (=Mbanza)</t>
  </si>
  <si>
    <t>Matadi (San Salvador)</t>
  </si>
  <si>
    <t>Ikengo (N of Boende -Ngando)</t>
  </si>
  <si>
    <t>Stanleyville</t>
  </si>
  <si>
    <t>Upoto (=Poto)</t>
  </si>
  <si>
    <t>Baleka (=Lega)</t>
  </si>
  <si>
    <t>Kindu (Lega, Songola)</t>
  </si>
  <si>
    <t>Bamfunga (Bamwe/Ngiri)</t>
  </si>
  <si>
    <t>Babutu (Kumu)</t>
  </si>
  <si>
    <t>Moenge (Bango/Budja)</t>
  </si>
  <si>
    <t>Bumba (Budja)</t>
  </si>
  <si>
    <t>Lisala</t>
  </si>
  <si>
    <t>Bobangi</t>
  </si>
  <si>
    <t>Madimba (Kongo)</t>
  </si>
  <si>
    <t>Haute Sele (Kongo, San Salvador)</t>
  </si>
  <si>
    <t>Yakoma</t>
  </si>
  <si>
    <t>Sango</t>
  </si>
  <si>
    <t>Fayala (Yanz)</t>
  </si>
  <si>
    <t>Wambole (=Mbole)</t>
  </si>
  <si>
    <t>Banana (Kongo)</t>
  </si>
  <si>
    <t>French Congo</t>
  </si>
  <si>
    <t>Sierra Leone</t>
  </si>
  <si>
    <t>Senegal</t>
  </si>
  <si>
    <t>Loango (Vili)</t>
  </si>
  <si>
    <t>Cabinda (Yombe, Vili)</t>
  </si>
  <si>
    <t>Total</t>
  </si>
  <si>
    <t>Circumcision rate (weighted average)</t>
  </si>
  <si>
    <t># of people</t>
  </si>
  <si>
    <t>Bonga (Mossaka)</t>
  </si>
  <si>
    <t>Banda</t>
  </si>
  <si>
    <t>Mbeté (Kelle and Ewo N districts)</t>
  </si>
  <si>
    <t>M'Boko (Mbochi, Makoua West)</t>
  </si>
  <si>
    <t>Baya</t>
  </si>
  <si>
    <t>Sara</t>
  </si>
  <si>
    <t>Bateke</t>
  </si>
  <si>
    <t>Makoua</t>
  </si>
  <si>
    <t>Loango</t>
  </si>
  <si>
    <t>Bandjia/Mbandjia</t>
  </si>
  <si>
    <t>Mbochi</t>
  </si>
  <si>
    <t>Bondjo (Motaba-Ibenga)</t>
  </si>
  <si>
    <t>M'Bagga (part of Banda)</t>
  </si>
  <si>
    <t>Balali (Bas-Congo)</t>
  </si>
  <si>
    <t>Popo (Togo)</t>
  </si>
  <si>
    <t>Haoussa</t>
  </si>
  <si>
    <t>Kouya-Kouya (Plateau province)</t>
  </si>
  <si>
    <t>Kouyou</t>
  </si>
  <si>
    <t>Bassoundi (Bas-Congo)</t>
  </si>
  <si>
    <t>M'Baiki (=Bwaka)</t>
  </si>
  <si>
    <t>Gabon</t>
  </si>
  <si>
    <t>Yaunde</t>
  </si>
  <si>
    <t>Bacougni (Bas-Congo)</t>
  </si>
  <si>
    <t>Impfondo</t>
  </si>
  <si>
    <t>Angola</t>
  </si>
  <si>
    <t>Langoua (=Langwasi)</t>
  </si>
  <si>
    <t>Bacongo quarter (Bakongo,Balali,Basundi)</t>
  </si>
  <si>
    <t>Bas Congo</t>
  </si>
  <si>
    <t>Mbondjo</t>
  </si>
  <si>
    <t>% circumcised</t>
  </si>
  <si>
    <t>Bakongo + Balali + Basundi</t>
  </si>
  <si>
    <t>Others from Haut Congo</t>
  </si>
  <si>
    <t>Others from Bas Oubangui</t>
  </si>
  <si>
    <t>Remaining AEF</t>
  </si>
  <si>
    <t>Senegal + Togo + Dahomey</t>
  </si>
  <si>
    <t>Other foreigners (Belgian Bas Congo, Cameroon, Angola-Cabinda)</t>
  </si>
  <si>
    <t>Bacongo quarter (Bakongo + Balali + Basundi)</t>
  </si>
  <si>
    <t>LateAdoles</t>
  </si>
  <si>
    <t>StartAdoption</t>
  </si>
  <si>
    <t>CurrGeneral</t>
  </si>
  <si>
    <t>GenPuberty</t>
  </si>
  <si>
    <t>FarFromGen</t>
  </si>
  <si>
    <t>Acronym</t>
  </si>
  <si>
    <t>Values</t>
  </si>
  <si>
    <t>Explanation</t>
  </si>
  <si>
    <t>Described as absent</t>
  </si>
  <si>
    <t>ESTIMATES OF CIRCUMCISION CLASSES AND CIRCUMCISION FREQUENCIES (%) IN THE DISTRICTS OF THE BELGIAN CONGO</t>
  </si>
  <si>
    <t>ESTIMATES OF CIRCUMCISION CLASSES AND CIRCUMCISION FREQUENCIES (%) IN THE ETHNIC GROUPS OF THE BELGIAN CONGO</t>
  </si>
  <si>
    <t>Culturally mandatory and practiced up to the end of puberty or early adolescence</t>
  </si>
  <si>
    <t>Very often practiced in late adolescence or young adulthood</t>
  </si>
  <si>
    <t>Was adopted at this time</t>
  </si>
  <si>
    <t>Currently generalized (used as end value of a generalization process)</t>
  </si>
  <si>
    <t>Process</t>
  </si>
  <si>
    <t>Initial situation</t>
  </si>
  <si>
    <t>VARIABLES</t>
  </si>
  <si>
    <t>Adoption</t>
  </si>
  <si>
    <t>Generalization</t>
  </si>
  <si>
    <t>References</t>
  </si>
  <si>
    <t>BRAZZAVILLE</t>
  </si>
  <si>
    <t>Ethnic group/ region of origin</t>
  </si>
  <si>
    <t>Ref.Time</t>
  </si>
  <si>
    <t>Bissau</t>
  </si>
  <si>
    <t>Kare</t>
  </si>
  <si>
    <t>Madimba</t>
  </si>
  <si>
    <t>Kalanga</t>
  </si>
  <si>
    <t>Songola</t>
  </si>
  <si>
    <t>Pende</t>
  </si>
  <si>
    <t>Lika</t>
  </si>
  <si>
    <t>Hunde</t>
  </si>
  <si>
    <t>Lele</t>
  </si>
  <si>
    <t>Salampasu</t>
  </si>
  <si>
    <t>Ituri</t>
  </si>
  <si>
    <t>Cabinda</t>
  </si>
  <si>
    <t>Uganda</t>
  </si>
  <si>
    <t>Drain2006</t>
  </si>
  <si>
    <t>Strong1930, Schwab1947, Gray1999, Hewlett</t>
  </si>
  <si>
    <t>FerreiraDiniz1918, Gray1999, Hewlett</t>
  </si>
  <si>
    <t>SobralGonçalves1973</t>
  </si>
  <si>
    <t>TABLE DRC-5</t>
  </si>
  <si>
    <t>Cataractes</t>
  </si>
  <si>
    <t>Bas-Congo</t>
  </si>
  <si>
    <t>Tshuapa</t>
  </si>
  <si>
    <t>Lualaba</t>
  </si>
  <si>
    <t>Haut Lomami</t>
  </si>
  <si>
    <t>Kabinda</t>
  </si>
  <si>
    <t>Luluabourg</t>
  </si>
  <si>
    <t>Luapula</t>
  </si>
  <si>
    <t>Ruanda</t>
  </si>
  <si>
    <t>Urundi</t>
  </si>
  <si>
    <t>AOF</t>
  </si>
  <si>
    <t>Dakar</t>
  </si>
  <si>
    <t>Cameroun</t>
  </si>
  <si>
    <t>Ghana</t>
  </si>
  <si>
    <t>Nigeria</t>
  </si>
  <si>
    <t>Tanzania</t>
  </si>
  <si>
    <t>Kenya</t>
  </si>
  <si>
    <t>Soudan</t>
  </si>
  <si>
    <t>Zanzibar</t>
  </si>
  <si>
    <t>Rhodesie</t>
  </si>
  <si>
    <t>Drain2006, Baumann1962, Friedrichs1924, Gray1999, Hewlett</t>
  </si>
  <si>
    <t>Baumann1962, Friedrichs1924, Gray1999, Hewlett</t>
  </si>
  <si>
    <t>Drain2006, FerreiraDiniz1918, Gray1999, Hewlett</t>
  </si>
  <si>
    <t>Drain2006, Delafosse1930, Bruel1935, Baumann1962</t>
  </si>
  <si>
    <t>DHS, Drain2006, Frazer1938, Delafosse1912, Delafosse1930, Gray1999, Hewlett</t>
  </si>
  <si>
    <t>DHS, Drain2006, Delafosse1930, Frobenius1929, Baumann1962, Gray1999, Hewlett</t>
  </si>
  <si>
    <t>Drain2006, Cureau1915, Raponda-Walker1962, Bruel1935</t>
  </si>
  <si>
    <t>DHS, Drain2006, Baumann1962, Forde1954, Gray1999, Hewlett</t>
  </si>
  <si>
    <t>Drain2006, Baumann1962, Gray1999, Hewlett</t>
  </si>
  <si>
    <t>Drain2006, Clarke1863, Migeod1925, Gray1999, Hewlett</t>
  </si>
  <si>
    <t>DHS, Drain2006, Gray1999, Hewlett</t>
  </si>
  <si>
    <t>Drain2006, Bongaarts1989, Gray1999, Hewlett</t>
  </si>
  <si>
    <t>TABLE CBrazza-1</t>
  </si>
  <si>
    <t>TABLE CBrazza-2</t>
  </si>
  <si>
    <t>CENTRAL AFRICAN REPUBLIC / OUBANGUI-CHARI</t>
  </si>
  <si>
    <t>BANGUI</t>
  </si>
  <si>
    <t>TABLE CAR-1</t>
  </si>
  <si>
    <t>I - Mandjia</t>
  </si>
  <si>
    <t>II - Baya</t>
  </si>
  <si>
    <t>III - Mbaka-Mandjia</t>
  </si>
  <si>
    <t>IV - Banda</t>
  </si>
  <si>
    <t>CarvalhoViegas1936, Meireles1960, Lagarde2003</t>
  </si>
  <si>
    <t>Zaborowski1896, Frobenius1929, CarvalhoViegas1936, Carreira1961, Gray1999, Hewlett</t>
  </si>
  <si>
    <t>Zaborowski1896, CarvalhoViegas1936, Carreira1961b, Machado1972, Niang2007, Gray1999, Hewlett, Frobenius1929</t>
  </si>
  <si>
    <t>Zaborowski1896, Frobenius1929, CarvalhoViegas1936, Carreira1962, Niang2007, Gray1999, Hewlett</t>
  </si>
  <si>
    <t>V - Mbaka</t>
  </si>
  <si>
    <t>VI - Ali (part of Mandjia)</t>
  </si>
  <si>
    <t>VII - Banziri + Lambassi</t>
  </si>
  <si>
    <t>VIII - Cameroon</t>
  </si>
  <si>
    <t>IX - Kanouri</t>
  </si>
  <si>
    <t>IX - Nzakara</t>
  </si>
  <si>
    <t>X - AOF</t>
  </si>
  <si>
    <t>XI - Yakoma</t>
  </si>
  <si>
    <t>XII - Haoussa</t>
  </si>
  <si>
    <t>XIV - Yakoma</t>
  </si>
  <si>
    <t>XV - Sara</t>
  </si>
  <si>
    <t>XVI - Sango</t>
  </si>
  <si>
    <t>XVII - Ndré (part of Banda)</t>
  </si>
  <si>
    <t>IX - Zande</t>
  </si>
  <si>
    <t>Gaud1911, Bruel1935, Frobenius1929, Gray1999, Hewlett</t>
  </si>
  <si>
    <t>Bornou (=Kanouri, Chad)</t>
  </si>
  <si>
    <t>Portuguese Congo (mostly Bazombo)</t>
  </si>
  <si>
    <t>TABLE CAR-2</t>
  </si>
  <si>
    <t>Mandjia</t>
  </si>
  <si>
    <t>Mbaka-Mandjia</t>
  </si>
  <si>
    <t>Banou</t>
  </si>
  <si>
    <t>Other Oubanguians (Zande, Nzakara)</t>
  </si>
  <si>
    <t>Sangha</t>
  </si>
  <si>
    <t>Chad (Mbum, Sara, Nilotic)</t>
  </si>
  <si>
    <t>Others (Haoussa, Cameroon)</t>
  </si>
  <si>
    <t>Ali (part of Mandjia)</t>
  </si>
  <si>
    <t>Mbaka</t>
  </si>
  <si>
    <t>DHS, Drain2006, Henric1902, Baumann1962, Forde1954, Gray1999, Hewlett</t>
  </si>
  <si>
    <t>GABON</t>
  </si>
  <si>
    <t>TABLE Gabon-1</t>
  </si>
  <si>
    <t>LIBREVILLE</t>
  </si>
  <si>
    <t>Fang</t>
  </si>
  <si>
    <t>Mpongwe</t>
  </si>
  <si>
    <t>Bapounou</t>
  </si>
  <si>
    <t>Vili</t>
  </si>
  <si>
    <t>Mbété</t>
  </si>
  <si>
    <t>Sékiani</t>
  </si>
  <si>
    <t>Masango/Sangu</t>
  </si>
  <si>
    <t>Cameroon</t>
  </si>
  <si>
    <r>
      <t>Table IvoryC-1.</t>
    </r>
    <r>
      <rPr>
        <sz val="10"/>
        <rFont val="Arial"/>
        <family val="0"/>
      </rPr>
      <t xml:space="preserve"> Circumcision rate estimates for Abidjan in 1955 and 1975. For the year 1955, the distribution of inhabitants by ethnic/regional origins is presented in Antoine et al. (1987), p.105 and in Bernus (1962), p.60. For the year 1975, the distribution of inhabitants by ethnic/regional origins is presented in Antoine et al. (1987), p.105 and in Marguerat (1982), p.334. Some of the ethnic groups listed were grouped in broader categories ("Kru </t>
    </r>
    <r>
      <rPr>
        <i/>
        <sz val="10"/>
        <rFont val="Arial"/>
        <family val="2"/>
      </rPr>
      <t>sensu latu</t>
    </r>
    <r>
      <rPr>
        <sz val="10"/>
        <rFont val="Arial"/>
        <family val="0"/>
      </rPr>
      <t>", "Southern Mande", and "Ivorian Voltaic"), in the sources above; in these cases, we assumed that ethnic groups within a broader category had proportions in Abidjan equal to the correspondent proportions for the whole country (as they appear in the Ethnologue database (Gordon 2005)). The bottom of the table shows the distribution of people by the defined circumcision classes CL1 and CL2 (the latter used in the charts of the Charts sheet). See additional explanations in the Charts sheet.</t>
    </r>
  </si>
  <si>
    <r>
      <t>Table IvoryC-3.</t>
    </r>
    <r>
      <rPr>
        <sz val="10"/>
        <rFont val="Arial"/>
        <family val="0"/>
      </rPr>
      <t xml:space="preserve"> Circumcision rate estimates for Bouaké in 1958 and 1969. The distribution of inhabitants by ethnic/regional origins is presented in Marguerat (1982), p.333. The bottom of the table shows the distribution of people by the defined circumcision classes CL1 and CL2 (the latter used in the charts of the Charts sheet). See additional explanations in the Charts sheet.</t>
    </r>
  </si>
  <si>
    <r>
      <t>Table IvoryC-2.</t>
    </r>
    <r>
      <rPr>
        <sz val="10"/>
        <rFont val="Arial"/>
        <family val="0"/>
      </rPr>
      <t xml:space="preserve"> Circumcision rate estimates for Abidjan in 1936. We could find in the literature only the number of Ebrié (Antoine et al. 1987, p.100) and the total city population (Le Pape 1993, p.338). We defined three scenarios for the relative proportions of the remaining groups. In scenario 1, we assumed the remaining groups had the same proportions as they have in the 1955 census (excluding the Ebrié) (Table IvoryC-1). In scenarios 2 and 3, we varied some of the proportions realistically, taking into account statements about the city's history from the existing literature (namely that the Ebrié, Baoulé, Other Akan, and Dioula/Malinké were far more numerous than the other groups (Bouscayrol 1949; Soumahoro 1996). The bottom of the table shows the distribution of people (of scenario 1) by the defined circumcision classes CL1 and CL2 (the latter used in the charts of the Charts sheet). See additional explanations in the Charts sheet.</t>
    </r>
  </si>
  <si>
    <t>Special</t>
  </si>
  <si>
    <r>
      <t>Table IvoryC-4.</t>
    </r>
    <r>
      <rPr>
        <sz val="10"/>
        <rFont val="Arial"/>
        <family val="0"/>
      </rPr>
      <t xml:space="preserve"> Circumcision rate estimates for Bouaké in 1931. We could only obtain the total number of inhabitants from Chaveau (1987), p.135. We defined three scenarios for the relative proportions of three main groups. Bouaké should have a great majority of Baoulé people, because it lies in the center of this ethnic group's range. There were a minority of Dioula traders (Chaveau 1987). Other groups should be little represented, because the city didn't experienced its boom yet. The bottom of the table shows the distribution of people (of scenario 1) by the defined circumcision classes CL1 and CL2 (the latter used in the charts of the Charts sheet). See additional explanations in the Charts sheet.</t>
    </r>
  </si>
  <si>
    <t>Kinshasa 1912</t>
  </si>
  <si>
    <t>Kinshasa 1927</t>
  </si>
  <si>
    <t>Douala 1935</t>
  </si>
  <si>
    <t>Brazzaville 1932</t>
  </si>
  <si>
    <t>Bangui 1931</t>
  </si>
  <si>
    <t>Libreville 1934</t>
  </si>
  <si>
    <t>Circumcision classes for the charts (they are picked from the countries' sheets)</t>
  </si>
  <si>
    <t>Other situations</t>
  </si>
  <si>
    <t>Kinshasa 1958</t>
  </si>
  <si>
    <t>Douala 1965</t>
  </si>
  <si>
    <t>Yaoundé 1957</t>
  </si>
  <si>
    <t>Color code</t>
  </si>
  <si>
    <t>blue</t>
  </si>
  <si>
    <t>dark blue</t>
  </si>
  <si>
    <t>green</t>
  </si>
  <si>
    <t>pink</t>
  </si>
  <si>
    <t>orange</t>
  </si>
  <si>
    <t>red</t>
  </si>
  <si>
    <t>Brazzaville 1950</t>
  </si>
  <si>
    <t>Bangui 1949</t>
  </si>
  <si>
    <t>Bangui 1960</t>
  </si>
  <si>
    <t>Libreville 1953</t>
  </si>
  <si>
    <t>CL2 class</t>
  </si>
  <si>
    <t>CL2 class:</t>
  </si>
  <si>
    <t>Central African cities</t>
  </si>
  <si>
    <t>West African cities</t>
  </si>
  <si>
    <t>Abidjan 1936</t>
  </si>
  <si>
    <t>Bouaké 1931</t>
  </si>
  <si>
    <t>Bissau 1940</t>
  </si>
  <si>
    <t>Conakry 1936</t>
  </si>
  <si>
    <t>Freetown 1911</t>
  </si>
  <si>
    <t>Freetown 1931</t>
  </si>
  <si>
    <t>Freetown 1921</t>
  </si>
  <si>
    <t>Monrovia 1939</t>
  </si>
  <si>
    <t>Abidjan 1955</t>
  </si>
  <si>
    <t>Abidjan 1975</t>
  </si>
  <si>
    <t>Bouaké 1958</t>
  </si>
  <si>
    <t>Bouaké 1969</t>
  </si>
  <si>
    <t>Bissau 1950</t>
  </si>
  <si>
    <t>Conakry 1950</t>
  </si>
  <si>
    <t>Freetown 1953</t>
  </si>
  <si>
    <t>Freetown 1963</t>
  </si>
  <si>
    <t>Monrovia 1958</t>
  </si>
  <si>
    <t>Bambamba (Mbere group)</t>
  </si>
  <si>
    <t>Bakota</t>
  </si>
  <si>
    <t>Baloumbou</t>
  </si>
  <si>
    <t>Togo + Dahomey</t>
  </si>
  <si>
    <t>Bapindji (Tshogo group)</t>
  </si>
  <si>
    <t>Nkomi (Omyéné group)</t>
  </si>
  <si>
    <t>Oroungou (Omyéné group)</t>
  </si>
  <si>
    <t>Benga</t>
  </si>
  <si>
    <t>Eshira</t>
  </si>
  <si>
    <t>Mbanhouin (Bakalai group)</t>
  </si>
  <si>
    <t>Bawoumbou (Bakalai group)</t>
  </si>
  <si>
    <t>Nigeria + Ghana</t>
  </si>
  <si>
    <t>Mitsogo</t>
  </si>
  <si>
    <t>Bakélé (Bakalai group)</t>
  </si>
  <si>
    <t>Galoa</t>
  </si>
  <si>
    <t>Batéké</t>
  </si>
  <si>
    <t>Bakouélé</t>
  </si>
  <si>
    <t>Adjoumba</t>
  </si>
  <si>
    <t>Various Congolese</t>
  </si>
  <si>
    <t>Balali</t>
  </si>
  <si>
    <t>Portuguese colonies</t>
  </si>
  <si>
    <t>Zande</t>
  </si>
  <si>
    <t>Mayoumba</t>
  </si>
  <si>
    <t>Bandassa (Bakalai group)</t>
  </si>
  <si>
    <t>Bakaningui (Mbama group)</t>
  </si>
  <si>
    <t>Ennenga</t>
  </si>
  <si>
    <t>Bakamba (Kongo group)</t>
  </si>
  <si>
    <t>Mindoumou (Mbama group)</t>
  </si>
  <si>
    <t>Bavarama</t>
  </si>
  <si>
    <t>Spanish Guinea</t>
  </si>
  <si>
    <t>Shake (Bakalai group)</t>
  </si>
  <si>
    <t>Okande</t>
  </si>
  <si>
    <t>Raponda-Walker1962, Hewlett</t>
  </si>
  <si>
    <t>Bandzabi (Njebi group)</t>
  </si>
  <si>
    <t>Badouma (Njebi group)</t>
  </si>
  <si>
    <t>Raponda-Walker1962</t>
  </si>
  <si>
    <t>Avelot1913, Frobenius1929</t>
  </si>
  <si>
    <t>Raponda-Walker1962, Gray1999, Hewlett</t>
  </si>
  <si>
    <t>Zaborowski1896, Frazer1938, Delafosse1912, Delafosse1930, Frobenius1929</t>
  </si>
  <si>
    <t>Kerandel1909, Lebeuf1954, Baumann1962, Gray1999, Hewlett</t>
  </si>
  <si>
    <t>Dan + Tura + Bissa</t>
  </si>
  <si>
    <t>Nassau1904, Frobenius1929</t>
  </si>
  <si>
    <t>Avelot1913, Perrois1967, Raponda-Walker1962, Hewlett</t>
  </si>
  <si>
    <t>Avelot1913, Perrois1967, Raponda-Walker1962, Hewlett, Baumann1962</t>
  </si>
  <si>
    <t>Nassau1904, Avelot1913, Frobenius1929, Frazer1938</t>
  </si>
  <si>
    <t>CAMEROON</t>
  </si>
  <si>
    <t>TABLE Cameroon-1</t>
  </si>
  <si>
    <t>DOUALA</t>
  </si>
  <si>
    <t>Duala</t>
  </si>
  <si>
    <r>
      <t>Table Guinea-3.</t>
    </r>
    <r>
      <rPr>
        <sz val="10"/>
        <rFont val="Arial"/>
        <family val="0"/>
      </rPr>
      <t xml:space="preserve"> Circumcision rate estimates for Conakry in 1923. We obtained estimated numbers of the groups Wolof, Sierra Leonese, and Mullato in Goerg (1990). We defined three scenarios for the counts of the remaining groups based on various statements taken from Goerg (1990, 2006), quantifying either the numbers or the percentages of the most important groups (Soussou, Baga, Peul), for several moments of the 1920s and early 1930s. We took into account the 1936 survey too (Table Guinea-2). Of note, the Kru group (the only one which could change our circumcision estimates significantly) was always much less numerous in the city than the Sierra Leonese (Goerg 1990). The bottom of the table shows the distribution of people (of scenario 1) by the defined circumcision classes CL1 and CL2 (the latter used in the charts of the Charts sheet). See additional explanations in the Charts sheet.</t>
    </r>
  </si>
  <si>
    <t>Conakry 1923</t>
  </si>
  <si>
    <t>Bassa</t>
  </si>
  <si>
    <t>Bakoko</t>
  </si>
  <si>
    <t>Others</t>
  </si>
  <si>
    <t>Other groups:</t>
  </si>
  <si>
    <t>Bafia</t>
  </si>
  <si>
    <t>Yabassi / Bandem</t>
  </si>
  <si>
    <t>Grassfields</t>
  </si>
  <si>
    <t>Foreigners</t>
  </si>
  <si>
    <t>Baboute</t>
  </si>
  <si>
    <t>Bamvele + Sanaga</t>
  </si>
  <si>
    <t>Bamun</t>
  </si>
  <si>
    <t>Batanga + Ngumba</t>
  </si>
  <si>
    <t>Boulou</t>
  </si>
  <si>
    <t>Haoussa + Chadian Arab</t>
  </si>
  <si>
    <t>Lagoti + Bayangui (=Banyang)</t>
  </si>
  <si>
    <t>Maka</t>
  </si>
  <si>
    <t>Mbo / Bakossi / Kundu</t>
  </si>
  <si>
    <t>Senegal + Togo</t>
  </si>
  <si>
    <t>Accra + S.Leone + Liberia</t>
  </si>
  <si>
    <t>Congo + Dahomey + Gabon</t>
  </si>
  <si>
    <t>Total of Other Groups</t>
  </si>
  <si>
    <t>Gausset1999, Gray1999</t>
  </si>
  <si>
    <t>Logo/ Madi/ Lugbara</t>
  </si>
  <si>
    <t>Mamvu/ Lese/ Mangutu</t>
  </si>
  <si>
    <t>Ndaka/ Mbo/ Pere</t>
  </si>
  <si>
    <t>VanGeluwe1960, Murdock1967, Gray1999, Hewlett</t>
  </si>
  <si>
    <t>Laburthe-Tolra1985, Laburthe-Tolra1999, Alexandre1958</t>
  </si>
  <si>
    <t>Henric1902, Hewlett, Gray1999</t>
  </si>
  <si>
    <t>Frazer1938, Delafosse1912, Delafosse1930, Zaborowski1896, Frobenius1929, Gray1999, Hewlett</t>
  </si>
  <si>
    <t>Songola/Gengele</t>
  </si>
  <si>
    <t>Clarke1863, Migeod1925, Strong1930, Schwab1947, Gray1999, Hewlett</t>
  </si>
  <si>
    <t>TABLE Cameroon-2</t>
  </si>
  <si>
    <t>TABLE Cameroon-3</t>
  </si>
  <si>
    <t>Duala &amp; similar (Pongo, Malimba, Wouri)</t>
  </si>
  <si>
    <t>Mungo + Yabassi + Mbo + Abo + Bandem + Mbang</t>
  </si>
  <si>
    <t>Bassa + Bakoko</t>
  </si>
  <si>
    <t>Beti + Eton + Yaunde + Bulu</t>
  </si>
  <si>
    <t>Bamileke</t>
  </si>
  <si>
    <t>Haoussa + Foulbé</t>
  </si>
  <si>
    <t>Central Bantu (Bafia, Banen, Sanaga, Niokon)</t>
  </si>
  <si>
    <t>Others Cameroon (East, North, Kribi)</t>
  </si>
  <si>
    <t>DHS, Delafosse1930, Bruel1935, Frazer1938, Schwab1947, Baumann1962, Cureau1915, Raponda-Walker1962, Gray1999, Hewlett, Frobenius1929</t>
  </si>
  <si>
    <t>TABLE Cameroon-4</t>
  </si>
  <si>
    <t>YAOUNDÉ</t>
  </si>
  <si>
    <t>Yaunde + Beti + Pahouin</t>
  </si>
  <si>
    <t>Central Bantu</t>
  </si>
  <si>
    <t>GUINEA-BISSAU / PORTUGUESE GUINEA</t>
  </si>
  <si>
    <t>TABLE GBissau-1</t>
  </si>
  <si>
    <t>BISSAU</t>
  </si>
  <si>
    <t>Papel</t>
  </si>
  <si>
    <t>Balanta</t>
  </si>
  <si>
    <t>Brame/Mancanha</t>
  </si>
  <si>
    <t>Manjaco</t>
  </si>
  <si>
    <t>Mandinga</t>
  </si>
  <si>
    <t>TABLE GBissau-2</t>
  </si>
  <si>
    <t>Westernized</t>
  </si>
  <si>
    <t>GUINEA-CONAKRY / FRENCH GUINEA</t>
  </si>
  <si>
    <t>TABLE Guinea-1</t>
  </si>
  <si>
    <t>CONAKRY</t>
  </si>
  <si>
    <t>Soussou</t>
  </si>
  <si>
    <t>Baga</t>
  </si>
  <si>
    <t>Peul / Futajalon</t>
  </si>
  <si>
    <t>Malinke</t>
  </si>
  <si>
    <t>Delafosse1930, Gray1999, Hewlett</t>
  </si>
  <si>
    <t>Zaborowski1896, Delafosse1930, Frazer1938, Gray1999, Hewlett</t>
  </si>
  <si>
    <t>Zaborowski1896, Delafosse1912, Frazer1938, Niang2007, Frobenius1929, Gray1999, Hewlett</t>
  </si>
  <si>
    <t>TABLE Guinea-2</t>
  </si>
  <si>
    <t>Kissi</t>
  </si>
  <si>
    <t>Toma + Loma</t>
  </si>
  <si>
    <t>Others (Malinke, Somono, Temne, Kru, Wolof, Lebu)</t>
  </si>
  <si>
    <t>SIERRA LEONE</t>
  </si>
  <si>
    <t>TABLE SLeone-1</t>
  </si>
  <si>
    <t>FREETOWN</t>
  </si>
  <si>
    <t>Creoles / Krio</t>
  </si>
  <si>
    <t>Temne</t>
  </si>
  <si>
    <t>Mende</t>
  </si>
  <si>
    <t>Limba</t>
  </si>
  <si>
    <t>Kru</t>
  </si>
  <si>
    <t>Loko</t>
  </si>
  <si>
    <t>Mandinka</t>
  </si>
  <si>
    <t>Fula</t>
  </si>
  <si>
    <t>Susu</t>
  </si>
  <si>
    <t>Porter1953</t>
  </si>
  <si>
    <t>Clarke1863, Zaborowski1896, Gray1999, Hewlett</t>
  </si>
  <si>
    <t>Clarke1863, Migeod1925, Jedrej1986, Gray1999, Hewlett</t>
  </si>
  <si>
    <t>Zaborowski1896, Frazer1938, Gray1999, Hewlett</t>
  </si>
  <si>
    <t>Clarke1863, Zaborowski1896, Migeod1925, Biyi1929, Strong1930, Schwab1947, Delafosse1930, Frazer1938, Paulme1971, Tully1994, Gray1999, Hewlett</t>
  </si>
  <si>
    <t>TABLE SLeone-2</t>
  </si>
  <si>
    <t>TABLE SLeone-3</t>
  </si>
  <si>
    <t>Creole</t>
  </si>
  <si>
    <t>Gallinas</t>
  </si>
  <si>
    <t>Gola</t>
  </si>
  <si>
    <t>Kono</t>
  </si>
  <si>
    <t>Krim (=Bullom)</t>
  </si>
  <si>
    <t>Koranko</t>
  </si>
  <si>
    <t>Sherbro</t>
  </si>
  <si>
    <t>Vai</t>
  </si>
  <si>
    <t>Yalunka</t>
  </si>
  <si>
    <t>Mandingo / Mandinka</t>
  </si>
  <si>
    <t>Schwab1947, Frobenius1929</t>
  </si>
  <si>
    <t>Migeod1925, Tully1994</t>
  </si>
  <si>
    <t>Zaborowski1896</t>
  </si>
  <si>
    <t>Clarke1863, Frazer1938, Gray1999</t>
  </si>
  <si>
    <t>Delafosse1912, Gray1999, Hewlett</t>
  </si>
  <si>
    <t>LIBERIA</t>
  </si>
  <si>
    <t>TABLE Liberia-1</t>
  </si>
  <si>
    <t>MONROVIA</t>
  </si>
  <si>
    <t>Kru + Grebo</t>
  </si>
  <si>
    <t>Biyi1929, Strong1930, Schwab1947, Baumann1962, Gray1999, Hewlett</t>
  </si>
  <si>
    <t>TABLE Liberia-2</t>
  </si>
  <si>
    <t>Bassa + De</t>
  </si>
  <si>
    <t>Vai + Mende + Gola</t>
  </si>
  <si>
    <t>Kpelle + Loma</t>
  </si>
  <si>
    <t>Other Liberians</t>
  </si>
  <si>
    <t>Biyi1929, Hewlett</t>
  </si>
  <si>
    <t>Clarke1863, Zaborowski1896, Migeod1925, Strong1930, Schwab1947, Baumann1962, Gray1999, Hewlett</t>
  </si>
  <si>
    <t>Delafosse1930, Schwab1947, Gray1999, Hewlett</t>
  </si>
  <si>
    <t>CÔTE D'IVOIRE / IVORY COAST</t>
  </si>
  <si>
    <t>TABLE IvoryC-1</t>
  </si>
  <si>
    <t>ABIDJAN</t>
  </si>
  <si>
    <t>Ebrié</t>
  </si>
  <si>
    <t>Baoulé</t>
  </si>
  <si>
    <t>Other Akan (Agni, Alladian, Attié)</t>
  </si>
  <si>
    <t>Beté</t>
  </si>
  <si>
    <t>Gouro</t>
  </si>
  <si>
    <t>Dioula + Malinké</t>
  </si>
  <si>
    <t>Krumen</t>
  </si>
  <si>
    <t>Guéré + Bakwé + Wobé + Dida</t>
  </si>
  <si>
    <t>Gagu + Ligbi + Gan</t>
  </si>
  <si>
    <t>Dan/Yacouba + Tura + Bissa</t>
  </si>
  <si>
    <t>Senoufo group</t>
  </si>
  <si>
    <t>Lobi + Birifor + Kulango</t>
  </si>
  <si>
    <t>Total of Ivorians</t>
  </si>
  <si>
    <t>Burkina Faso</t>
  </si>
  <si>
    <t>Mali</t>
  </si>
  <si>
    <t>Bénin</t>
  </si>
  <si>
    <t>Guinea</t>
  </si>
  <si>
    <t>Niger</t>
  </si>
  <si>
    <t>Total of foreigners</t>
  </si>
  <si>
    <t>Drain2006, Delafosse1912, Baumann1962, Gray1999, Hewlett</t>
  </si>
  <si>
    <t>DHS, Zaborowski1896, Delacour1913, Delafosse1930, Frazer1938, Baumann1962, Gray1999, Hewlett</t>
  </si>
  <si>
    <t>Drain2006, Frobenius1929, Baumann1962, Gray1999, Hewlett</t>
  </si>
  <si>
    <t>Weeks1914, FerreiraDiniz1918, Frazer1938, Alexandre1958, Bruel1935, Gray1999, Hewlett, MartinsVaz1970, Berlin1996</t>
  </si>
  <si>
    <t>Loyre1909, Koch1913, Baumann1962,Ballif1992</t>
  </si>
  <si>
    <t>Weeks1914, FerreiraDiniz1918, Frazer1938, Frobenius1929, MartinsVaz1970, Berlin1996, Drain2006</t>
  </si>
  <si>
    <t>Loyre1909, Koch1913, Bruel1910, Bruel1935, Perrois1967, Frobenius1929, Baumann1962, Ballif1992</t>
  </si>
  <si>
    <t>Courboin1904, Delafosse1930, Bruel1935, Ballif1992</t>
  </si>
  <si>
    <t>Cureau1915, Porter1953, SobralGonçalves1973, Berlin1996, Drain2006</t>
  </si>
  <si>
    <t>DHS, Labouret1914, Baumann1962, Gray1999, Hewlett</t>
  </si>
  <si>
    <t>DHS, Frobenius1929, Kobben1956, Paulme1962, Gray1999</t>
  </si>
  <si>
    <t>DHS, Gray1999, Hewlett</t>
  </si>
  <si>
    <t>DHS, Frobenius1929, Gray1999, Hewlett</t>
  </si>
  <si>
    <t>Frobenius1929, Schwab1947, Jedrej1986, Gray1999, Hewlett</t>
  </si>
  <si>
    <t>DHS, Delafosse1912, Delafosse1930, Baumann1962, Gray1999, Hewlett</t>
  </si>
  <si>
    <t>DHS, Ruelle1904, Delafosse1912, Baumann1962, Gray1999, Hewlett</t>
  </si>
  <si>
    <t># of people (3 scenarios)</t>
  </si>
  <si>
    <t>Scen. 1</t>
  </si>
  <si>
    <t>Scen. 2</t>
  </si>
  <si>
    <t>Scen. 3</t>
  </si>
  <si>
    <t>Other Akan</t>
  </si>
  <si>
    <t>Other Kru sensu latu (Guéré, Wobé, Dida, Bakwé)</t>
  </si>
  <si>
    <t>Senoufo</t>
  </si>
  <si>
    <t>Other Voltaic</t>
  </si>
  <si>
    <t>Limits of the three scenarios</t>
  </si>
  <si>
    <t>TABLE IvoryC-2</t>
  </si>
  <si>
    <t>TABLE IvoryC-3</t>
  </si>
  <si>
    <t>BOUAKÉ</t>
  </si>
  <si>
    <t>Dioula / Malinké</t>
  </si>
  <si>
    <t>Senufo</t>
  </si>
  <si>
    <t>Dioula</t>
  </si>
  <si>
    <t>Malinese</t>
  </si>
  <si>
    <t>Burkinese</t>
  </si>
  <si>
    <t>TABLE IvoryC-4</t>
  </si>
  <si>
    <t>Sierra Leonese</t>
  </si>
  <si>
    <t>Others (Toma, Kissi, Somono, Kru, Toucouleurs, Wolof, Lebu)</t>
  </si>
  <si>
    <t>TABLE Guinea-3</t>
  </si>
  <si>
    <t>Bas Congo district</t>
  </si>
  <si>
    <t>TABLE DRC-1</t>
  </si>
  <si>
    <t>Kwango district</t>
  </si>
  <si>
    <t>Kasai district</t>
  </si>
  <si>
    <t>Salampasu/Luntu</t>
  </si>
  <si>
    <t>Sankuru district</t>
  </si>
  <si>
    <t>Songye/Binji</t>
  </si>
  <si>
    <t>Doko</t>
  </si>
  <si>
    <t>Ntomba/Bobangi</t>
  </si>
  <si>
    <t>Équateur district</t>
  </si>
  <si>
    <t>Boyela/Bosaka</t>
  </si>
  <si>
    <t>Ntomba/Sengele</t>
  </si>
  <si>
    <t>Boma/Yans</t>
  </si>
  <si>
    <t>Mpama/Mongo</t>
  </si>
  <si>
    <t>Lac Leopold II district</t>
  </si>
  <si>
    <t>Lulonga district</t>
  </si>
  <si>
    <t>Ngombe</t>
  </si>
  <si>
    <t>Ngombe/Doko</t>
  </si>
  <si>
    <t>Ngbandi</t>
  </si>
  <si>
    <t>Bangala district</t>
  </si>
  <si>
    <t>Ngiri/Boloki</t>
  </si>
  <si>
    <t>Poto/Budja</t>
  </si>
  <si>
    <t>Gobu/Mono</t>
  </si>
  <si>
    <t>Ubangi district</t>
  </si>
  <si>
    <t>Malele/Popoi</t>
  </si>
  <si>
    <t>Mba</t>
  </si>
  <si>
    <t>Stanleyville district</t>
  </si>
  <si>
    <t>Mbole/Lengola</t>
  </si>
  <si>
    <t>Lokele/Lumbu</t>
  </si>
  <si>
    <t>Logo/Madi/Lugbara</t>
  </si>
  <si>
    <t>Haut Uele district</t>
  </si>
  <si>
    <t>Mamvu/Mambutu</t>
  </si>
  <si>
    <t>Mba/Amadi</t>
  </si>
  <si>
    <t>Bas Uele district</t>
  </si>
  <si>
    <t>Malele/Makere</t>
  </si>
  <si>
    <t>Mbole</t>
  </si>
  <si>
    <t>Topoke/Sdo</t>
  </si>
  <si>
    <t>Bango/Budja</t>
  </si>
  <si>
    <t>Aruwimi district</t>
  </si>
  <si>
    <t>Mamvu/Lese</t>
  </si>
  <si>
    <t>Ndaka/Mbo/Pere</t>
  </si>
  <si>
    <t>Ituri district</t>
  </si>
  <si>
    <t>Bembe</t>
  </si>
  <si>
    <t>Bangubangu/Songye</t>
  </si>
  <si>
    <t>Hemba/Luba</t>
  </si>
  <si>
    <t>Maniema district</t>
  </si>
  <si>
    <t>Haut Luapula district</t>
  </si>
  <si>
    <t>Luba-Kasai/Kanyok</t>
  </si>
  <si>
    <t>Lomami district</t>
  </si>
  <si>
    <t>Luba-Katanga/Hemba</t>
  </si>
  <si>
    <t>Bembe/Boyo</t>
  </si>
  <si>
    <t>Tanganiyka-Mueru district</t>
  </si>
  <si>
    <t>Kivu district</t>
  </si>
  <si>
    <t>Clarke1863, Zaborowski1896, Jensen1933, Biyi1929, Strong1930, Schwab1947, Delafosse1930, Frazer1938, Gray1999, Hewlett</t>
  </si>
  <si>
    <t>Zaborowski1896, Frobenius1929, Jensen1933, Gray1999, Niang2007</t>
  </si>
  <si>
    <t>Biyi1929, Jensen1933, Strong1930, Schwab1947, Baumann1962, Hewlett</t>
  </si>
  <si>
    <t>Clarke1863, Zaborowski1896, Biyi1929, Strong1930, Jensen1933, Schwab1947, Delafosse1930, Frazer1938, Gray1999, Hewlett</t>
  </si>
  <si>
    <t>Biyi1929, Strong1930, Jensen1933, Schwab1947, Baumann1962, Hewlett</t>
  </si>
  <si>
    <t>DHS, Strong1930, Jensen1933, Fraenkel1964</t>
  </si>
  <si>
    <t>DHS, Biyi1929, Strong1930, Jensen1933, Schwab1947, Baumann1962, Hewlett</t>
  </si>
  <si>
    <t>DHS, Frobenius1929, Jensen1933, Niangoran-Bouah1964, Augé1975</t>
  </si>
  <si>
    <t>DHS, Delafosse1893, Zaborowski1896, Frobenius1929, Jensen1933, Baumann1962, Niangoran-Bouah1964, Augé1975</t>
  </si>
  <si>
    <t>DHS, Zaborowski1896, Ruelle1904, Delafosse1912, Jensen1933, Baumann1962, Gray1999, Hewlett</t>
  </si>
  <si>
    <t>DHS, Ruelle1904, Delafosse1912, Jensen1933, Baumann1962, Gray1999, Hewlett</t>
  </si>
  <si>
    <t>MajPuberty</t>
  </si>
  <si>
    <t>DHS, Koch1913, Allys1930, Torday1928, Delafosse1930, Jensen1933, Bruel1935, Frazer1938, Schwab1947, Forde1954, Merfield1957, Baumann1962, Cureau1915, Raponda-Walker1962, Gray1999, Hewlett, Frobenius1929, Laurent2004</t>
  </si>
  <si>
    <t>DHS, Tessmann1913, Koch1913, Jensen1933, Merfield1957, McCulloch1954, Baumann1962, Frobenius1929, Berlin1996, Gray1999, Hewlett</t>
  </si>
  <si>
    <t>Described as far from general, or with important within-group regional inconsistencies</t>
  </si>
  <si>
    <t>Favored and done usually up to puberty, but many exceptions expected from foreign influence</t>
  </si>
  <si>
    <t>Cureau1915, CarvalhoViegas1936, SobralGonçalves1973, Berlin1996, Drain2006</t>
  </si>
  <si>
    <t>Cureau1915, Frobenius1929, Jensen1933, Frazer 1938, Ittmann1953, Bureau1962, Bureau1996, Gray1999, Bekombo-Priso2009, Hewlett</t>
  </si>
  <si>
    <t>Cureau1915, Jensen1933, Frazer1938, Frobenius1929, Gray1999, Hewlett</t>
  </si>
  <si>
    <t>Zaborowski1896, Bruel1935, Frazer1938, Hewlett</t>
  </si>
  <si>
    <t>Lulua district</t>
  </si>
  <si>
    <t>Weight in district (%)</t>
  </si>
  <si>
    <t>Wolof</t>
  </si>
  <si>
    <t>Mullato</t>
  </si>
  <si>
    <t>Peul / Futajalon + Malinke</t>
  </si>
  <si>
    <t>Others (Kissi, Somono, Toucouleurs, others)</t>
  </si>
  <si>
    <t>Westernized Africans</t>
  </si>
  <si>
    <t>GenTimeFFG</t>
  </si>
  <si>
    <t>GenTimeAdopt</t>
  </si>
  <si>
    <t>Years elapsed until generalization after adoption (e.g., by imitation)</t>
  </si>
  <si>
    <t>Accra (Gold Coast)</t>
  </si>
  <si>
    <t>Circumcision rates for the charts (they are picked from the countries' sheets)</t>
  </si>
  <si>
    <t>CONTROL OF PARAMETERS AND GENERATION OF CHARTS OF CIRCUMCISION RATE ESTIMATES</t>
  </si>
  <si>
    <t>PARAMETERS USED FOR ESTIMATES OF CIRCUMCISION BASED ON ETHNOGRAPHIES</t>
  </si>
  <si>
    <t>FerreiraDiniz1918,Frazer1938, Bruel1935, MartinsVaz1970</t>
  </si>
  <si>
    <t>Circ. CL1</t>
  </si>
  <si>
    <t>1. GenPuberty</t>
  </si>
  <si>
    <t>7. LateAdol_&lt;GenTime</t>
  </si>
  <si>
    <t>6. LateAdol_&gt;=GenTime</t>
  </si>
  <si>
    <t>8. Absent</t>
  </si>
  <si>
    <t>3. Adop_FFGen_&gt;=2/3GenT&lt;GenT</t>
  </si>
  <si>
    <t>2. Adop_FFGen_&gt;=GenTime</t>
  </si>
  <si>
    <t>4. Adop_FFGen_&gt;=1/3GenT&lt;2/3GenT</t>
  </si>
  <si>
    <t>5. Adop_FFGen_&lt;1/3GenTime</t>
  </si>
  <si>
    <t>9. Other situations</t>
  </si>
  <si>
    <t>Circumcision classes. CL1</t>
  </si>
  <si>
    <t>CL2 (used in charts)</t>
  </si>
  <si>
    <t>City quarter and ethnic group/ region of origin</t>
  </si>
  <si>
    <t>% of popul. (3 scenarios)</t>
  </si>
  <si>
    <t>Years elapsed until generalization after the time when it's described as far from general</t>
  </si>
  <si>
    <t xml:space="preserve">     Estimated circumcision rates (%) in adults (&gt;20) when circumcision is...</t>
  </si>
  <si>
    <t>Koch1913, Allys1930, Merfield1957, Frobenius1929, Laurent2004</t>
  </si>
  <si>
    <t>Torday1906, Torday1907</t>
  </si>
  <si>
    <t>Frazer1938, Hoover1978, Frobenius1929</t>
  </si>
  <si>
    <t>Baumann1962, Hoover1978</t>
  </si>
  <si>
    <t>Lwena/ Luvale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</si>
</sst>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im&quot;;&quot;Sim&quot;;&quot;Não&quot;"/>
    <numFmt numFmtId="167" formatCode="&quot;Verdadeiro&quot;;&quot;Verdadeiro&quot;;&quot;Falso&quot;"/>
    <numFmt numFmtId="168" formatCode="&quot;Activado&quot;;&quot;Activado&quot;;&quot;Desactivado&quot;"/>
    <numFmt numFmtId="169" formatCode="0.00000"/>
  </numFmts>
  <fonts count="27">
    <font>
      <sz val="10"/>
      <name val="Arial"/>
      <family val="0"/>
    </font>
    <font>
      <sz val="8"/>
      <name val="Arial"/>
      <family val="0"/>
    </font>
    <font>
      <b/>
      <sz val="12"/>
      <name val="Arial"/>
      <family val="2"/>
    </font>
    <font>
      <sz val="9"/>
      <name val="Tahoma"/>
      <family val="0"/>
    </font>
    <font>
      <sz val="8"/>
      <name val="Tahoma"/>
      <family val="0"/>
    </font>
    <font>
      <b/>
      <sz val="10"/>
      <name val="Arial"/>
      <family val="2"/>
    </font>
    <font>
      <sz val="12"/>
      <name val="Arial"/>
      <family val="0"/>
    </font>
    <font>
      <u val="single"/>
      <sz val="10"/>
      <color indexed="12"/>
      <name val="Arial"/>
      <family val="0"/>
    </font>
    <font>
      <u val="single"/>
      <sz val="10"/>
      <color indexed="36"/>
      <name val="Arial"/>
      <family val="0"/>
    </font>
    <font>
      <b/>
      <sz val="8"/>
      <name val="Arial"/>
      <family val="2"/>
    </font>
    <font>
      <b/>
      <u val="single"/>
      <sz val="10"/>
      <name val="Arial"/>
      <family val="2"/>
    </font>
    <font>
      <i/>
      <sz val="9"/>
      <name val="Tahoma"/>
      <family val="2"/>
    </font>
    <font>
      <i/>
      <sz val="10"/>
      <name val="Arial"/>
      <family val="2"/>
    </font>
    <font>
      <sz val="16"/>
      <name val="Arial"/>
      <family val="0"/>
    </font>
    <font>
      <sz val="14"/>
      <name val="Arial"/>
      <family val="0"/>
    </font>
    <font>
      <sz val="8"/>
      <name val="Arial Narrow"/>
      <family val="2"/>
    </font>
    <font>
      <sz val="9.5"/>
      <name val="Arial Narrow"/>
      <family val="2"/>
    </font>
    <font>
      <sz val="5.75"/>
      <name val="Arial"/>
      <family val="0"/>
    </font>
    <font>
      <b/>
      <sz val="9"/>
      <name val="Arial"/>
      <family val="2"/>
    </font>
    <font>
      <sz val="12"/>
      <name val="Arial Narrow"/>
      <family val="2"/>
    </font>
    <font>
      <sz val="10.25"/>
      <name val="Arial Narrow"/>
      <family val="2"/>
    </font>
    <font>
      <sz val="10"/>
      <name val="Arial Narrow"/>
      <family val="2"/>
    </font>
    <font>
      <sz val="12"/>
      <name val="Verdana"/>
      <family val="2"/>
    </font>
    <font>
      <b/>
      <sz val="14"/>
      <name val="Arial"/>
      <family val="2"/>
    </font>
    <font>
      <u val="single"/>
      <sz val="12"/>
      <color indexed="12"/>
      <name val="Arial"/>
      <family val="0"/>
    </font>
    <font>
      <sz val="18"/>
      <name val="Arial"/>
      <family val="0"/>
    </font>
    <font>
      <sz val="9"/>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316">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vertical="top"/>
    </xf>
    <xf numFmtId="0" fontId="2" fillId="2" borderId="1" xfId="0" applyFont="1" applyFill="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1" fillId="0" borderId="8" xfId="0" applyFont="1" applyBorder="1" applyAlignment="1">
      <alignment vertical="top" wrapText="1"/>
    </xf>
    <xf numFmtId="2" fontId="1" fillId="0" borderId="0" xfId="0" applyNumberFormat="1" applyFont="1" applyBorder="1" applyAlignment="1">
      <alignment vertical="top" wrapText="1"/>
    </xf>
    <xf numFmtId="2" fontId="1" fillId="0" borderId="8" xfId="0" applyNumberFormat="1" applyFont="1" applyBorder="1" applyAlignment="1">
      <alignment vertical="top" wrapText="1"/>
    </xf>
    <xf numFmtId="0" fontId="1" fillId="0" borderId="0" xfId="0" applyFont="1" applyFill="1" applyBorder="1" applyAlignment="1">
      <alignment vertical="top" wrapText="1"/>
    </xf>
    <xf numFmtId="0" fontId="1" fillId="0" borderId="8" xfId="0" applyFont="1" applyFill="1" applyBorder="1" applyAlignment="1">
      <alignment vertical="top" wrapText="1"/>
    </xf>
    <xf numFmtId="0" fontId="1" fillId="2" borderId="4" xfId="0" applyFont="1" applyFill="1" applyBorder="1" applyAlignment="1">
      <alignment vertical="top" wrapText="1"/>
    </xf>
    <xf numFmtId="2" fontId="1" fillId="2" borderId="5" xfId="0" applyNumberFormat="1" applyFont="1" applyFill="1" applyBorder="1" applyAlignment="1">
      <alignment vertical="top" wrapText="1"/>
    </xf>
    <xf numFmtId="2" fontId="1" fillId="2" borderId="6" xfId="0" applyNumberFormat="1"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0" fillId="0" borderId="0" xfId="0" applyFill="1" applyBorder="1" applyAlignment="1">
      <alignment/>
    </xf>
    <xf numFmtId="0" fontId="1" fillId="0" borderId="0" xfId="0" applyFont="1" applyFill="1" applyBorder="1" applyAlignment="1">
      <alignment/>
    </xf>
    <xf numFmtId="0" fontId="1" fillId="0" borderId="0" xfId="0" applyFont="1" applyFill="1" applyBorder="1" applyAlignment="1">
      <alignment vertical="top"/>
    </xf>
    <xf numFmtId="0" fontId="2" fillId="0" borderId="0" xfId="0" applyFont="1" applyFill="1" applyBorder="1" applyAlignment="1">
      <alignment vertical="top" wrapText="1"/>
    </xf>
    <xf numFmtId="0" fontId="1" fillId="0" borderId="8" xfId="0" applyFont="1" applyBorder="1" applyAlignment="1">
      <alignment/>
    </xf>
    <xf numFmtId="0" fontId="1" fillId="0" borderId="2" xfId="0" applyFont="1" applyBorder="1" applyAlignment="1">
      <alignment/>
    </xf>
    <xf numFmtId="0" fontId="1" fillId="0" borderId="1" xfId="0" applyFont="1" applyBorder="1" applyAlignment="1">
      <alignment vertical="top" wrapText="1"/>
    </xf>
    <xf numFmtId="0" fontId="1" fillId="0" borderId="5" xfId="0" applyFont="1" applyBorder="1" applyAlignment="1">
      <alignment/>
    </xf>
    <xf numFmtId="164" fontId="1" fillId="0" borderId="0" xfId="0" applyNumberFormat="1" applyFont="1" applyBorder="1" applyAlignment="1">
      <alignment vertical="top" wrapText="1"/>
    </xf>
    <xf numFmtId="0" fontId="1" fillId="0" borderId="7" xfId="0" applyFont="1" applyFill="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vertical="top"/>
    </xf>
    <xf numFmtId="164" fontId="1" fillId="0" borderId="0" xfId="0" applyNumberFormat="1" applyFont="1" applyBorder="1" applyAlignment="1">
      <alignment/>
    </xf>
    <xf numFmtId="164" fontId="1" fillId="0" borderId="8" xfId="0" applyNumberFormat="1" applyFont="1" applyBorder="1" applyAlignment="1">
      <alignment vertical="top" wrapText="1"/>
    </xf>
    <xf numFmtId="0" fontId="0" fillId="0" borderId="0" xfId="0" applyBorder="1" applyAlignment="1">
      <alignment/>
    </xf>
    <xf numFmtId="0" fontId="0" fillId="0" borderId="2" xfId="0" applyBorder="1" applyAlignment="1">
      <alignment/>
    </xf>
    <xf numFmtId="0" fontId="1" fillId="0" borderId="3" xfId="0" applyFont="1" applyBorder="1" applyAlignment="1">
      <alignment/>
    </xf>
    <xf numFmtId="0" fontId="0" fillId="0" borderId="5" xfId="0" applyBorder="1" applyAlignment="1">
      <alignment/>
    </xf>
    <xf numFmtId="0" fontId="1" fillId="0" borderId="0" xfId="0" applyFont="1" applyAlignment="1">
      <alignment vertical="top" wrapText="1"/>
    </xf>
    <xf numFmtId="0" fontId="1" fillId="0" borderId="7" xfId="0" applyFont="1" applyBorder="1" applyAlignment="1">
      <alignment vertical="top"/>
    </xf>
    <xf numFmtId="0" fontId="1" fillId="0" borderId="8" xfId="0" applyFont="1" applyBorder="1" applyAlignment="1">
      <alignment vertical="top"/>
    </xf>
    <xf numFmtId="0" fontId="1" fillId="0" borderId="5" xfId="0" applyFont="1" applyFill="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0" fillId="0" borderId="3" xfId="0" applyBorder="1" applyAlignment="1">
      <alignment/>
    </xf>
    <xf numFmtId="0" fontId="0" fillId="0" borderId="8" xfId="0" applyBorder="1" applyAlignment="1">
      <alignment/>
    </xf>
    <xf numFmtId="0" fontId="0" fillId="0" borderId="6" xfId="0" applyBorder="1" applyAlignment="1">
      <alignment/>
    </xf>
    <xf numFmtId="0" fontId="1" fillId="0" borderId="5" xfId="0" applyFont="1" applyBorder="1" applyAlignment="1">
      <alignment vertical="top"/>
    </xf>
    <xf numFmtId="0" fontId="0" fillId="0" borderId="9" xfId="0" applyBorder="1" applyAlignment="1">
      <alignment/>
    </xf>
    <xf numFmtId="0" fontId="0" fillId="0" borderId="10" xfId="0" applyBorder="1" applyAlignment="1">
      <alignment vertical="top"/>
    </xf>
    <xf numFmtId="0" fontId="1" fillId="0" borderId="4" xfId="0" applyFont="1" applyFill="1" applyBorder="1" applyAlignment="1">
      <alignment vertical="top"/>
    </xf>
    <xf numFmtId="0" fontId="0" fillId="0" borderId="2" xfId="0" applyBorder="1" applyAlignment="1">
      <alignment vertical="top"/>
    </xf>
    <xf numFmtId="0" fontId="0" fillId="0" borderId="0" xfId="0" applyBorder="1" applyAlignment="1">
      <alignment vertical="top"/>
    </xf>
    <xf numFmtId="0" fontId="1" fillId="0" borderId="2" xfId="0" applyFont="1" applyFill="1" applyBorder="1" applyAlignment="1">
      <alignment/>
    </xf>
    <xf numFmtId="0" fontId="1" fillId="0" borderId="2" xfId="0" applyFont="1" applyFill="1" applyBorder="1" applyAlignment="1">
      <alignment vertical="top"/>
    </xf>
    <xf numFmtId="0" fontId="1" fillId="0" borderId="1" xfId="0" applyFont="1" applyBorder="1" applyAlignment="1">
      <alignment vertical="top"/>
    </xf>
    <xf numFmtId="0" fontId="1" fillId="0" borderId="2" xfId="0" applyFont="1" applyBorder="1" applyAlignment="1">
      <alignment vertical="top"/>
    </xf>
    <xf numFmtId="0" fontId="1" fillId="3" borderId="5" xfId="0" applyFont="1" applyFill="1" applyBorder="1" applyAlignment="1">
      <alignment vertical="top"/>
    </xf>
    <xf numFmtId="2" fontId="1" fillId="0" borderId="0" xfId="0" applyNumberFormat="1" applyFont="1" applyBorder="1" applyAlignment="1">
      <alignment vertical="top"/>
    </xf>
    <xf numFmtId="2" fontId="1" fillId="0" borderId="5" xfId="0" applyNumberFormat="1" applyFont="1" applyBorder="1" applyAlignment="1">
      <alignment vertical="top"/>
    </xf>
    <xf numFmtId="0" fontId="2" fillId="2" borderId="11" xfId="0" applyFont="1" applyFill="1" applyBorder="1" applyAlignment="1">
      <alignment vertical="top"/>
    </xf>
    <xf numFmtId="0" fontId="2" fillId="2" borderId="11" xfId="0" applyFont="1" applyFill="1" applyBorder="1" applyAlignment="1">
      <alignment/>
    </xf>
    <xf numFmtId="0" fontId="13" fillId="0" borderId="0" xfId="0" applyFont="1" applyAlignment="1">
      <alignment/>
    </xf>
    <xf numFmtId="0" fontId="6" fillId="0" borderId="0" xfId="0" applyFont="1" applyAlignment="1">
      <alignment/>
    </xf>
    <xf numFmtId="0" fontId="1" fillId="0" borderId="12" xfId="0" applyFont="1" applyBorder="1" applyAlignment="1">
      <alignment vertical="top" wrapText="1"/>
    </xf>
    <xf numFmtId="0" fontId="0" fillId="0" borderId="13" xfId="0" applyBorder="1" applyAlignment="1">
      <alignment vertical="top"/>
    </xf>
    <xf numFmtId="0" fontId="0" fillId="0" borderId="9" xfId="0" applyBorder="1" applyAlignment="1">
      <alignment vertical="top"/>
    </xf>
    <xf numFmtId="0" fontId="1" fillId="0" borderId="8" xfId="0" applyFont="1" applyFill="1" applyBorder="1" applyAlignment="1">
      <alignment vertical="top"/>
    </xf>
    <xf numFmtId="0" fontId="1" fillId="0" borderId="14" xfId="0" applyFont="1" applyBorder="1" applyAlignment="1">
      <alignment vertical="top" wrapText="1"/>
    </xf>
    <xf numFmtId="0" fontId="1" fillId="0" borderId="12" xfId="0" applyFont="1" applyBorder="1" applyAlignment="1">
      <alignment vertical="top"/>
    </xf>
    <xf numFmtId="0" fontId="1" fillId="0" borderId="3" xfId="0" applyFont="1" applyBorder="1" applyAlignment="1">
      <alignment vertical="top"/>
    </xf>
    <xf numFmtId="0" fontId="1" fillId="0" borderId="9" xfId="0" applyFont="1" applyBorder="1" applyAlignment="1">
      <alignment vertical="top"/>
    </xf>
    <xf numFmtId="0" fontId="5" fillId="0" borderId="13" xfId="0" applyFont="1" applyBorder="1" applyAlignment="1">
      <alignment vertical="top"/>
    </xf>
    <xf numFmtId="0" fontId="1" fillId="0" borderId="2" xfId="0" applyFont="1" applyBorder="1" applyAlignment="1">
      <alignment vertical="top"/>
    </xf>
    <xf numFmtId="0" fontId="1" fillId="0" borderId="15" xfId="0" applyFont="1" applyBorder="1" applyAlignment="1">
      <alignment vertical="top" wrapText="1"/>
    </xf>
    <xf numFmtId="0" fontId="1" fillId="0" borderId="14" xfId="0" applyFont="1" applyBorder="1" applyAlignment="1">
      <alignment vertical="top"/>
    </xf>
    <xf numFmtId="165" fontId="1" fillId="0" borderId="0" xfId="0" applyNumberFormat="1" applyFont="1" applyFill="1" applyBorder="1" applyAlignment="1">
      <alignment/>
    </xf>
    <xf numFmtId="2" fontId="1" fillId="0" borderId="6" xfId="0" applyNumberFormat="1" applyFont="1" applyBorder="1" applyAlignment="1">
      <alignment vertical="top"/>
    </xf>
    <xf numFmtId="2" fontId="1" fillId="0" borderId="8" xfId="0" applyNumberFormat="1" applyFont="1" applyBorder="1" applyAlignment="1">
      <alignment vertical="top"/>
    </xf>
    <xf numFmtId="2" fontId="1" fillId="0" borderId="3" xfId="0" applyNumberFormat="1" applyFont="1" applyBorder="1" applyAlignment="1">
      <alignment vertical="top"/>
    </xf>
    <xf numFmtId="0" fontId="1" fillId="0" borderId="15" xfId="0" applyFont="1" applyBorder="1" applyAlignment="1">
      <alignment vertical="top"/>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5" fillId="2" borderId="8" xfId="0" applyFont="1" applyFill="1" applyBorder="1" applyAlignment="1">
      <alignment vertical="top"/>
    </xf>
    <xf numFmtId="0" fontId="1" fillId="0" borderId="9" xfId="0" applyFont="1" applyFill="1" applyBorder="1" applyAlignment="1">
      <alignment vertical="top" wrapText="1"/>
    </xf>
    <xf numFmtId="0" fontId="0" fillId="0" borderId="9" xfId="0" applyBorder="1" applyAlignment="1">
      <alignment vertical="top" wrapText="1"/>
    </xf>
    <xf numFmtId="0" fontId="2" fillId="2" borderId="13" xfId="0" applyFont="1" applyFill="1" applyBorder="1" applyAlignment="1">
      <alignment vertical="top" wrapText="1"/>
    </xf>
    <xf numFmtId="0" fontId="2" fillId="2" borderId="11" xfId="0" applyFont="1" applyFill="1" applyBorder="1" applyAlignment="1">
      <alignment vertical="top" wrapText="1"/>
    </xf>
    <xf numFmtId="0" fontId="2" fillId="0" borderId="11" xfId="0" applyFont="1" applyBorder="1" applyAlignment="1">
      <alignment/>
    </xf>
    <xf numFmtId="0" fontId="2" fillId="0" borderId="15" xfId="0" applyFont="1" applyFill="1" applyBorder="1" applyAlignment="1">
      <alignment vertical="top" wrapText="1"/>
    </xf>
    <xf numFmtId="0" fontId="2" fillId="2" borderId="13" xfId="0" applyFont="1" applyFill="1" applyBorder="1" applyAlignment="1">
      <alignment/>
    </xf>
    <xf numFmtId="0" fontId="0" fillId="0" borderId="12" xfId="0" applyBorder="1" applyAlignment="1">
      <alignment vertical="top" wrapText="1"/>
    </xf>
    <xf numFmtId="2" fontId="1" fillId="0" borderId="7" xfId="0" applyNumberFormat="1" applyFont="1" applyBorder="1" applyAlignment="1">
      <alignment vertical="top" wrapText="1"/>
    </xf>
    <xf numFmtId="0" fontId="1" fillId="2" borderId="5" xfId="0" applyFont="1" applyFill="1" applyBorder="1" applyAlignment="1">
      <alignment vertical="top" wrapText="1"/>
    </xf>
    <xf numFmtId="0" fontId="1" fillId="0" borderId="8" xfId="0" applyFont="1" applyBorder="1" applyAlignment="1">
      <alignment vertical="top" wrapText="1"/>
    </xf>
    <xf numFmtId="1" fontId="1" fillId="0" borderId="0" xfId="0" applyNumberFormat="1" applyFont="1" applyBorder="1" applyAlignment="1">
      <alignment vertical="top" wrapText="1"/>
    </xf>
    <xf numFmtId="2" fontId="1" fillId="0" borderId="8" xfId="0" applyNumberFormat="1" applyFont="1" applyBorder="1" applyAlignment="1">
      <alignment vertical="top" wrapText="1"/>
    </xf>
    <xf numFmtId="2" fontId="1" fillId="0" borderId="3" xfId="0" applyNumberFormat="1" applyFont="1" applyBorder="1" applyAlignment="1">
      <alignment vertical="top" wrapText="1"/>
    </xf>
    <xf numFmtId="2" fontId="1" fillId="0" borderId="2" xfId="0" applyNumberFormat="1" applyFont="1" applyBorder="1" applyAlignment="1">
      <alignment vertical="top" wrapText="1"/>
    </xf>
    <xf numFmtId="0" fontId="1" fillId="0" borderId="1" xfId="0" applyFont="1" applyFill="1" applyBorder="1" applyAlignment="1">
      <alignment vertical="top" wrapText="1"/>
    </xf>
    <xf numFmtId="0" fontId="0" fillId="0" borderId="12" xfId="0" applyBorder="1" applyAlignment="1">
      <alignment/>
    </xf>
    <xf numFmtId="0" fontId="1" fillId="0" borderId="7" xfId="0" applyFont="1" applyBorder="1" applyAlignment="1">
      <alignment/>
    </xf>
    <xf numFmtId="0" fontId="1" fillId="0" borderId="8" xfId="0" applyFont="1" applyBorder="1" applyAlignment="1">
      <alignment vertical="top"/>
    </xf>
    <xf numFmtId="2" fontId="1" fillId="2" borderId="5" xfId="0" applyNumberFormat="1" applyFont="1" applyFill="1" applyBorder="1" applyAlignment="1">
      <alignment vertical="top"/>
    </xf>
    <xf numFmtId="0" fontId="1" fillId="0" borderId="6" xfId="0" applyFont="1" applyBorder="1" applyAlignment="1">
      <alignment vertical="top" wrapText="1"/>
    </xf>
    <xf numFmtId="1" fontId="1" fillId="0" borderId="8" xfId="0" applyNumberFormat="1" applyFont="1" applyBorder="1" applyAlignment="1">
      <alignment vertical="top" wrapText="1"/>
    </xf>
    <xf numFmtId="1" fontId="1" fillId="0" borderId="1" xfId="0" applyNumberFormat="1" applyFont="1" applyBorder="1" applyAlignment="1">
      <alignment vertical="top" wrapText="1"/>
    </xf>
    <xf numFmtId="1" fontId="1" fillId="0" borderId="7" xfId="0" applyNumberFormat="1" applyFont="1" applyBorder="1" applyAlignment="1">
      <alignment vertical="top" wrapText="1"/>
    </xf>
    <xf numFmtId="0" fontId="0" fillId="0" borderId="10" xfId="0" applyBorder="1" applyAlignment="1">
      <alignment/>
    </xf>
    <xf numFmtId="1" fontId="1" fillId="0" borderId="7" xfId="0" applyNumberFormat="1" applyFont="1" applyFill="1" applyBorder="1" applyAlignment="1">
      <alignment vertical="top" wrapText="1"/>
    </xf>
    <xf numFmtId="1" fontId="1" fillId="0" borderId="3" xfId="0" applyNumberFormat="1" applyFont="1" applyBorder="1" applyAlignment="1">
      <alignment vertical="top" wrapText="1"/>
    </xf>
    <xf numFmtId="1" fontId="1" fillId="0" borderId="8" xfId="0" applyNumberFormat="1" applyFont="1" applyFill="1" applyBorder="1" applyAlignment="1">
      <alignment vertical="top" wrapText="1"/>
    </xf>
    <xf numFmtId="1" fontId="1" fillId="0" borderId="2" xfId="0" applyNumberFormat="1" applyFont="1" applyBorder="1" applyAlignment="1">
      <alignment vertical="top" wrapText="1"/>
    </xf>
    <xf numFmtId="2" fontId="1" fillId="2" borderId="10" xfId="0" applyNumberFormat="1" applyFont="1" applyFill="1" applyBorder="1" applyAlignment="1">
      <alignment vertical="top" wrapText="1"/>
    </xf>
    <xf numFmtId="0" fontId="1" fillId="0" borderId="14" xfId="0" applyFont="1" applyBorder="1" applyAlignment="1">
      <alignment vertical="top" wrapText="1"/>
    </xf>
    <xf numFmtId="2" fontId="1" fillId="2" borderId="5" xfId="0" applyNumberFormat="1" applyFont="1" applyFill="1" applyBorder="1" applyAlignment="1">
      <alignment vertical="top" wrapText="1"/>
    </xf>
    <xf numFmtId="2" fontId="1" fillId="2" borderId="6" xfId="0" applyNumberFormat="1" applyFont="1" applyFill="1" applyBorder="1" applyAlignment="1">
      <alignment vertical="top" wrapText="1"/>
    </xf>
    <xf numFmtId="0" fontId="1" fillId="0" borderId="3" xfId="0" applyFont="1" applyBorder="1" applyAlignment="1">
      <alignment vertical="top"/>
    </xf>
    <xf numFmtId="1" fontId="1" fillId="0" borderId="14" xfId="0" applyNumberFormat="1" applyFont="1" applyBorder="1" applyAlignment="1">
      <alignment vertical="top" wrapText="1"/>
    </xf>
    <xf numFmtId="0" fontId="2" fillId="2" borderId="15" xfId="0" applyFont="1" applyFill="1" applyBorder="1" applyAlignment="1">
      <alignment/>
    </xf>
    <xf numFmtId="1" fontId="1" fillId="0" borderId="0" xfId="0" applyNumberFormat="1" applyFont="1" applyFill="1" applyBorder="1" applyAlignment="1">
      <alignment vertical="top" wrapText="1"/>
    </xf>
    <xf numFmtId="0" fontId="1" fillId="2" borderId="12" xfId="0" applyFont="1" applyFill="1" applyBorder="1" applyAlignment="1">
      <alignment vertical="top" wrapText="1"/>
    </xf>
    <xf numFmtId="2" fontId="1" fillId="2" borderId="9" xfId="0" applyNumberFormat="1" applyFont="1" applyFill="1" applyBorder="1" applyAlignment="1">
      <alignment vertical="top" wrapText="1"/>
    </xf>
    <xf numFmtId="0" fontId="1" fillId="2" borderId="11" xfId="0" applyFont="1" applyFill="1" applyBorder="1" applyAlignment="1">
      <alignment vertical="top" wrapText="1"/>
    </xf>
    <xf numFmtId="0" fontId="1" fillId="0" borderId="0" xfId="0" applyFont="1" applyFill="1" applyAlignment="1">
      <alignment/>
    </xf>
    <xf numFmtId="0" fontId="1" fillId="0" borderId="0" xfId="0" applyFont="1" applyFill="1" applyAlignment="1">
      <alignment vertical="top"/>
    </xf>
    <xf numFmtId="0" fontId="0" fillId="0" borderId="0" xfId="0" applyFill="1" applyAlignment="1">
      <alignment/>
    </xf>
    <xf numFmtId="0" fontId="6" fillId="0" borderId="0" xfId="0" applyFont="1" applyFill="1" applyAlignment="1">
      <alignment/>
    </xf>
    <xf numFmtId="2" fontId="1" fillId="0" borderId="0" xfId="0" applyNumberFormat="1" applyFont="1" applyFill="1" applyBorder="1" applyAlignment="1">
      <alignment vertical="top"/>
    </xf>
    <xf numFmtId="2" fontId="1" fillId="0" borderId="8" xfId="0" applyNumberFormat="1" applyFont="1" applyFill="1" applyBorder="1" applyAlignment="1">
      <alignment vertical="top"/>
    </xf>
    <xf numFmtId="2" fontId="1" fillId="0" borderId="7" xfId="0" applyNumberFormat="1" applyFont="1" applyFill="1" applyBorder="1" applyAlignment="1">
      <alignment vertical="top" wrapText="1"/>
    </xf>
    <xf numFmtId="2" fontId="1" fillId="0" borderId="8" xfId="0" applyNumberFormat="1" applyFont="1" applyFill="1" applyBorder="1" applyAlignment="1">
      <alignment vertical="top" wrapText="1"/>
    </xf>
    <xf numFmtId="2" fontId="1" fillId="0" borderId="3" xfId="0" applyNumberFormat="1" applyFont="1" applyFill="1" applyBorder="1" applyAlignment="1">
      <alignment vertical="top" wrapText="1"/>
    </xf>
    <xf numFmtId="2" fontId="1" fillId="0" borderId="0" xfId="0" applyNumberFormat="1" applyFont="1" applyFill="1" applyBorder="1" applyAlignment="1">
      <alignment vertical="top" wrapText="1"/>
    </xf>
    <xf numFmtId="2" fontId="1" fillId="0" borderId="1" xfId="0" applyNumberFormat="1" applyFont="1" applyBorder="1" applyAlignment="1">
      <alignment vertical="top" wrapText="1"/>
    </xf>
    <xf numFmtId="0" fontId="1" fillId="0" borderId="15" xfId="0" applyFont="1" applyFill="1" applyBorder="1" applyAlignment="1">
      <alignment vertical="top"/>
    </xf>
    <xf numFmtId="0" fontId="2" fillId="0" borderId="2" xfId="0" applyFont="1" applyFill="1" applyBorder="1" applyAlignment="1">
      <alignment vertical="top"/>
    </xf>
    <xf numFmtId="0" fontId="1" fillId="0" borderId="3" xfId="0" applyFont="1" applyFill="1" applyBorder="1" applyAlignment="1">
      <alignment vertical="top"/>
    </xf>
    <xf numFmtId="0" fontId="1" fillId="0" borderId="12" xfId="0" applyFont="1" applyFill="1" applyBorder="1" applyAlignment="1">
      <alignment vertical="top"/>
    </xf>
    <xf numFmtId="0" fontId="1" fillId="0" borderId="6" xfId="0" applyFont="1" applyFill="1" applyBorder="1" applyAlignment="1">
      <alignment vertical="top"/>
    </xf>
    <xf numFmtId="0" fontId="1" fillId="0" borderId="14" xfId="0" applyFont="1" applyFill="1" applyBorder="1" applyAlignment="1">
      <alignment vertical="top"/>
    </xf>
    <xf numFmtId="0" fontId="1" fillId="3" borderId="0" xfId="0" applyFont="1" applyFill="1" applyBorder="1" applyAlignment="1">
      <alignment vertical="top"/>
    </xf>
    <xf numFmtId="0" fontId="1" fillId="3" borderId="7" xfId="0" applyFont="1" applyFill="1" applyBorder="1" applyAlignment="1">
      <alignment vertical="top"/>
    </xf>
    <xf numFmtId="0" fontId="1" fillId="3" borderId="4" xfId="0" applyFont="1" applyFill="1" applyBorder="1" applyAlignment="1">
      <alignment vertical="top"/>
    </xf>
    <xf numFmtId="0" fontId="0" fillId="3" borderId="0" xfId="0" applyFill="1" applyAlignment="1">
      <alignment/>
    </xf>
    <xf numFmtId="0" fontId="9" fillId="0" borderId="0" xfId="0" applyFont="1" applyBorder="1" applyAlignment="1">
      <alignment vertical="top" wrapText="1"/>
    </xf>
    <xf numFmtId="0" fontId="0" fillId="0" borderId="12" xfId="0" applyFont="1" applyBorder="1" applyAlignment="1">
      <alignment vertical="top"/>
    </xf>
    <xf numFmtId="0" fontId="0" fillId="0" borderId="4" xfId="0" applyFont="1" applyBorder="1" applyAlignment="1">
      <alignment/>
    </xf>
    <xf numFmtId="0" fontId="0" fillId="0" borderId="5" xfId="0" applyFont="1" applyBorder="1" applyAlignment="1">
      <alignment vertical="top"/>
    </xf>
    <xf numFmtId="0" fontId="0" fillId="0" borderId="6" xfId="0" applyFont="1" applyBorder="1" applyAlignment="1">
      <alignment vertical="top"/>
    </xf>
    <xf numFmtId="0" fontId="0" fillId="0" borderId="5" xfId="0" applyFont="1" applyBorder="1" applyAlignment="1">
      <alignment/>
    </xf>
    <xf numFmtId="0" fontId="0" fillId="0" borderId="7" xfId="0" applyFont="1" applyBorder="1" applyAlignment="1">
      <alignment vertical="top"/>
    </xf>
    <xf numFmtId="0" fontId="0" fillId="0" borderId="0" xfId="0" applyFont="1" applyAlignment="1">
      <alignment/>
    </xf>
    <xf numFmtId="0" fontId="0" fillId="3" borderId="0" xfId="0" applyFont="1" applyFill="1" applyBorder="1" applyAlignment="1">
      <alignment vertical="top"/>
    </xf>
    <xf numFmtId="0" fontId="0" fillId="0" borderId="8" xfId="0" applyFont="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0" fillId="0" borderId="0" xfId="0" applyFont="1" applyBorder="1" applyAlignment="1">
      <alignment vertical="top"/>
    </xf>
    <xf numFmtId="0" fontId="0" fillId="0" borderId="5" xfId="0" applyFont="1" applyFill="1" applyBorder="1" applyAlignment="1">
      <alignment vertical="top"/>
    </xf>
    <xf numFmtId="0" fontId="0" fillId="0" borderId="0" xfId="0" applyFont="1" applyAlignment="1">
      <alignment vertical="top"/>
    </xf>
    <xf numFmtId="0" fontId="0" fillId="0" borderId="0" xfId="0" applyFont="1" applyAlignment="1">
      <alignment/>
    </xf>
    <xf numFmtId="0" fontId="0" fillId="0" borderId="7" xfId="0" applyFont="1" applyBorder="1" applyAlignment="1">
      <alignment vertical="top"/>
    </xf>
    <xf numFmtId="0" fontId="0" fillId="3" borderId="0" xfId="0" applyFont="1" applyFill="1" applyBorder="1" applyAlignment="1">
      <alignment vertical="top"/>
    </xf>
    <xf numFmtId="0" fontId="0" fillId="3" borderId="8" xfId="0" applyFont="1" applyFill="1" applyBorder="1" applyAlignment="1">
      <alignment vertical="top"/>
    </xf>
    <xf numFmtId="0" fontId="0" fillId="0" borderId="0" xfId="0" applyFont="1" applyBorder="1" applyAlignment="1">
      <alignment vertical="top"/>
    </xf>
    <xf numFmtId="0" fontId="0" fillId="0" borderId="4" xfId="0" applyFont="1" applyBorder="1" applyAlignment="1">
      <alignment/>
    </xf>
    <xf numFmtId="0" fontId="0" fillId="0" borderId="5" xfId="0" applyFont="1" applyBorder="1" applyAlignment="1">
      <alignment/>
    </xf>
    <xf numFmtId="0" fontId="0" fillId="0" borderId="4" xfId="0" applyFont="1" applyBorder="1" applyAlignment="1">
      <alignment vertical="top"/>
    </xf>
    <xf numFmtId="0" fontId="10" fillId="0" borderId="7" xfId="0" applyFont="1" applyBorder="1" applyAlignment="1">
      <alignment vertical="top"/>
    </xf>
    <xf numFmtId="0" fontId="0" fillId="0" borderId="7" xfId="0" applyBorder="1" applyAlignment="1">
      <alignment/>
    </xf>
    <xf numFmtId="0" fontId="0" fillId="0" borderId="13" xfId="0" applyBorder="1" applyAlignment="1">
      <alignment/>
    </xf>
    <xf numFmtId="0" fontId="1" fillId="0" borderId="4" xfId="0" applyFont="1" applyFill="1" applyBorder="1" applyAlignment="1">
      <alignment vertical="top" wrapText="1"/>
    </xf>
    <xf numFmtId="2" fontId="1" fillId="0" borderId="2" xfId="0" applyNumberFormat="1" applyFont="1" applyBorder="1" applyAlignment="1">
      <alignment vertical="top"/>
    </xf>
    <xf numFmtId="2" fontId="1" fillId="2" borderId="6" xfId="0" applyNumberFormat="1" applyFont="1" applyFill="1" applyBorder="1" applyAlignment="1">
      <alignment vertical="top"/>
    </xf>
    <xf numFmtId="2" fontId="1" fillId="0" borderId="0" xfId="0" applyNumberFormat="1" applyFont="1" applyBorder="1" applyAlignment="1">
      <alignment vertical="top" wrapText="1"/>
    </xf>
    <xf numFmtId="2" fontId="1" fillId="0" borderId="5" xfId="0" applyNumberFormat="1" applyFont="1" applyBorder="1" applyAlignment="1">
      <alignment vertical="top" wrapText="1"/>
    </xf>
    <xf numFmtId="2" fontId="1" fillId="0" borderId="2" xfId="0" applyNumberFormat="1" applyFont="1" applyFill="1" applyBorder="1" applyAlignment="1">
      <alignment vertical="top" wrapText="1"/>
    </xf>
    <xf numFmtId="0" fontId="1" fillId="2" borderId="2" xfId="0" applyFont="1" applyFill="1" applyBorder="1" applyAlignment="1">
      <alignment vertical="top" wrapText="1"/>
    </xf>
    <xf numFmtId="2" fontId="1" fillId="0" borderId="5" xfId="0" applyNumberFormat="1" applyFont="1" applyFill="1" applyBorder="1" applyAlignment="1">
      <alignment vertical="top" wrapText="1"/>
    </xf>
    <xf numFmtId="0" fontId="1" fillId="2" borderId="1" xfId="0" applyFont="1" applyFill="1" applyBorder="1" applyAlignment="1">
      <alignment vertical="top" wrapText="1"/>
    </xf>
    <xf numFmtId="2" fontId="1" fillId="2" borderId="2" xfId="0" applyNumberFormat="1" applyFont="1" applyFill="1" applyBorder="1" applyAlignment="1">
      <alignment vertical="top"/>
    </xf>
    <xf numFmtId="2" fontId="1" fillId="2" borderId="2" xfId="0" applyNumberFormat="1" applyFont="1" applyFill="1" applyBorder="1" applyAlignment="1">
      <alignment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1" fillId="0" borderId="0" xfId="0" applyFont="1" applyAlignment="1">
      <alignment vertical="top" wrapText="1"/>
    </xf>
    <xf numFmtId="0" fontId="1" fillId="0" borderId="0" xfId="0" applyFont="1" applyFill="1" applyBorder="1" applyAlignment="1">
      <alignment vertical="top" wrapText="1"/>
    </xf>
    <xf numFmtId="0" fontId="9" fillId="0" borderId="0" xfId="0" applyFont="1" applyFill="1" applyBorder="1" applyAlignment="1">
      <alignment vertical="top" wrapText="1"/>
    </xf>
    <xf numFmtId="0" fontId="10" fillId="0" borderId="0" xfId="0" applyFont="1" applyAlignment="1">
      <alignment vertical="top" wrapText="1"/>
    </xf>
    <xf numFmtId="0" fontId="10" fillId="0" borderId="1" xfId="0" applyFont="1" applyBorder="1" applyAlignment="1">
      <alignment vertical="top" wrapText="1"/>
    </xf>
    <xf numFmtId="0" fontId="10" fillId="0" borderId="0" xfId="0" applyFont="1" applyAlignment="1">
      <alignment vertical="top"/>
    </xf>
    <xf numFmtId="0" fontId="0" fillId="0" borderId="1" xfId="0" applyBorder="1" applyAlignment="1">
      <alignment/>
    </xf>
    <xf numFmtId="0" fontId="1" fillId="2" borderId="3" xfId="0" applyFont="1" applyFill="1" applyBorder="1" applyAlignment="1">
      <alignment vertical="top" wrapText="1"/>
    </xf>
    <xf numFmtId="0" fontId="1" fillId="0" borderId="9" xfId="0" applyFont="1" applyBorder="1" applyAlignment="1">
      <alignment vertical="top" wrapText="1"/>
    </xf>
    <xf numFmtId="0" fontId="0" fillId="0" borderId="5" xfId="0" applyBorder="1" applyAlignment="1">
      <alignment vertical="top"/>
    </xf>
    <xf numFmtId="2" fontId="9" fillId="0" borderId="3" xfId="0" applyNumberFormat="1" applyFont="1" applyBorder="1" applyAlignment="1">
      <alignment vertical="top" wrapText="1"/>
    </xf>
    <xf numFmtId="2" fontId="9" fillId="0" borderId="2" xfId="0" applyNumberFormat="1" applyFont="1" applyBorder="1" applyAlignment="1">
      <alignment vertical="top" wrapText="1"/>
    </xf>
    <xf numFmtId="2" fontId="9" fillId="0" borderId="0" xfId="0" applyNumberFormat="1" applyFont="1" applyBorder="1" applyAlignment="1">
      <alignment vertical="top" wrapText="1"/>
    </xf>
    <xf numFmtId="164" fontId="1" fillId="0" borderId="7" xfId="0" applyNumberFormat="1" applyFont="1" applyFill="1" applyBorder="1" applyAlignment="1">
      <alignment vertical="top" wrapText="1"/>
    </xf>
    <xf numFmtId="2" fontId="9" fillId="0" borderId="15" xfId="0" applyNumberFormat="1" applyFont="1" applyBorder="1" applyAlignment="1">
      <alignment vertical="top" wrapText="1"/>
    </xf>
    <xf numFmtId="2" fontId="1" fillId="0" borderId="14" xfId="0" applyNumberFormat="1" applyFont="1" applyBorder="1" applyAlignment="1">
      <alignment vertical="top" wrapText="1"/>
    </xf>
    <xf numFmtId="2" fontId="9" fillId="0" borderId="14" xfId="0" applyNumberFormat="1" applyFont="1" applyBorder="1" applyAlignment="1">
      <alignment vertical="top" wrapText="1"/>
    </xf>
    <xf numFmtId="2" fontId="1" fillId="0" borderId="12" xfId="0" applyNumberFormat="1" applyFont="1" applyBorder="1" applyAlignment="1">
      <alignment vertical="top" wrapText="1"/>
    </xf>
    <xf numFmtId="1" fontId="9" fillId="0" borderId="3" xfId="0" applyNumberFormat="1" applyFont="1" applyBorder="1" applyAlignment="1">
      <alignment vertical="top" wrapText="1"/>
    </xf>
    <xf numFmtId="2" fontId="1" fillId="2" borderId="0" xfId="0" applyNumberFormat="1" applyFont="1" applyFill="1" applyBorder="1" applyAlignment="1">
      <alignment vertical="top"/>
    </xf>
    <xf numFmtId="2" fontId="1" fillId="2" borderId="0" xfId="0" applyNumberFormat="1" applyFont="1" applyFill="1" applyBorder="1" applyAlignment="1">
      <alignment vertical="top" wrapText="1"/>
    </xf>
    <xf numFmtId="0" fontId="1" fillId="0" borderId="10" xfId="0" applyFont="1" applyBorder="1" applyAlignment="1">
      <alignment vertical="top" wrapText="1"/>
    </xf>
    <xf numFmtId="2" fontId="9" fillId="0" borderId="8" xfId="0" applyNumberFormat="1" applyFont="1" applyBorder="1" applyAlignment="1">
      <alignment vertical="top" wrapText="1"/>
    </xf>
    <xf numFmtId="0" fontId="1" fillId="0" borderId="5" xfId="0" applyFont="1" applyFill="1" applyBorder="1" applyAlignment="1">
      <alignment vertical="top" wrapText="1"/>
    </xf>
    <xf numFmtId="2" fontId="1" fillId="0" borderId="5" xfId="0" applyNumberFormat="1" applyFont="1" applyBorder="1" applyAlignment="1">
      <alignment vertical="top" wrapText="1"/>
    </xf>
    <xf numFmtId="2" fontId="1" fillId="0" borderId="6" xfId="0" applyNumberFormat="1" applyFont="1" applyBorder="1" applyAlignment="1">
      <alignment vertical="top" wrapText="1"/>
    </xf>
    <xf numFmtId="0" fontId="0" fillId="2" borderId="3" xfId="0" applyFill="1" applyBorder="1" applyAlignment="1">
      <alignment/>
    </xf>
    <xf numFmtId="2" fontId="0" fillId="0" borderId="0" xfId="0" applyNumberFormat="1" applyBorder="1" applyAlignment="1">
      <alignment/>
    </xf>
    <xf numFmtId="164" fontId="1" fillId="0" borderId="5" xfId="0" applyNumberFormat="1" applyFont="1" applyBorder="1" applyAlignment="1">
      <alignment vertical="top" wrapText="1"/>
    </xf>
    <xf numFmtId="164" fontId="1" fillId="2" borderId="0" xfId="0" applyNumberFormat="1" applyFont="1" applyFill="1" applyBorder="1" applyAlignment="1">
      <alignment vertical="top" wrapText="1"/>
    </xf>
    <xf numFmtId="164" fontId="1" fillId="0" borderId="0" xfId="0" applyNumberFormat="1" applyFont="1" applyFill="1" applyBorder="1" applyAlignment="1">
      <alignment vertical="top" wrapText="1"/>
    </xf>
    <xf numFmtId="0" fontId="2" fillId="0" borderId="11" xfId="0" applyFont="1" applyFill="1" applyBorder="1" applyAlignment="1">
      <alignment vertical="top" wrapText="1"/>
    </xf>
    <xf numFmtId="2" fontId="1" fillId="0" borderId="2" xfId="0" applyNumberFormat="1" applyFont="1" applyFill="1" applyBorder="1" applyAlignment="1">
      <alignment vertical="top"/>
    </xf>
    <xf numFmtId="0" fontId="5" fillId="0" borderId="0" xfId="0" applyFont="1" applyBorder="1" applyAlignment="1">
      <alignment vertical="top" wrapText="1"/>
    </xf>
    <xf numFmtId="164" fontId="0" fillId="0" borderId="0" xfId="0" applyNumberFormat="1" applyBorder="1" applyAlignment="1">
      <alignment/>
    </xf>
    <xf numFmtId="1" fontId="1" fillId="0" borderId="14" xfId="0" applyNumberFormat="1" applyFont="1" applyBorder="1" applyAlignment="1">
      <alignment/>
    </xf>
    <xf numFmtId="1" fontId="1" fillId="0" borderId="12" xfId="0" applyNumberFormat="1" applyFont="1" applyBorder="1" applyAlignment="1">
      <alignment/>
    </xf>
    <xf numFmtId="1" fontId="1" fillId="0" borderId="15" xfId="0" applyNumberFormat="1" applyFont="1" applyBorder="1" applyAlignment="1">
      <alignment vertical="top" wrapText="1"/>
    </xf>
    <xf numFmtId="1" fontId="1" fillId="0" borderId="12" xfId="0" applyNumberFormat="1" applyFont="1" applyBorder="1" applyAlignment="1">
      <alignment vertical="top" wrapText="1"/>
    </xf>
    <xf numFmtId="1" fontId="1" fillId="0" borderId="15" xfId="0" applyNumberFormat="1" applyFont="1" applyBorder="1" applyAlignment="1">
      <alignment vertical="top"/>
    </xf>
    <xf numFmtId="1" fontId="1" fillId="0" borderId="14" xfId="0" applyNumberFormat="1" applyFont="1" applyBorder="1" applyAlignment="1">
      <alignment vertical="top"/>
    </xf>
    <xf numFmtId="1" fontId="1" fillId="0" borderId="14" xfId="0" applyNumberFormat="1" applyFont="1" applyFill="1" applyBorder="1" applyAlignment="1">
      <alignment vertical="top" wrapText="1"/>
    </xf>
    <xf numFmtId="1" fontId="1" fillId="0" borderId="12" xfId="0" applyNumberFormat="1" applyFont="1" applyBorder="1" applyAlignment="1">
      <alignment vertical="top"/>
    </xf>
    <xf numFmtId="2" fontId="1" fillId="2" borderId="8" xfId="0" applyNumberFormat="1" applyFont="1" applyFill="1" applyBorder="1" applyAlignment="1">
      <alignment vertical="top" wrapText="1"/>
    </xf>
    <xf numFmtId="0" fontId="1" fillId="2" borderId="14" xfId="0" applyFont="1" applyFill="1" applyBorder="1" applyAlignment="1">
      <alignment vertical="top" wrapText="1"/>
    </xf>
    <xf numFmtId="0" fontId="0" fillId="0" borderId="0" xfId="0" applyFill="1" applyBorder="1" applyAlignment="1">
      <alignment vertical="top" wrapText="1"/>
    </xf>
    <xf numFmtId="1" fontId="1" fillId="0" borderId="5" xfId="0" applyNumberFormat="1" applyFont="1" applyBorder="1" applyAlignment="1">
      <alignment vertical="top" wrapText="1"/>
    </xf>
    <xf numFmtId="1" fontId="1" fillId="2" borderId="0" xfId="0" applyNumberFormat="1" applyFont="1" applyFill="1" applyBorder="1" applyAlignment="1">
      <alignment vertical="top" wrapText="1"/>
    </xf>
    <xf numFmtId="1" fontId="0" fillId="0" borderId="0" xfId="0" applyNumberFormat="1" applyBorder="1" applyAlignment="1">
      <alignment/>
    </xf>
    <xf numFmtId="0" fontId="1" fillId="0" borderId="14" xfId="0" applyFont="1" applyFill="1" applyBorder="1" applyAlignment="1">
      <alignment vertical="top" wrapText="1"/>
    </xf>
    <xf numFmtId="0" fontId="0" fillId="0" borderId="2" xfId="0" applyFill="1" applyBorder="1" applyAlignment="1">
      <alignment/>
    </xf>
    <xf numFmtId="0" fontId="0" fillId="0" borderId="2" xfId="0" applyFill="1" applyBorder="1" applyAlignment="1">
      <alignment vertical="top" wrapText="1"/>
    </xf>
    <xf numFmtId="0" fontId="0" fillId="0" borderId="5" xfId="0" applyFill="1" applyBorder="1" applyAlignment="1">
      <alignment/>
    </xf>
    <xf numFmtId="0" fontId="1" fillId="0" borderId="7"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9" fillId="0" borderId="4" xfId="0" applyFont="1" applyBorder="1" applyAlignment="1">
      <alignment vertical="top"/>
    </xf>
    <xf numFmtId="0" fontId="2" fillId="0" borderId="1" xfId="0" applyFont="1" applyBorder="1" applyAlignment="1">
      <alignment vertical="top"/>
    </xf>
    <xf numFmtId="0" fontId="0" fillId="0" borderId="7" xfId="0" applyFill="1" applyBorder="1" applyAlignment="1">
      <alignment/>
    </xf>
    <xf numFmtId="0" fontId="1" fillId="0" borderId="7" xfId="0" applyFont="1" applyFill="1" applyBorder="1" applyAlignment="1">
      <alignment vertical="top"/>
    </xf>
    <xf numFmtId="1" fontId="1" fillId="0" borderId="0" xfId="0" applyNumberFormat="1" applyFont="1" applyBorder="1" applyAlignment="1">
      <alignment vertical="top"/>
    </xf>
    <xf numFmtId="1" fontId="1" fillId="0" borderId="8" xfId="0" applyNumberFormat="1" applyFont="1" applyBorder="1" applyAlignment="1">
      <alignment vertical="top"/>
    </xf>
    <xf numFmtId="0" fontId="14" fillId="0" borderId="0" xfId="0" applyFont="1" applyFill="1" applyAlignment="1">
      <alignment/>
    </xf>
    <xf numFmtId="0" fontId="18" fillId="0" borderId="13" xfId="0" applyFont="1" applyFill="1" applyBorder="1" applyAlignment="1">
      <alignment vertical="top" wrapText="1"/>
    </xf>
    <xf numFmtId="0" fontId="2" fillId="0" borderId="9" xfId="0" applyFont="1" applyBorder="1" applyAlignment="1">
      <alignment/>
    </xf>
    <xf numFmtId="0" fontId="0" fillId="0" borderId="7" xfId="0" applyFont="1" applyFill="1" applyBorder="1" applyAlignment="1">
      <alignment vertical="top"/>
    </xf>
    <xf numFmtId="0" fontId="0" fillId="0" borderId="0" xfId="0" applyFont="1" applyBorder="1" applyAlignment="1">
      <alignment vertical="top"/>
    </xf>
    <xf numFmtId="0" fontId="0" fillId="0" borderId="4" xfId="0" applyFont="1" applyFill="1" applyBorder="1" applyAlignment="1">
      <alignment vertical="top"/>
    </xf>
    <xf numFmtId="0" fontId="0" fillId="0" borderId="5" xfId="0" applyFont="1" applyBorder="1" applyAlignment="1">
      <alignment vertical="top"/>
    </xf>
    <xf numFmtId="0" fontId="2" fillId="0" borderId="9" xfId="0" applyFont="1" applyBorder="1" applyAlignment="1">
      <alignment vertical="top"/>
    </xf>
    <xf numFmtId="0" fontId="5" fillId="0" borderId="9" xfId="0" applyFont="1" applyBorder="1" applyAlignment="1">
      <alignment vertical="top"/>
    </xf>
    <xf numFmtId="1" fontId="9" fillId="0" borderId="15" xfId="0" applyNumberFormat="1" applyFont="1" applyBorder="1" applyAlignment="1">
      <alignment vertical="top" wrapText="1"/>
    </xf>
    <xf numFmtId="1" fontId="1" fillId="0" borderId="14" xfId="0" applyNumberFormat="1" applyFont="1" applyBorder="1" applyAlignment="1">
      <alignment vertical="top" wrapText="1"/>
    </xf>
    <xf numFmtId="1" fontId="9" fillId="0" borderId="14" xfId="0" applyNumberFormat="1" applyFont="1" applyBorder="1" applyAlignment="1">
      <alignment vertical="top" wrapText="1"/>
    </xf>
    <xf numFmtId="1" fontId="1" fillId="0" borderId="12" xfId="0" applyNumberFormat="1" applyFont="1" applyBorder="1" applyAlignment="1">
      <alignment vertical="top" wrapText="1"/>
    </xf>
    <xf numFmtId="0" fontId="13" fillId="3" borderId="0" xfId="0" applyFont="1" applyFill="1" applyAlignment="1">
      <alignment/>
    </xf>
    <xf numFmtId="0" fontId="1" fillId="0" borderId="11" xfId="0" applyFont="1" applyFill="1" applyBorder="1" applyAlignment="1">
      <alignment vertical="top"/>
    </xf>
    <xf numFmtId="0" fontId="1" fillId="0" borderId="9" xfId="0" applyFont="1" applyFill="1" applyBorder="1" applyAlignment="1">
      <alignment vertical="top"/>
    </xf>
    <xf numFmtId="2" fontId="1" fillId="0" borderId="7" xfId="0" applyNumberFormat="1" applyFont="1" applyFill="1" applyBorder="1" applyAlignment="1">
      <alignment vertical="top"/>
    </xf>
    <xf numFmtId="2" fontId="1" fillId="0" borderId="3" xfId="0" applyNumberFormat="1" applyFont="1" applyFill="1" applyBorder="1" applyAlignment="1">
      <alignment vertical="top"/>
    </xf>
    <xf numFmtId="0" fontId="6" fillId="0" borderId="0" xfId="0" applyFont="1" applyBorder="1" applyAlignment="1">
      <alignment vertical="top" wrapText="1"/>
    </xf>
    <xf numFmtId="0" fontId="22" fillId="0" borderId="0" xfId="0" applyFont="1" applyAlignment="1">
      <alignment horizontal="justify"/>
    </xf>
    <xf numFmtId="0" fontId="0" fillId="0" borderId="0" xfId="0" applyAlignment="1">
      <alignment vertical="top" wrapText="1"/>
    </xf>
    <xf numFmtId="0" fontId="6" fillId="0" borderId="0" xfId="0" applyFont="1" applyAlignment="1">
      <alignment vertical="top" wrapText="1"/>
    </xf>
    <xf numFmtId="0" fontId="6" fillId="0" borderId="0" xfId="0" applyFont="1" applyAlignment="1">
      <alignment vertical="top" wrapText="1"/>
    </xf>
    <xf numFmtId="0" fontId="24" fillId="0" borderId="0" xfId="15" applyFont="1" applyAlignment="1">
      <alignment vertical="top" wrapText="1"/>
    </xf>
    <xf numFmtId="0" fontId="23" fillId="0" borderId="0" xfId="0" applyFont="1" applyBorder="1" applyAlignment="1">
      <alignment horizontal="center" vertical="top" wrapText="1"/>
    </xf>
    <xf numFmtId="0" fontId="0" fillId="0" borderId="0" xfId="0" applyBorder="1" applyAlignment="1">
      <alignment horizontal="center" vertical="top" wrapText="1"/>
    </xf>
    <xf numFmtId="0" fontId="14" fillId="3" borderId="0" xfId="0" applyFont="1" applyFill="1" applyAlignment="1">
      <alignment/>
    </xf>
    <xf numFmtId="0" fontId="23" fillId="3" borderId="0" xfId="0" applyFont="1" applyFill="1" applyBorder="1" applyAlignment="1">
      <alignment horizontal="center" vertical="top" wrapText="1"/>
    </xf>
    <xf numFmtId="0" fontId="25" fillId="0" borderId="0" xfId="0" applyFont="1" applyAlignment="1">
      <alignment vertical="top"/>
    </xf>
    <xf numFmtId="0" fontId="0" fillId="3" borderId="5" xfId="0" applyFont="1" applyFill="1" applyBorder="1" applyAlignment="1">
      <alignment/>
    </xf>
    <xf numFmtId="0" fontId="1" fillId="0" borderId="15" xfId="0"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2"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6" fillId="0" borderId="7"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wrapText="1"/>
    </xf>
    <xf numFmtId="0" fontId="0" fillId="0" borderId="0" xfId="0" applyAlignment="1">
      <alignment wrapText="1"/>
    </xf>
    <xf numFmtId="0" fontId="0" fillId="0" borderId="8" xfId="0" applyBorder="1" applyAlignment="1">
      <alignment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5"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14"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6" fillId="0" borderId="0" xfId="0" applyFont="1" applyAlignment="1">
      <alignment vertical="top" wrapText="1"/>
    </xf>
    <xf numFmtId="0" fontId="24" fillId="0" borderId="0" xfId="15" applyFont="1" applyAlignment="1">
      <alignment vertical="top" wrapText="1"/>
    </xf>
    <xf numFmtId="0" fontId="5" fillId="0" borderId="13"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 xfId="0" applyFont="1" applyBorder="1" applyAlignment="1">
      <alignment vertical="top" wrapText="1"/>
    </xf>
    <xf numFmtId="0" fontId="0" fillId="0" borderId="3" xfId="0" applyBorder="1" applyAlignment="1">
      <alignment vertical="top" wrapText="1"/>
    </xf>
    <xf numFmtId="0" fontId="0" fillId="0" borderId="12" xfId="0" applyBorder="1" applyAlignment="1">
      <alignment vertical="top" wrapText="1"/>
    </xf>
    <xf numFmtId="0" fontId="5" fillId="0" borderId="13" xfId="0" applyFont="1" applyFill="1" applyBorder="1" applyAlignment="1">
      <alignment vertical="top" wrapText="1"/>
    </xf>
    <xf numFmtId="0" fontId="0" fillId="0" borderId="9" xfId="0" applyFont="1" applyBorder="1" applyAlignment="1">
      <alignment vertical="top" wrapText="1"/>
    </xf>
    <xf numFmtId="0" fontId="0" fillId="0" borderId="9" xfId="0" applyFont="1" applyBorder="1" applyAlignment="1">
      <alignment vertical="top" wrapText="1"/>
    </xf>
    <xf numFmtId="0" fontId="0" fillId="0" borderId="10"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0" fillId="0" borderId="9" xfId="0" applyBorder="1" applyAlignment="1">
      <alignment wrapText="1"/>
    </xf>
    <xf numFmtId="0" fontId="0" fillId="0" borderId="10" xfId="0" applyBorder="1" applyAlignment="1">
      <alignment wrapText="1"/>
    </xf>
  </cellXfs>
  <cellStyles count="8">
    <cellStyle name="Normal" xfId="0"/>
    <cellStyle name="Hyperlink" xfId="15"/>
    <cellStyle name="Followed Hyperlink" xfId="16"/>
    <cellStyle name="Currency" xfId="17"/>
    <cellStyle name="Currency [0]" xfId="18"/>
    <cellStyle name="Percent" xfId="19"/>
    <cellStyle name="Comma [0]" xfId="20"/>
    <cellStyle name="Comm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775"/>
          <c:w val="0.9715"/>
          <c:h val="0.757"/>
        </c:manualLayout>
      </c:layout>
      <c:lineChart>
        <c:grouping val="standard"/>
        <c:varyColors val="0"/>
        <c:ser>
          <c:idx val="0"/>
          <c:order val="0"/>
          <c:tx>
            <c:v>Kinshasa</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Pt>
            <c:idx val="9"/>
            <c:spPr>
              <a:ln w="12700">
                <a:solidFill>
                  <a:srgbClr val="0000FF"/>
                </a:solidFill>
              </a:ln>
            </c:spPr>
            <c:marker>
              <c:size val="6"/>
              <c:spPr>
                <a:noFill/>
                <a:ln>
                  <a:solidFill>
                    <a:srgbClr val="0000FF"/>
                  </a:solidFill>
                </a:ln>
              </c:spPr>
            </c:marker>
          </c:dPt>
          <c:errBars>
            <c:errDir val="y"/>
            <c:errBarType val="both"/>
            <c:errValType val="cust"/>
            <c:plus>
              <c:numRef>
                <c:f>Charts!$E$113:$E$213</c:f>
                <c:numCache>
                  <c:ptCount val="101"/>
                  <c:pt idx="0">
                    <c:v>NaN</c:v>
                  </c:pt>
                  <c:pt idx="1">
                    <c:v>NaN</c:v>
                  </c:pt>
                  <c:pt idx="2">
                    <c:v>3.5375958672086654</c:v>
                  </c:pt>
                  <c:pt idx="3">
                    <c:v>NaN</c:v>
                  </c:pt>
                  <c:pt idx="4">
                    <c:v>NaN</c:v>
                  </c:pt>
                  <c:pt idx="5">
                    <c:v>NaN</c:v>
                  </c:pt>
                  <c:pt idx="6">
                    <c:v>NaN</c:v>
                  </c:pt>
                  <c:pt idx="7">
                    <c:v>NaN</c:v>
                  </c:pt>
                  <c:pt idx="8">
                    <c:v>NaN</c:v>
                  </c:pt>
                  <c:pt idx="9">
                    <c:v>4.541438774690853</c:v>
                  </c:pt>
                  <c:pt idx="10">
                    <c:v>NaN</c:v>
                  </c:pt>
                  <c:pt idx="11">
                    <c:v>NaN</c:v>
                  </c:pt>
                  <c:pt idx="12">
                    <c:v>NaN</c:v>
                  </c:pt>
                  <c:pt idx="13">
                    <c:v>NaN</c:v>
                  </c:pt>
                  <c:pt idx="14">
                    <c:v>NaN</c:v>
                  </c:pt>
                  <c:pt idx="15">
                    <c:v>NaN</c:v>
                  </c:pt>
                  <c:pt idx="16">
                    <c:v>NaN</c:v>
                  </c:pt>
                  <c:pt idx="17">
                    <c:v>3.6171458969005883</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1.044633716150578</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NaN</c:v>
                  </c:pt>
                  <c:pt idx="96">
                    <c:v>NaN</c:v>
                  </c:pt>
                  <c:pt idx="97">
                    <c:v>0.5</c:v>
                  </c:pt>
                  <c:pt idx="98">
                    <c:v>NaN</c:v>
                  </c:pt>
                  <c:pt idx="99">
                    <c:v>NaN</c:v>
                  </c:pt>
                  <c:pt idx="100">
                    <c:v>NaN</c:v>
                  </c:pt>
                </c:numCache>
              </c:numRef>
            </c:plus>
            <c:minus>
              <c:numRef>
                <c:f>Charts!$E$113:$E$213</c:f>
                <c:numCache>
                  <c:ptCount val="101"/>
                  <c:pt idx="0">
                    <c:v>NaN</c:v>
                  </c:pt>
                  <c:pt idx="1">
                    <c:v>NaN</c:v>
                  </c:pt>
                  <c:pt idx="2">
                    <c:v>3.5375958672086654</c:v>
                  </c:pt>
                  <c:pt idx="3">
                    <c:v>NaN</c:v>
                  </c:pt>
                  <c:pt idx="4">
                    <c:v>NaN</c:v>
                  </c:pt>
                  <c:pt idx="5">
                    <c:v>NaN</c:v>
                  </c:pt>
                  <c:pt idx="6">
                    <c:v>NaN</c:v>
                  </c:pt>
                  <c:pt idx="7">
                    <c:v>NaN</c:v>
                  </c:pt>
                  <c:pt idx="8">
                    <c:v>NaN</c:v>
                  </c:pt>
                  <c:pt idx="9">
                    <c:v>4.541438774690853</c:v>
                  </c:pt>
                  <c:pt idx="10">
                    <c:v>NaN</c:v>
                  </c:pt>
                  <c:pt idx="11">
                    <c:v>NaN</c:v>
                  </c:pt>
                  <c:pt idx="12">
                    <c:v>NaN</c:v>
                  </c:pt>
                  <c:pt idx="13">
                    <c:v>NaN</c:v>
                  </c:pt>
                  <c:pt idx="14">
                    <c:v>NaN</c:v>
                  </c:pt>
                  <c:pt idx="15">
                    <c:v>NaN</c:v>
                  </c:pt>
                  <c:pt idx="16">
                    <c:v>NaN</c:v>
                  </c:pt>
                  <c:pt idx="17">
                    <c:v>3.6171458969005883</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1.044633716150578</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NaN</c:v>
                  </c:pt>
                  <c:pt idx="96">
                    <c:v>NaN</c:v>
                  </c:pt>
                  <c:pt idx="97">
                    <c:v>0.5</c:v>
                  </c:pt>
                  <c:pt idx="98">
                    <c:v>NaN</c:v>
                  </c:pt>
                  <c:pt idx="99">
                    <c:v>NaN</c:v>
                  </c:pt>
                  <c:pt idx="100">
                    <c:v>NaN</c:v>
                  </c:pt>
                </c:numCache>
              </c:numRef>
            </c:minus>
            <c:noEndCap val="0"/>
            <c:spPr>
              <a:ln w="12700">
                <a:solidFill>
                  <a:srgbClr val="0000FF"/>
                </a:solidFill>
              </a:ln>
            </c:spPr>
          </c:errBars>
          <c:cat>
            <c:numRef>
              <c:f>Charts!$A$113:$A$213</c:f>
              <c:numCache/>
            </c:numRef>
          </c:cat>
          <c:val>
            <c:numRef>
              <c:f>Charts!$D$113:$D$213</c:f>
              <c:numCache/>
            </c:numRef>
          </c:val>
          <c:smooth val="1"/>
        </c:ser>
        <c:ser>
          <c:idx val="2"/>
          <c:order val="1"/>
          <c:tx>
            <c:v>Brazzaville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dPt>
            <c:idx val="9"/>
            <c:spPr>
              <a:ln w="12700">
                <a:solidFill>
                  <a:srgbClr val="FF0000"/>
                </a:solidFill>
              </a:ln>
            </c:spPr>
            <c:marker>
              <c:size val="6"/>
              <c:spPr>
                <a:noFill/>
                <a:ln>
                  <a:solidFill>
                    <a:srgbClr val="FF0000"/>
                  </a:solidFill>
                </a:ln>
              </c:spPr>
            </c:marker>
          </c:dPt>
          <c:errBars>
            <c:errDir val="y"/>
            <c:errBarType val="both"/>
            <c:errValType val="cust"/>
            <c:plus>
              <c:numRef>
                <c:f>Charts!$J$113:$J$213</c:f>
                <c:numCache>
                  <c:ptCount val="101"/>
                  <c:pt idx="0">
                    <c:v>NaN</c:v>
                  </c:pt>
                  <c:pt idx="1">
                    <c:v>NaN</c:v>
                  </c:pt>
                  <c:pt idx="2">
                    <c:v>NaN</c:v>
                  </c:pt>
                  <c:pt idx="3">
                    <c:v>NaN</c:v>
                  </c:pt>
                  <c:pt idx="4">
                    <c:v>NaN</c:v>
                  </c:pt>
                  <c:pt idx="5">
                    <c:v>NaN</c:v>
                  </c:pt>
                  <c:pt idx="6">
                    <c:v>NaN</c:v>
                  </c:pt>
                  <c:pt idx="7">
                    <c:v>NaN</c:v>
                  </c:pt>
                  <c:pt idx="8">
                    <c:v>NaN</c:v>
                  </c:pt>
                  <c:pt idx="9">
                    <c:v>1.6502512878502387</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1.2305063450182132</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1.3389999999999915</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0.5</c:v>
                  </c:pt>
                  <c:pt idx="96">
                    <c:v>NaN</c:v>
                  </c:pt>
                  <c:pt idx="97">
                    <c:v>NaN</c:v>
                  </c:pt>
                  <c:pt idx="98">
                    <c:v>NaN</c:v>
                  </c:pt>
                  <c:pt idx="99">
                    <c:v>NaN</c:v>
                  </c:pt>
                  <c:pt idx="100">
                    <c:v>NaN</c:v>
                  </c:pt>
                </c:numCache>
              </c:numRef>
            </c:plus>
            <c:minus>
              <c:numRef>
                <c:f>Charts!$K$113:$K$213</c:f>
                <c:numCache>
                  <c:ptCount val="101"/>
                  <c:pt idx="0">
                    <c:v>NaN</c:v>
                  </c:pt>
                  <c:pt idx="1">
                    <c:v>NaN</c:v>
                  </c:pt>
                  <c:pt idx="2">
                    <c:v>NaN</c:v>
                  </c:pt>
                  <c:pt idx="3">
                    <c:v>NaN</c:v>
                  </c:pt>
                  <c:pt idx="4">
                    <c:v>NaN</c:v>
                  </c:pt>
                  <c:pt idx="5">
                    <c:v>NaN</c:v>
                  </c:pt>
                  <c:pt idx="6">
                    <c:v>NaN</c:v>
                  </c:pt>
                  <c:pt idx="7">
                    <c:v>NaN</c:v>
                  </c:pt>
                  <c:pt idx="8">
                    <c:v>NaN</c:v>
                  </c:pt>
                  <c:pt idx="9">
                    <c:v>1.6502512878502387</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1.2305063450182132</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1.3389999999999915</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0.5</c:v>
                  </c:pt>
                  <c:pt idx="96">
                    <c:v>NaN</c:v>
                  </c:pt>
                  <c:pt idx="97">
                    <c:v>NaN</c:v>
                  </c:pt>
                  <c:pt idx="98">
                    <c:v>NaN</c:v>
                  </c:pt>
                  <c:pt idx="99">
                    <c:v>NaN</c:v>
                  </c:pt>
                  <c:pt idx="100">
                    <c:v>NaN</c:v>
                  </c:pt>
                </c:numCache>
              </c:numRef>
            </c:minus>
            <c:noEndCap val="0"/>
            <c:spPr>
              <a:ln w="12700">
                <a:solidFill>
                  <a:srgbClr val="FF0000"/>
                </a:solidFill>
              </a:ln>
            </c:spPr>
          </c:errBars>
          <c:cat>
            <c:numRef>
              <c:f>Charts!$A$113:$A$213</c:f>
              <c:numCache/>
            </c:numRef>
          </c:cat>
          <c:val>
            <c:numRef>
              <c:f>Charts!$I$113:$I$213</c:f>
              <c:numCache/>
            </c:numRef>
          </c:val>
          <c:smooth val="1"/>
        </c:ser>
        <c:ser>
          <c:idx val="3"/>
          <c:order val="2"/>
          <c:tx>
            <c:v>Libreville</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300"/>
              </a:solidFill>
              <a:ln>
                <a:solidFill>
                  <a:srgbClr val="993300"/>
                </a:solidFill>
              </a:ln>
            </c:spPr>
          </c:marker>
          <c:dPt>
            <c:idx val="24"/>
            <c:spPr>
              <a:ln w="12700">
                <a:solidFill>
                  <a:srgbClr val="993300"/>
                </a:solidFill>
              </a:ln>
            </c:spPr>
            <c:marker>
              <c:size val="6"/>
              <c:spPr>
                <a:noFill/>
                <a:ln>
                  <a:solidFill>
                    <a:srgbClr val="993300"/>
                  </a:solidFill>
                </a:ln>
              </c:spPr>
            </c:marker>
          </c:dPt>
          <c:errBars>
            <c:errDir val="y"/>
            <c:errBarType val="both"/>
            <c:errValType val="cust"/>
            <c:plus>
              <c:numRef>
                <c:f>Charts!$O$113:$O$213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1.7602039544219252</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1.2444685466377479</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0.5</c:v>
                  </c:pt>
                  <c:pt idx="95">
                    <c:v>NaN</c:v>
                  </c:pt>
                  <c:pt idx="96">
                    <c:v>NaN</c:v>
                  </c:pt>
                  <c:pt idx="97">
                    <c:v>NaN</c:v>
                  </c:pt>
                  <c:pt idx="98">
                    <c:v>NaN</c:v>
                  </c:pt>
                  <c:pt idx="99">
                    <c:v>NaN</c:v>
                  </c:pt>
                  <c:pt idx="100">
                    <c:v>NaN</c:v>
                  </c:pt>
                </c:numCache>
              </c:numRef>
            </c:plus>
            <c:minus>
              <c:numRef>
                <c:f>Charts!$P$113:$P$213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1.7602039544219252</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1.2444685466377479</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0.5</c:v>
                  </c:pt>
                  <c:pt idx="95">
                    <c:v>NaN</c:v>
                  </c:pt>
                  <c:pt idx="96">
                    <c:v>NaN</c:v>
                  </c:pt>
                  <c:pt idx="97">
                    <c:v>NaN</c:v>
                  </c:pt>
                  <c:pt idx="98">
                    <c:v>NaN</c:v>
                  </c:pt>
                  <c:pt idx="99">
                    <c:v>NaN</c:v>
                  </c:pt>
                  <c:pt idx="100">
                    <c:v>NaN</c:v>
                  </c:pt>
                </c:numCache>
              </c:numRef>
            </c:minus>
            <c:noEndCap val="0"/>
            <c:spPr>
              <a:ln w="12700">
                <a:solidFill>
                  <a:srgbClr val="993300"/>
                </a:solidFill>
              </a:ln>
            </c:spPr>
          </c:errBars>
          <c:cat>
            <c:numRef>
              <c:f>Charts!$A$113:$A$213</c:f>
              <c:numCache/>
            </c:numRef>
          </c:cat>
          <c:val>
            <c:numRef>
              <c:f>Charts!$N$113:$N$213</c:f>
              <c:numCache/>
            </c:numRef>
          </c:val>
          <c:smooth val="1"/>
        </c:ser>
        <c:ser>
          <c:idx val="4"/>
          <c:order val="3"/>
          <c:tx>
            <c:v>Douala</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CCFF"/>
              </a:solidFill>
              <a:ln>
                <a:solidFill>
                  <a:srgbClr val="00CCFF"/>
                </a:solidFill>
              </a:ln>
            </c:spPr>
          </c:marker>
          <c:dPt>
            <c:idx val="15"/>
            <c:spPr>
              <a:ln w="12700">
                <a:solidFill>
                  <a:srgbClr val="00CCFF"/>
                </a:solidFill>
              </a:ln>
            </c:spPr>
            <c:marker>
              <c:symbol val="diamond"/>
              <c:size val="6"/>
              <c:spPr>
                <a:solidFill>
                  <a:srgbClr val="00CCFF"/>
                </a:solidFill>
                <a:ln>
                  <a:solidFill>
                    <a:srgbClr val="00CCFF"/>
                  </a:solidFill>
                </a:ln>
              </c:spPr>
            </c:marker>
          </c:dPt>
          <c:errBars>
            <c:errDir val="y"/>
            <c:errBarType val="both"/>
            <c:errValType val="cust"/>
            <c:plus>
              <c:numRef>
                <c:f>Charts!$T$113:$T$213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6.508971995182499</c:v>
                  </c:pt>
                  <c:pt idx="16">
                    <c:v>NaN</c:v>
                  </c:pt>
                  <c:pt idx="17">
                    <c:v>NaN</c:v>
                  </c:pt>
                  <c:pt idx="18">
                    <c:v>NaN</c:v>
                  </c:pt>
                  <c:pt idx="19">
                    <c:v>NaN</c:v>
                  </c:pt>
                  <c:pt idx="20">
                    <c:v>NaN</c:v>
                  </c:pt>
                  <c:pt idx="21">
                    <c:v>NaN</c:v>
                  </c:pt>
                  <c:pt idx="22">
                    <c:v>NaN</c:v>
                  </c:pt>
                  <c:pt idx="23">
                    <c:v>NaN</c:v>
                  </c:pt>
                  <c:pt idx="24">
                    <c:v>NaN</c:v>
                  </c:pt>
                  <c:pt idx="25">
                    <c:v>3.469996808171075</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1.2639999999999958</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1</c:v>
                  </c:pt>
                  <c:pt idx="95">
                    <c:v>NaN</c:v>
                  </c:pt>
                  <c:pt idx="96">
                    <c:v>NaN</c:v>
                  </c:pt>
                  <c:pt idx="97">
                    <c:v>NaN</c:v>
                  </c:pt>
                  <c:pt idx="98">
                    <c:v>NaN</c:v>
                  </c:pt>
                  <c:pt idx="99">
                    <c:v>NaN</c:v>
                  </c:pt>
                  <c:pt idx="100">
                    <c:v>NaN</c:v>
                  </c:pt>
                </c:numCache>
              </c:numRef>
            </c:plus>
            <c:minus>
              <c:numRef>
                <c:f>Charts!$U$113:$U$213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6.508971995182499</c:v>
                  </c:pt>
                  <c:pt idx="16">
                    <c:v>NaN</c:v>
                  </c:pt>
                  <c:pt idx="17">
                    <c:v>NaN</c:v>
                  </c:pt>
                  <c:pt idx="18">
                    <c:v>NaN</c:v>
                  </c:pt>
                  <c:pt idx="19">
                    <c:v>NaN</c:v>
                  </c:pt>
                  <c:pt idx="20">
                    <c:v>NaN</c:v>
                  </c:pt>
                  <c:pt idx="21">
                    <c:v>NaN</c:v>
                  </c:pt>
                  <c:pt idx="22">
                    <c:v>NaN</c:v>
                  </c:pt>
                  <c:pt idx="23">
                    <c:v>NaN</c:v>
                  </c:pt>
                  <c:pt idx="24">
                    <c:v>NaN</c:v>
                  </c:pt>
                  <c:pt idx="25">
                    <c:v>3.469996808171075</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1.2639999999999958</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1</c:v>
                  </c:pt>
                  <c:pt idx="95">
                    <c:v>NaN</c:v>
                  </c:pt>
                  <c:pt idx="96">
                    <c:v>NaN</c:v>
                  </c:pt>
                  <c:pt idx="97">
                    <c:v>NaN</c:v>
                  </c:pt>
                  <c:pt idx="98">
                    <c:v>NaN</c:v>
                  </c:pt>
                  <c:pt idx="99">
                    <c:v>NaN</c:v>
                  </c:pt>
                  <c:pt idx="100">
                    <c:v>NaN</c:v>
                  </c:pt>
                </c:numCache>
              </c:numRef>
            </c:minus>
            <c:noEndCap val="0"/>
            <c:spPr>
              <a:ln w="12700">
                <a:solidFill>
                  <a:srgbClr val="00CCFF"/>
                </a:solidFill>
              </a:ln>
            </c:spPr>
          </c:errBars>
          <c:cat>
            <c:numRef>
              <c:f>Charts!$A$113:$A$213</c:f>
              <c:numCache/>
            </c:numRef>
          </c:cat>
          <c:val>
            <c:numRef>
              <c:f>Charts!$S$113:$S$213</c:f>
              <c:numCache/>
            </c:numRef>
          </c:val>
          <c:smooth val="1"/>
        </c:ser>
        <c:ser>
          <c:idx val="1"/>
          <c:order val="4"/>
          <c:tx>
            <c:v>Yaoundé</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errBars>
            <c:errDir val="y"/>
            <c:errBarType val="both"/>
            <c:errValType val="cust"/>
            <c:plus>
              <c:numRef>
                <c:f>Charts!$AD$113:$AD$213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1.3187855787476295</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1</c:v>
                  </c:pt>
                  <c:pt idx="95">
                    <c:v>NaN</c:v>
                  </c:pt>
                  <c:pt idx="96">
                    <c:v>NaN</c:v>
                  </c:pt>
                  <c:pt idx="97">
                    <c:v>NaN</c:v>
                  </c:pt>
                  <c:pt idx="98">
                    <c:v>NaN</c:v>
                  </c:pt>
                  <c:pt idx="99">
                    <c:v>NaN</c:v>
                  </c:pt>
                  <c:pt idx="100">
                    <c:v>NaN</c:v>
                  </c:pt>
                </c:numCache>
              </c:numRef>
            </c:plus>
            <c:minus>
              <c:numRef>
                <c:f>Charts!$AE$113:$AE$213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1.3187855787476295</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1</c:v>
                  </c:pt>
                  <c:pt idx="95">
                    <c:v>NaN</c:v>
                  </c:pt>
                  <c:pt idx="96">
                    <c:v>NaN</c:v>
                  </c:pt>
                  <c:pt idx="97">
                    <c:v>NaN</c:v>
                  </c:pt>
                  <c:pt idx="98">
                    <c:v>NaN</c:v>
                  </c:pt>
                  <c:pt idx="99">
                    <c:v>NaN</c:v>
                  </c:pt>
                  <c:pt idx="100">
                    <c:v>NaN</c:v>
                  </c:pt>
                </c:numCache>
              </c:numRef>
            </c:minus>
            <c:noEndCap val="0"/>
            <c:spPr>
              <a:ln w="12700">
                <a:solidFill>
                  <a:srgbClr val="008000"/>
                </a:solidFill>
              </a:ln>
            </c:spPr>
          </c:errBars>
          <c:cat>
            <c:numRef>
              <c:f>Charts!$A$113:$A$213</c:f>
              <c:numCache/>
            </c:numRef>
          </c:cat>
          <c:val>
            <c:numRef>
              <c:f>Charts!$AC$113:$AC$213</c:f>
              <c:numCache/>
            </c:numRef>
          </c:val>
          <c:smooth val="1"/>
        </c:ser>
        <c:ser>
          <c:idx val="5"/>
          <c:order val="5"/>
          <c:tx>
            <c:v>Bangui</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8080"/>
              </a:solidFill>
              <a:ln>
                <a:solidFill>
                  <a:srgbClr val="808080"/>
                </a:solidFill>
              </a:ln>
            </c:spPr>
          </c:marker>
          <c:dPt>
            <c:idx val="21"/>
            <c:spPr>
              <a:ln w="12700">
                <a:solidFill>
                  <a:srgbClr val="808080"/>
                </a:solidFill>
              </a:ln>
            </c:spPr>
            <c:marker>
              <c:size val="6"/>
              <c:spPr>
                <a:noFill/>
                <a:ln>
                  <a:solidFill>
                    <a:srgbClr val="808080"/>
                  </a:solidFill>
                </a:ln>
              </c:spPr>
            </c:marker>
          </c:dPt>
          <c:errBars>
            <c:errDir val="y"/>
            <c:errBarType val="both"/>
            <c:errValType val="cust"/>
            <c:plus>
              <c:numRef>
                <c:f>Charts!$Y$113:$Y$213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1.9743784127657236</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1.3031702274293693</c:v>
                  </c:pt>
                  <c:pt idx="40">
                    <c:v>NaN</c:v>
                  </c:pt>
                  <c:pt idx="41">
                    <c:v>NaN</c:v>
                  </c:pt>
                  <c:pt idx="42">
                    <c:v>NaN</c:v>
                  </c:pt>
                  <c:pt idx="43">
                    <c:v>NaN</c:v>
                  </c:pt>
                  <c:pt idx="44">
                    <c:v>NaN</c:v>
                  </c:pt>
                  <c:pt idx="45">
                    <c:v>NaN</c:v>
                  </c:pt>
                  <c:pt idx="46">
                    <c:v>NaN</c:v>
                  </c:pt>
                  <c:pt idx="47">
                    <c:v>NaN</c:v>
                  </c:pt>
                  <c:pt idx="48">
                    <c:v>NaN</c:v>
                  </c:pt>
                  <c:pt idx="49">
                    <c:v>NaN</c:v>
                  </c:pt>
                  <c:pt idx="50">
                    <c:v>1.6700000000000017</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2</c:v>
                  </c:pt>
                  <c:pt idx="95">
                    <c:v>NaN</c:v>
                  </c:pt>
                  <c:pt idx="96">
                    <c:v>NaN</c:v>
                  </c:pt>
                  <c:pt idx="97">
                    <c:v>NaN</c:v>
                  </c:pt>
                  <c:pt idx="98">
                    <c:v>NaN</c:v>
                  </c:pt>
                  <c:pt idx="99">
                    <c:v>NaN</c:v>
                  </c:pt>
                  <c:pt idx="100">
                    <c:v>NaN</c:v>
                  </c:pt>
                </c:numCache>
              </c:numRef>
            </c:plus>
            <c:minus>
              <c:numRef>
                <c:f>Charts!$Y$113:$Y$213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1.9743784127657236</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1.3031702274293693</c:v>
                  </c:pt>
                  <c:pt idx="40">
                    <c:v>NaN</c:v>
                  </c:pt>
                  <c:pt idx="41">
                    <c:v>NaN</c:v>
                  </c:pt>
                  <c:pt idx="42">
                    <c:v>NaN</c:v>
                  </c:pt>
                  <c:pt idx="43">
                    <c:v>NaN</c:v>
                  </c:pt>
                  <c:pt idx="44">
                    <c:v>NaN</c:v>
                  </c:pt>
                  <c:pt idx="45">
                    <c:v>NaN</c:v>
                  </c:pt>
                  <c:pt idx="46">
                    <c:v>NaN</c:v>
                  </c:pt>
                  <c:pt idx="47">
                    <c:v>NaN</c:v>
                  </c:pt>
                  <c:pt idx="48">
                    <c:v>NaN</c:v>
                  </c:pt>
                  <c:pt idx="49">
                    <c:v>NaN</c:v>
                  </c:pt>
                  <c:pt idx="50">
                    <c:v>1.6700000000000017</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2</c:v>
                  </c:pt>
                  <c:pt idx="95">
                    <c:v>NaN</c:v>
                  </c:pt>
                  <c:pt idx="96">
                    <c:v>NaN</c:v>
                  </c:pt>
                  <c:pt idx="97">
                    <c:v>NaN</c:v>
                  </c:pt>
                  <c:pt idx="98">
                    <c:v>NaN</c:v>
                  </c:pt>
                  <c:pt idx="99">
                    <c:v>NaN</c:v>
                  </c:pt>
                  <c:pt idx="100">
                    <c:v>NaN</c:v>
                  </c:pt>
                </c:numCache>
              </c:numRef>
            </c:minus>
            <c:noEndCap val="0"/>
            <c:spPr>
              <a:ln w="12700">
                <a:solidFill>
                  <a:srgbClr val="808080"/>
                </a:solidFill>
              </a:ln>
            </c:spPr>
          </c:errBars>
          <c:cat>
            <c:numRef>
              <c:f>Charts!$A$113:$A$213</c:f>
              <c:numCache/>
            </c:numRef>
          </c:cat>
          <c:val>
            <c:numRef>
              <c:f>Charts!$X$113:$X$213</c:f>
              <c:numCache/>
            </c:numRef>
          </c:val>
          <c:smooth val="1"/>
        </c:ser>
        <c:marker val="1"/>
        <c:axId val="65716922"/>
        <c:axId val="54581387"/>
      </c:lineChart>
      <c:catAx>
        <c:axId val="65716922"/>
        <c:scaling>
          <c:orientation val="minMax"/>
        </c:scaling>
        <c:axPos val="b"/>
        <c:title>
          <c:tx>
            <c:rich>
              <a:bodyPr vert="horz" rot="0" anchor="ctr"/>
              <a:lstStyle/>
              <a:p>
                <a:pPr algn="ctr">
                  <a:defRPr/>
                </a:pPr>
                <a:r>
                  <a:rPr lang="en-US" cap="none" sz="1200" b="0" i="0" u="none" baseline="0">
                    <a:latin typeface="Arial"/>
                    <a:ea typeface="Arial"/>
                    <a:cs typeface="Arial"/>
                  </a:rPr>
                  <a:t>Time</a:t>
                </a:r>
              </a:p>
            </c:rich>
          </c:tx>
          <c:layout>
            <c:manualLayout>
              <c:xMode val="factor"/>
              <c:yMode val="factor"/>
              <c:x val="0.00675"/>
              <c:y val="0.112"/>
            </c:manualLayout>
          </c:layout>
          <c:overlay val="0"/>
          <c:spPr>
            <a:noFill/>
            <a:ln>
              <a:noFill/>
            </a:ln>
          </c:spPr>
        </c:title>
        <c:delete val="0"/>
        <c:numFmt formatCode="General" sourceLinked="1"/>
        <c:majorTickMark val="out"/>
        <c:minorTickMark val="none"/>
        <c:tickLblPos val="nextTo"/>
        <c:spPr>
          <a:ln w="12700">
            <a:solidFill/>
          </a:ln>
        </c:spPr>
        <c:txPr>
          <a:bodyPr vert="horz" rot="0"/>
          <a:lstStyle/>
          <a:p>
            <a:pPr>
              <a:defRPr lang="en-US" cap="none" sz="1025" b="0" i="0" u="none" baseline="0"/>
            </a:pPr>
          </a:p>
        </c:txPr>
        <c:crossAx val="54581387"/>
        <c:crossesAt val="20"/>
        <c:auto val="1"/>
        <c:lblOffset val="100"/>
        <c:tickLblSkip val="10"/>
        <c:tickMarkSkip val="10"/>
        <c:noMultiLvlLbl val="0"/>
      </c:catAx>
      <c:valAx>
        <c:axId val="54581387"/>
        <c:scaling>
          <c:orientation val="minMax"/>
          <c:max val="100"/>
          <c:min val="70"/>
        </c:scaling>
        <c:axPos val="l"/>
        <c:title>
          <c:tx>
            <c:rich>
              <a:bodyPr vert="horz" rot="0" anchor="ctr"/>
              <a:lstStyle/>
              <a:p>
                <a:pPr algn="ctr">
                  <a:defRPr/>
                </a:pPr>
                <a:r>
                  <a:rPr lang="en-US" cap="none" sz="1200" b="0" i="0" u="none" baseline="0"/>
                  <a:t>Circ. freq. (%)</a:t>
                </a:r>
              </a:p>
            </c:rich>
          </c:tx>
          <c:layout>
            <c:manualLayout>
              <c:xMode val="factor"/>
              <c:yMode val="factor"/>
              <c:x val="0.047"/>
              <c:y val="0.16525"/>
            </c:manualLayout>
          </c:layout>
          <c:overlay val="0"/>
          <c:spPr>
            <a:noFill/>
            <a:ln>
              <a:noFill/>
            </a:ln>
          </c:spPr>
        </c:title>
        <c:delete val="0"/>
        <c:numFmt formatCode="0" sourceLinked="0"/>
        <c:majorTickMark val="out"/>
        <c:minorTickMark val="none"/>
        <c:tickLblPos val="nextTo"/>
        <c:spPr>
          <a:ln w="12700">
            <a:solidFill/>
          </a:ln>
        </c:spPr>
        <c:txPr>
          <a:bodyPr/>
          <a:lstStyle/>
          <a:p>
            <a:pPr>
              <a:defRPr lang="en-US" cap="none" sz="1000" b="0" i="0" u="none" baseline="0"/>
            </a:pPr>
          </a:p>
        </c:txPr>
        <c:crossAx val="65716922"/>
        <c:crossesAt val="1"/>
        <c:crossBetween val="midCat"/>
        <c:dispUnits/>
        <c:majorUnit val="5"/>
        <c:minorUnit val="5"/>
      </c:valAx>
      <c:spPr>
        <a:noFill/>
        <a:ln>
          <a:noFill/>
        </a:ln>
      </c:spPr>
    </c:plotArea>
    <c:legend>
      <c:legendPos val="t"/>
      <c:layout>
        <c:manualLayout>
          <c:xMode val="edge"/>
          <c:yMode val="edge"/>
          <c:x val="0.21075"/>
          <c:y val="0"/>
          <c:w val="0.7665"/>
          <c:h val="0.174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775"/>
          <c:w val="0.9885"/>
          <c:h val="0.7565"/>
        </c:manualLayout>
      </c:layout>
      <c:lineChart>
        <c:grouping val="standard"/>
        <c:varyColors val="0"/>
        <c:ser>
          <c:idx val="1"/>
          <c:order val="0"/>
          <c:tx>
            <c:v>Abidjan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Pt>
            <c:idx val="26"/>
            <c:spPr>
              <a:ln w="12700">
                <a:solidFill>
                  <a:srgbClr val="0000FF"/>
                </a:solidFill>
              </a:ln>
            </c:spPr>
            <c:marker>
              <c:symbol val="diamond"/>
              <c:size val="6"/>
              <c:spPr>
                <a:solidFill>
                  <a:srgbClr val="0000FF"/>
                </a:solidFill>
                <a:ln>
                  <a:solidFill>
                    <a:srgbClr val="0000FF"/>
                  </a:solidFill>
                </a:ln>
              </c:spPr>
            </c:marker>
          </c:dPt>
          <c:errBars>
            <c:errDir val="y"/>
            <c:errBarType val="both"/>
            <c:errValType val="cust"/>
            <c:plus>
              <c:numRef>
                <c:f>Charts!$AI$113:$AI$213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7.222363776902371</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6.149947513250627</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4.653519929562648</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NaN</c:v>
                  </c:pt>
                  <c:pt idx="96">
                    <c:v>2</c:v>
                  </c:pt>
                  <c:pt idx="97">
                    <c:v>NaN</c:v>
                  </c:pt>
                  <c:pt idx="98">
                    <c:v>NaN</c:v>
                  </c:pt>
                  <c:pt idx="99">
                    <c:v>NaN</c:v>
                  </c:pt>
                  <c:pt idx="100">
                    <c:v>NaN</c:v>
                  </c:pt>
                </c:numCache>
              </c:numRef>
            </c:plus>
            <c:minus>
              <c:numRef>
                <c:f>Charts!$AJ$113:$AJ$213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7.222363776902371</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6.149947513250627</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4.653519929562648</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NaN</c:v>
                  </c:pt>
                  <c:pt idx="96">
                    <c:v>2</c:v>
                  </c:pt>
                  <c:pt idx="97">
                    <c:v>NaN</c:v>
                  </c:pt>
                  <c:pt idx="98">
                    <c:v>NaN</c:v>
                  </c:pt>
                  <c:pt idx="99">
                    <c:v>NaN</c:v>
                  </c:pt>
                  <c:pt idx="100">
                    <c:v>NaN</c:v>
                  </c:pt>
                </c:numCache>
              </c:numRef>
            </c:minus>
            <c:noEndCap val="0"/>
            <c:spPr>
              <a:ln w="12700">
                <a:solidFill>
                  <a:srgbClr val="0000FF"/>
                </a:solidFill>
              </a:ln>
            </c:spPr>
          </c:errBars>
          <c:cat>
            <c:numRef>
              <c:f>Charts!$A$113:$A$213</c:f>
              <c:numCache/>
            </c:numRef>
          </c:cat>
          <c:val>
            <c:numRef>
              <c:f>Charts!$AH$113:$AH$213</c:f>
              <c:numCache/>
            </c:numRef>
          </c:val>
          <c:smooth val="1"/>
        </c:ser>
        <c:ser>
          <c:idx val="5"/>
          <c:order val="1"/>
          <c:tx>
            <c:v>Bouaké</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CCCC"/>
              </a:solidFill>
              <a:ln>
                <a:solidFill>
                  <a:srgbClr val="33CCCC"/>
                </a:solidFill>
              </a:ln>
            </c:spPr>
          </c:marker>
          <c:dPt>
            <c:idx val="21"/>
            <c:spPr>
              <a:ln w="12700">
                <a:solidFill>
                  <a:srgbClr val="00CCFF"/>
                </a:solidFill>
              </a:ln>
            </c:spPr>
            <c:marker>
              <c:symbol val="diamond"/>
              <c:size val="6"/>
              <c:spPr>
                <a:solidFill>
                  <a:srgbClr val="33CCCC"/>
                </a:solidFill>
                <a:ln>
                  <a:solidFill>
                    <a:srgbClr val="33CCCC"/>
                  </a:solidFill>
                </a:ln>
              </c:spPr>
            </c:marker>
          </c:dPt>
          <c:errBars>
            <c:errDir val="y"/>
            <c:errBarType val="both"/>
            <c:errValType val="cust"/>
            <c:plus>
              <c:numRef>
                <c:f>Charts!$AN$113:$AN$213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11.670077972709553</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3.940594059405946</c:v>
                  </c:pt>
                  <c:pt idx="49">
                    <c:v>NaN</c:v>
                  </c:pt>
                  <c:pt idx="50">
                    <c:v>NaN</c:v>
                  </c:pt>
                  <c:pt idx="51">
                    <c:v>NaN</c:v>
                  </c:pt>
                  <c:pt idx="52">
                    <c:v>NaN</c:v>
                  </c:pt>
                  <c:pt idx="53">
                    <c:v>NaN</c:v>
                  </c:pt>
                  <c:pt idx="54">
                    <c:v>NaN</c:v>
                  </c:pt>
                  <c:pt idx="55">
                    <c:v>NaN</c:v>
                  </c:pt>
                  <c:pt idx="56">
                    <c:v>NaN</c:v>
                  </c:pt>
                  <c:pt idx="57">
                    <c:v>NaN</c:v>
                  </c:pt>
                  <c:pt idx="58">
                    <c:v>NaN</c:v>
                  </c:pt>
                  <c:pt idx="59">
                    <c:v>3.239428857715424</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NaN</c:v>
                  </c:pt>
                  <c:pt idx="96">
                    <c:v>2</c:v>
                  </c:pt>
                  <c:pt idx="97">
                    <c:v>NaN</c:v>
                  </c:pt>
                  <c:pt idx="98">
                    <c:v>NaN</c:v>
                  </c:pt>
                  <c:pt idx="99">
                    <c:v>NaN</c:v>
                  </c:pt>
                  <c:pt idx="100">
                    <c:v>NaN</c:v>
                  </c:pt>
                </c:numCache>
              </c:numRef>
            </c:plus>
            <c:minus>
              <c:numRef>
                <c:f>Charts!$AO$113:$AO$213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11.670077972709553</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3.940594059405946</c:v>
                  </c:pt>
                  <c:pt idx="49">
                    <c:v>NaN</c:v>
                  </c:pt>
                  <c:pt idx="50">
                    <c:v>NaN</c:v>
                  </c:pt>
                  <c:pt idx="51">
                    <c:v>NaN</c:v>
                  </c:pt>
                  <c:pt idx="52">
                    <c:v>NaN</c:v>
                  </c:pt>
                  <c:pt idx="53">
                    <c:v>NaN</c:v>
                  </c:pt>
                  <c:pt idx="54">
                    <c:v>NaN</c:v>
                  </c:pt>
                  <c:pt idx="55">
                    <c:v>NaN</c:v>
                  </c:pt>
                  <c:pt idx="56">
                    <c:v>NaN</c:v>
                  </c:pt>
                  <c:pt idx="57">
                    <c:v>NaN</c:v>
                  </c:pt>
                  <c:pt idx="58">
                    <c:v>NaN</c:v>
                  </c:pt>
                  <c:pt idx="59">
                    <c:v>3.239428857715424</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NaN</c:v>
                  </c:pt>
                  <c:pt idx="96">
                    <c:v>2</c:v>
                  </c:pt>
                  <c:pt idx="97">
                    <c:v>NaN</c:v>
                  </c:pt>
                  <c:pt idx="98">
                    <c:v>NaN</c:v>
                  </c:pt>
                  <c:pt idx="99">
                    <c:v>NaN</c:v>
                  </c:pt>
                  <c:pt idx="100">
                    <c:v>NaN</c:v>
                  </c:pt>
                </c:numCache>
              </c:numRef>
            </c:minus>
            <c:noEndCap val="0"/>
            <c:spPr>
              <a:ln w="12700">
                <a:solidFill>
                  <a:srgbClr val="33CCCC"/>
                </a:solidFill>
              </a:ln>
            </c:spPr>
          </c:errBars>
          <c:cat>
            <c:numRef>
              <c:f>Charts!$A$113:$A$213</c:f>
              <c:numCache/>
            </c:numRef>
          </c:cat>
          <c:val>
            <c:numRef>
              <c:f>Charts!$AM$113:$AM$213</c:f>
              <c:numCache/>
            </c:numRef>
          </c:val>
          <c:smooth val="1"/>
        </c:ser>
        <c:ser>
          <c:idx val="6"/>
          <c:order val="2"/>
          <c:tx>
            <c:v>Monrovia</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8080"/>
              </a:solidFill>
              <a:ln>
                <a:solidFill>
                  <a:srgbClr val="808080"/>
                </a:solidFill>
              </a:ln>
            </c:spPr>
          </c:marker>
          <c:dPt>
            <c:idx val="29"/>
            <c:spPr>
              <a:ln w="12700">
                <a:solidFill>
                  <a:srgbClr val="808080"/>
                </a:solidFill>
              </a:ln>
            </c:spPr>
            <c:marker>
              <c:symbol val="diamond"/>
              <c:size val="6"/>
              <c:spPr>
                <a:solidFill>
                  <a:srgbClr val="808080"/>
                </a:solidFill>
                <a:ln>
                  <a:solidFill>
                    <a:srgbClr val="808080"/>
                  </a:solidFill>
                </a:ln>
              </c:spPr>
            </c:marker>
          </c:dPt>
          <c:errBars>
            <c:errDir val="y"/>
            <c:errBarType val="both"/>
            <c:errValType val="cust"/>
            <c:plus>
              <c:numRef>
                <c:f>Charts!$AS$113:$AS$213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2.198666666666668</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1.5999999999999943</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NaN</c:v>
                  </c:pt>
                  <c:pt idx="96">
                    <c:v>NaN</c:v>
                  </c:pt>
                  <c:pt idx="97">
                    <c:v>0.5</c:v>
                  </c:pt>
                  <c:pt idx="98">
                    <c:v>NaN</c:v>
                  </c:pt>
                  <c:pt idx="99">
                    <c:v>NaN</c:v>
                  </c:pt>
                  <c:pt idx="100">
                    <c:v>NaN</c:v>
                  </c:pt>
                </c:numCache>
              </c:numRef>
            </c:plus>
            <c:minus>
              <c:numRef>
                <c:f>Charts!$AT$113:$AT$213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2.198666666666668</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NaN</c:v>
                  </c:pt>
                  <c:pt idx="44">
                    <c:v>NaN</c:v>
                  </c:pt>
                  <c:pt idx="45">
                    <c:v>NaN</c:v>
                  </c:pt>
                  <c:pt idx="46">
                    <c:v>NaN</c:v>
                  </c:pt>
                  <c:pt idx="47">
                    <c:v>NaN</c:v>
                  </c:pt>
                  <c:pt idx="48">
                    <c:v>1.5999999999999943</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NaN</c:v>
                  </c:pt>
                  <c:pt idx="96">
                    <c:v>NaN</c:v>
                  </c:pt>
                  <c:pt idx="97">
                    <c:v>0.5</c:v>
                  </c:pt>
                  <c:pt idx="98">
                    <c:v>NaN</c:v>
                  </c:pt>
                  <c:pt idx="99">
                    <c:v>NaN</c:v>
                  </c:pt>
                  <c:pt idx="100">
                    <c:v>NaN</c:v>
                  </c:pt>
                </c:numCache>
              </c:numRef>
            </c:minus>
            <c:noEndCap val="0"/>
            <c:spPr>
              <a:ln w="12700">
                <a:solidFill>
                  <a:srgbClr val="808080"/>
                </a:solidFill>
              </a:ln>
            </c:spPr>
          </c:errBars>
          <c:cat>
            <c:numRef>
              <c:f>Charts!$A$113:$A$213</c:f>
              <c:numCache/>
            </c:numRef>
          </c:cat>
          <c:val>
            <c:numRef>
              <c:f>Charts!$AR$113:$AR$213</c:f>
              <c:numCache/>
            </c:numRef>
          </c:val>
          <c:smooth val="1"/>
        </c:ser>
        <c:ser>
          <c:idx val="7"/>
          <c:order val="3"/>
          <c:tx>
            <c:v>Freetown</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errBars>
            <c:errDir val="y"/>
            <c:errBarType val="both"/>
            <c:errValType val="cust"/>
            <c:plus>
              <c:numRef>
                <c:f>Charts!$AX$113:$AX$213</c:f>
                <c:numCache>
                  <c:ptCount val="101"/>
                  <c:pt idx="0">
                    <c:v>NaN</c:v>
                  </c:pt>
                  <c:pt idx="1">
                    <c:v>1.2220739219712584</c:v>
                  </c:pt>
                  <c:pt idx="2">
                    <c:v>NaN</c:v>
                  </c:pt>
                  <c:pt idx="3">
                    <c:v>NaN</c:v>
                  </c:pt>
                  <c:pt idx="4">
                    <c:v>NaN</c:v>
                  </c:pt>
                  <c:pt idx="5">
                    <c:v>NaN</c:v>
                  </c:pt>
                  <c:pt idx="6">
                    <c:v>NaN</c:v>
                  </c:pt>
                  <c:pt idx="7">
                    <c:v>NaN</c:v>
                  </c:pt>
                  <c:pt idx="8">
                    <c:v>NaN</c:v>
                  </c:pt>
                  <c:pt idx="9">
                    <c:v>NaN</c:v>
                  </c:pt>
                  <c:pt idx="10">
                    <c:v>NaN</c:v>
                  </c:pt>
                  <c:pt idx="11">
                    <c:v>1.7078025966703407</c:v>
                  </c:pt>
                  <c:pt idx="12">
                    <c:v>NaN</c:v>
                  </c:pt>
                  <c:pt idx="13">
                    <c:v>NaN</c:v>
                  </c:pt>
                  <c:pt idx="14">
                    <c:v>NaN</c:v>
                  </c:pt>
                  <c:pt idx="15">
                    <c:v>NaN</c:v>
                  </c:pt>
                  <c:pt idx="16">
                    <c:v>NaN</c:v>
                  </c:pt>
                  <c:pt idx="17">
                    <c:v>NaN</c:v>
                  </c:pt>
                  <c:pt idx="18">
                    <c:v>NaN</c:v>
                  </c:pt>
                  <c:pt idx="19">
                    <c:v>NaN</c:v>
                  </c:pt>
                  <c:pt idx="20">
                    <c:v>NaN</c:v>
                  </c:pt>
                  <c:pt idx="21">
                    <c:v>1.6947746185435406</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1.2800000000000011</c:v>
                  </c:pt>
                  <c:pt idx="44">
                    <c:v>NaN</c:v>
                  </c:pt>
                  <c:pt idx="45">
                    <c:v>NaN</c:v>
                  </c:pt>
                  <c:pt idx="46">
                    <c:v>NaN</c:v>
                  </c:pt>
                  <c:pt idx="47">
                    <c:v>NaN</c:v>
                  </c:pt>
                  <c:pt idx="48">
                    <c:v>NaN</c:v>
                  </c:pt>
                  <c:pt idx="49">
                    <c:v>NaN</c:v>
                  </c:pt>
                  <c:pt idx="50">
                    <c:v>NaN</c:v>
                  </c:pt>
                  <c:pt idx="51">
                    <c:v>NaN</c:v>
                  </c:pt>
                  <c:pt idx="52">
                    <c:v>NaN</c:v>
                  </c:pt>
                  <c:pt idx="53">
                    <c:v>1.0488238467130984</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0.5</c:v>
                  </c:pt>
                  <c:pt idx="95">
                    <c:v>NaN</c:v>
                  </c:pt>
                  <c:pt idx="96">
                    <c:v>NaN</c:v>
                  </c:pt>
                  <c:pt idx="97">
                    <c:v>NaN</c:v>
                  </c:pt>
                  <c:pt idx="98">
                    <c:v>NaN</c:v>
                  </c:pt>
                  <c:pt idx="99">
                    <c:v>NaN</c:v>
                  </c:pt>
                  <c:pt idx="100">
                    <c:v>NaN</c:v>
                  </c:pt>
                </c:numCache>
              </c:numRef>
            </c:plus>
            <c:minus>
              <c:numRef>
                <c:f>Charts!$AY$113:$AY$213</c:f>
                <c:numCache>
                  <c:ptCount val="101"/>
                  <c:pt idx="0">
                    <c:v>NaN</c:v>
                  </c:pt>
                  <c:pt idx="1">
                    <c:v>1.2220739219712584</c:v>
                  </c:pt>
                  <c:pt idx="2">
                    <c:v>NaN</c:v>
                  </c:pt>
                  <c:pt idx="3">
                    <c:v>NaN</c:v>
                  </c:pt>
                  <c:pt idx="4">
                    <c:v>NaN</c:v>
                  </c:pt>
                  <c:pt idx="5">
                    <c:v>NaN</c:v>
                  </c:pt>
                  <c:pt idx="6">
                    <c:v>NaN</c:v>
                  </c:pt>
                  <c:pt idx="7">
                    <c:v>NaN</c:v>
                  </c:pt>
                  <c:pt idx="8">
                    <c:v>NaN</c:v>
                  </c:pt>
                  <c:pt idx="9">
                    <c:v>NaN</c:v>
                  </c:pt>
                  <c:pt idx="10">
                    <c:v>NaN</c:v>
                  </c:pt>
                  <c:pt idx="11">
                    <c:v>1.7078025966703407</c:v>
                  </c:pt>
                  <c:pt idx="12">
                    <c:v>NaN</c:v>
                  </c:pt>
                  <c:pt idx="13">
                    <c:v>NaN</c:v>
                  </c:pt>
                  <c:pt idx="14">
                    <c:v>NaN</c:v>
                  </c:pt>
                  <c:pt idx="15">
                    <c:v>NaN</c:v>
                  </c:pt>
                  <c:pt idx="16">
                    <c:v>NaN</c:v>
                  </c:pt>
                  <c:pt idx="17">
                    <c:v>NaN</c:v>
                  </c:pt>
                  <c:pt idx="18">
                    <c:v>NaN</c:v>
                  </c:pt>
                  <c:pt idx="19">
                    <c:v>NaN</c:v>
                  </c:pt>
                  <c:pt idx="20">
                    <c:v>NaN</c:v>
                  </c:pt>
                  <c:pt idx="21">
                    <c:v>1.6947746185435406</c:v>
                  </c:pt>
                  <c:pt idx="22">
                    <c:v>NaN</c:v>
                  </c:pt>
                  <c:pt idx="23">
                    <c:v>NaN</c:v>
                  </c:pt>
                  <c:pt idx="24">
                    <c:v>NaN</c:v>
                  </c:pt>
                  <c:pt idx="25">
                    <c:v>NaN</c:v>
                  </c:pt>
                  <c:pt idx="26">
                    <c:v>NaN</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NaN</c:v>
                  </c:pt>
                  <c:pt idx="41">
                    <c:v>NaN</c:v>
                  </c:pt>
                  <c:pt idx="42">
                    <c:v>NaN</c:v>
                  </c:pt>
                  <c:pt idx="43">
                    <c:v>1.2800000000000011</c:v>
                  </c:pt>
                  <c:pt idx="44">
                    <c:v>NaN</c:v>
                  </c:pt>
                  <c:pt idx="45">
                    <c:v>NaN</c:v>
                  </c:pt>
                  <c:pt idx="46">
                    <c:v>NaN</c:v>
                  </c:pt>
                  <c:pt idx="47">
                    <c:v>NaN</c:v>
                  </c:pt>
                  <c:pt idx="48">
                    <c:v>NaN</c:v>
                  </c:pt>
                  <c:pt idx="49">
                    <c:v>NaN</c:v>
                  </c:pt>
                  <c:pt idx="50">
                    <c:v>NaN</c:v>
                  </c:pt>
                  <c:pt idx="51">
                    <c:v>NaN</c:v>
                  </c:pt>
                  <c:pt idx="52">
                    <c:v>NaN</c:v>
                  </c:pt>
                  <c:pt idx="53">
                    <c:v>1.0488238467130984</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0.5</c:v>
                  </c:pt>
                  <c:pt idx="95">
                    <c:v>NaN</c:v>
                  </c:pt>
                  <c:pt idx="96">
                    <c:v>NaN</c:v>
                  </c:pt>
                  <c:pt idx="97">
                    <c:v>NaN</c:v>
                  </c:pt>
                  <c:pt idx="98">
                    <c:v>NaN</c:v>
                  </c:pt>
                  <c:pt idx="99">
                    <c:v>NaN</c:v>
                  </c:pt>
                  <c:pt idx="100">
                    <c:v>NaN</c:v>
                  </c:pt>
                </c:numCache>
              </c:numRef>
            </c:minus>
            <c:noEndCap val="0"/>
            <c:spPr>
              <a:ln w="3175">
                <a:solidFill>
                  <a:srgbClr val="008000"/>
                </a:solidFill>
              </a:ln>
            </c:spPr>
          </c:errBars>
          <c:cat>
            <c:numRef>
              <c:f>Charts!$A$113:$A$213</c:f>
              <c:numCache/>
            </c:numRef>
          </c:cat>
          <c:val>
            <c:numRef>
              <c:f>Charts!$AW$113:$AW$213</c:f>
              <c:numCache/>
            </c:numRef>
          </c:val>
          <c:smooth val="1"/>
        </c:ser>
        <c:ser>
          <c:idx val="8"/>
          <c:order val="4"/>
          <c:tx>
            <c:v>Conakry</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CC00"/>
              </a:solidFill>
              <a:ln>
                <a:solidFill>
                  <a:srgbClr val="99CC00"/>
                </a:solidFill>
              </a:ln>
            </c:spPr>
          </c:marker>
          <c:dPt>
            <c:idx val="13"/>
            <c:spPr>
              <a:ln w="12700">
                <a:solidFill>
                  <a:srgbClr val="99CC00"/>
                </a:solidFill>
              </a:ln>
            </c:spPr>
            <c:marker>
              <c:symbol val="diamond"/>
              <c:size val="6"/>
              <c:spPr>
                <a:solidFill>
                  <a:srgbClr val="99CC00"/>
                </a:solidFill>
                <a:ln>
                  <a:solidFill>
                    <a:srgbClr val="99CC00"/>
                  </a:solidFill>
                </a:ln>
              </c:spPr>
            </c:marker>
          </c:dPt>
          <c:errBars>
            <c:errDir val="y"/>
            <c:errBarType val="both"/>
            <c:errValType val="cust"/>
            <c:plus>
              <c:numRef>
                <c:f>Charts!$BC$113:$BC$213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3.3946023504273484</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2.137991369628189</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1.6347826086956516</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0.5</c:v>
                  </c:pt>
                  <c:pt idx="96">
                    <c:v>NaN</c:v>
                  </c:pt>
                  <c:pt idx="97">
                    <c:v>NaN</c:v>
                  </c:pt>
                  <c:pt idx="98">
                    <c:v>NaN</c:v>
                  </c:pt>
                  <c:pt idx="99">
                    <c:v>NaN</c:v>
                  </c:pt>
                  <c:pt idx="100">
                    <c:v>NaN</c:v>
                  </c:pt>
                </c:numCache>
              </c:numRef>
            </c:plus>
            <c:minus>
              <c:numRef>
                <c:f>Charts!$BD$113:$BD$213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3.3946023504273484</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2.137991369628189</c:v>
                  </c:pt>
                  <c:pt idx="27">
                    <c:v>NaN</c:v>
                  </c:pt>
                  <c:pt idx="28">
                    <c:v>NaN</c:v>
                  </c:pt>
                  <c:pt idx="29">
                    <c:v>NaN</c:v>
                  </c:pt>
                  <c:pt idx="30">
                    <c:v>NaN</c:v>
                  </c:pt>
                  <c:pt idx="31">
                    <c:v>NaN</c:v>
                  </c:pt>
                  <c:pt idx="32">
                    <c:v>NaN</c:v>
                  </c:pt>
                  <c:pt idx="33">
                    <c:v>NaN</c:v>
                  </c:pt>
                  <c:pt idx="34">
                    <c:v>NaN</c:v>
                  </c:pt>
                  <c:pt idx="35">
                    <c:v>NaN</c:v>
                  </c:pt>
                  <c:pt idx="36">
                    <c:v>NaN</c:v>
                  </c:pt>
                  <c:pt idx="37">
                    <c:v>NaN</c:v>
                  </c:pt>
                  <c:pt idx="38">
                    <c:v>NaN</c:v>
                  </c:pt>
                  <c:pt idx="39">
                    <c:v>NaN</c:v>
                  </c:pt>
                  <c:pt idx="40">
                    <c:v>1.6347826086956516</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NaN</c:v>
                  </c:pt>
                  <c:pt idx="94">
                    <c:v>NaN</c:v>
                  </c:pt>
                  <c:pt idx="95">
                    <c:v>0.5</c:v>
                  </c:pt>
                  <c:pt idx="96">
                    <c:v>NaN</c:v>
                  </c:pt>
                  <c:pt idx="97">
                    <c:v>NaN</c:v>
                  </c:pt>
                  <c:pt idx="98">
                    <c:v>NaN</c:v>
                  </c:pt>
                  <c:pt idx="99">
                    <c:v>NaN</c:v>
                  </c:pt>
                  <c:pt idx="100">
                    <c:v>NaN</c:v>
                  </c:pt>
                </c:numCache>
              </c:numRef>
            </c:minus>
            <c:noEndCap val="0"/>
            <c:spPr>
              <a:ln w="12700">
                <a:solidFill>
                  <a:srgbClr val="99CC00"/>
                </a:solidFill>
              </a:ln>
            </c:spPr>
          </c:errBars>
          <c:cat>
            <c:numRef>
              <c:f>Charts!$A$113:$A$213</c:f>
              <c:numCache/>
            </c:numRef>
          </c:cat>
          <c:val>
            <c:numRef>
              <c:f>Charts!$BB$113:$BB$213</c:f>
              <c:numCache/>
            </c:numRef>
          </c:val>
          <c:smooth val="1"/>
        </c:ser>
        <c:ser>
          <c:idx val="9"/>
          <c:order val="5"/>
          <c:tx>
            <c:v>Bissau</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dPt>
            <c:idx val="30"/>
            <c:spPr>
              <a:ln w="12700">
                <a:solidFill>
                  <a:srgbClr val="FF0000"/>
                </a:solidFill>
              </a:ln>
            </c:spPr>
            <c:marker>
              <c:symbol val="diamond"/>
              <c:size val="6"/>
              <c:spPr>
                <a:solidFill>
                  <a:srgbClr val="FF0000"/>
                </a:solidFill>
                <a:ln>
                  <a:solidFill>
                    <a:srgbClr val="FF0000"/>
                  </a:solidFill>
                </a:ln>
              </c:spPr>
            </c:marker>
          </c:dPt>
          <c:errBars>
            <c:errDir val="y"/>
            <c:errBarType val="both"/>
            <c:errValType val="cust"/>
            <c:plus>
              <c:numRef>
                <c:f>Charts!$BH$113:$BH$213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10.346150000000002</c:v>
                  </c:pt>
                  <c:pt idx="31">
                    <c:v>NaN</c:v>
                  </c:pt>
                  <c:pt idx="32">
                    <c:v>NaN</c:v>
                  </c:pt>
                  <c:pt idx="33">
                    <c:v>NaN</c:v>
                  </c:pt>
                  <c:pt idx="34">
                    <c:v>NaN</c:v>
                  </c:pt>
                  <c:pt idx="35">
                    <c:v>NaN</c:v>
                  </c:pt>
                  <c:pt idx="36">
                    <c:v>NaN</c:v>
                  </c:pt>
                  <c:pt idx="37">
                    <c:v>NaN</c:v>
                  </c:pt>
                  <c:pt idx="38">
                    <c:v>NaN</c:v>
                  </c:pt>
                  <c:pt idx="39">
                    <c:v>NaN</c:v>
                  </c:pt>
                  <c:pt idx="40">
                    <c:v>7.06363540900977</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2</c:v>
                  </c:pt>
                  <c:pt idx="94">
                    <c:v>NaN</c:v>
                  </c:pt>
                  <c:pt idx="95">
                    <c:v>NaN</c:v>
                  </c:pt>
                  <c:pt idx="96">
                    <c:v>NaN</c:v>
                  </c:pt>
                  <c:pt idx="97">
                    <c:v>NaN</c:v>
                  </c:pt>
                  <c:pt idx="98">
                    <c:v>NaN</c:v>
                  </c:pt>
                  <c:pt idx="99">
                    <c:v>NaN</c:v>
                  </c:pt>
                  <c:pt idx="100">
                    <c:v>NaN</c:v>
                  </c:pt>
                </c:numCache>
              </c:numRef>
            </c:plus>
            <c:minus>
              <c:numRef>
                <c:f>Charts!$BI$113:$BI$213</c:f>
                <c:numCache>
                  <c:ptCount val="101"/>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pt idx="20">
                    <c:v>NaN</c:v>
                  </c:pt>
                  <c:pt idx="21">
                    <c:v>NaN</c:v>
                  </c:pt>
                  <c:pt idx="22">
                    <c:v>NaN</c:v>
                  </c:pt>
                  <c:pt idx="23">
                    <c:v>NaN</c:v>
                  </c:pt>
                  <c:pt idx="24">
                    <c:v>NaN</c:v>
                  </c:pt>
                  <c:pt idx="25">
                    <c:v>NaN</c:v>
                  </c:pt>
                  <c:pt idx="26">
                    <c:v>NaN</c:v>
                  </c:pt>
                  <c:pt idx="27">
                    <c:v>NaN</c:v>
                  </c:pt>
                  <c:pt idx="28">
                    <c:v>NaN</c:v>
                  </c:pt>
                  <c:pt idx="29">
                    <c:v>NaN</c:v>
                  </c:pt>
                  <c:pt idx="30">
                    <c:v>10.346150000000002</c:v>
                  </c:pt>
                  <c:pt idx="31">
                    <c:v>NaN</c:v>
                  </c:pt>
                  <c:pt idx="32">
                    <c:v>NaN</c:v>
                  </c:pt>
                  <c:pt idx="33">
                    <c:v>NaN</c:v>
                  </c:pt>
                  <c:pt idx="34">
                    <c:v>NaN</c:v>
                  </c:pt>
                  <c:pt idx="35">
                    <c:v>NaN</c:v>
                  </c:pt>
                  <c:pt idx="36">
                    <c:v>NaN</c:v>
                  </c:pt>
                  <c:pt idx="37">
                    <c:v>NaN</c:v>
                  </c:pt>
                  <c:pt idx="38">
                    <c:v>NaN</c:v>
                  </c:pt>
                  <c:pt idx="39">
                    <c:v>NaN</c:v>
                  </c:pt>
                  <c:pt idx="40">
                    <c:v>7.06363540900977</c:v>
                  </c:pt>
                  <c:pt idx="41">
                    <c:v>NaN</c:v>
                  </c:pt>
                  <c:pt idx="42">
                    <c:v>NaN</c:v>
                  </c:pt>
                  <c:pt idx="43">
                    <c:v>NaN</c:v>
                  </c:pt>
                  <c:pt idx="44">
                    <c:v>NaN</c:v>
                  </c:pt>
                  <c:pt idx="45">
                    <c:v>NaN</c:v>
                  </c:pt>
                  <c:pt idx="46">
                    <c:v>NaN</c:v>
                  </c:pt>
                  <c:pt idx="47">
                    <c:v>NaN</c:v>
                  </c:pt>
                  <c:pt idx="48">
                    <c:v>NaN</c:v>
                  </c:pt>
                  <c:pt idx="49">
                    <c:v>NaN</c:v>
                  </c:pt>
                  <c:pt idx="50">
                    <c:v>NaN</c:v>
                  </c:pt>
                  <c:pt idx="51">
                    <c:v>NaN</c:v>
                  </c:pt>
                  <c:pt idx="52">
                    <c:v>NaN</c:v>
                  </c:pt>
                  <c:pt idx="53">
                    <c:v>NaN</c:v>
                  </c:pt>
                  <c:pt idx="54">
                    <c:v>NaN</c:v>
                  </c:pt>
                  <c:pt idx="55">
                    <c:v>NaN</c:v>
                  </c:pt>
                  <c:pt idx="56">
                    <c:v>NaN</c:v>
                  </c:pt>
                  <c:pt idx="57">
                    <c:v>NaN</c:v>
                  </c:pt>
                  <c:pt idx="58">
                    <c:v>NaN</c:v>
                  </c:pt>
                  <c:pt idx="59">
                    <c:v>NaN</c:v>
                  </c:pt>
                  <c:pt idx="60">
                    <c:v>NaN</c:v>
                  </c:pt>
                  <c:pt idx="61">
                    <c:v>NaN</c:v>
                  </c:pt>
                  <c:pt idx="62">
                    <c:v>NaN</c:v>
                  </c:pt>
                  <c:pt idx="63">
                    <c:v>NaN</c:v>
                  </c:pt>
                  <c:pt idx="64">
                    <c:v>NaN</c:v>
                  </c:pt>
                  <c:pt idx="65">
                    <c:v>NaN</c:v>
                  </c:pt>
                  <c:pt idx="66">
                    <c:v>NaN</c:v>
                  </c:pt>
                  <c:pt idx="67">
                    <c:v>NaN</c:v>
                  </c:pt>
                  <c:pt idx="68">
                    <c:v>NaN</c:v>
                  </c:pt>
                  <c:pt idx="69">
                    <c:v>NaN</c:v>
                  </c:pt>
                  <c:pt idx="70">
                    <c:v>NaN</c:v>
                  </c:pt>
                  <c:pt idx="71">
                    <c:v>NaN</c:v>
                  </c:pt>
                  <c:pt idx="72">
                    <c:v>NaN</c:v>
                  </c:pt>
                  <c:pt idx="73">
                    <c:v>NaN</c:v>
                  </c:pt>
                  <c:pt idx="74">
                    <c:v>NaN</c:v>
                  </c:pt>
                  <c:pt idx="75">
                    <c:v>NaN</c:v>
                  </c:pt>
                  <c:pt idx="76">
                    <c:v>NaN</c:v>
                  </c:pt>
                  <c:pt idx="77">
                    <c:v>NaN</c:v>
                  </c:pt>
                  <c:pt idx="78">
                    <c:v>NaN</c:v>
                  </c:pt>
                  <c:pt idx="79">
                    <c:v>NaN</c:v>
                  </c:pt>
                  <c:pt idx="80">
                    <c:v>NaN</c:v>
                  </c:pt>
                  <c:pt idx="81">
                    <c:v>NaN</c:v>
                  </c:pt>
                  <c:pt idx="82">
                    <c:v>NaN</c:v>
                  </c:pt>
                  <c:pt idx="83">
                    <c:v>NaN</c:v>
                  </c:pt>
                  <c:pt idx="84">
                    <c:v>NaN</c:v>
                  </c:pt>
                  <c:pt idx="85">
                    <c:v>NaN</c:v>
                  </c:pt>
                  <c:pt idx="86">
                    <c:v>NaN</c:v>
                  </c:pt>
                  <c:pt idx="87">
                    <c:v>NaN</c:v>
                  </c:pt>
                  <c:pt idx="88">
                    <c:v>NaN</c:v>
                  </c:pt>
                  <c:pt idx="89">
                    <c:v>NaN</c:v>
                  </c:pt>
                  <c:pt idx="90">
                    <c:v>NaN</c:v>
                  </c:pt>
                  <c:pt idx="91">
                    <c:v>NaN</c:v>
                  </c:pt>
                  <c:pt idx="92">
                    <c:v>NaN</c:v>
                  </c:pt>
                  <c:pt idx="93">
                    <c:v>2</c:v>
                  </c:pt>
                  <c:pt idx="94">
                    <c:v>NaN</c:v>
                  </c:pt>
                  <c:pt idx="95">
                    <c:v>NaN</c:v>
                  </c:pt>
                  <c:pt idx="96">
                    <c:v>NaN</c:v>
                  </c:pt>
                  <c:pt idx="97">
                    <c:v>NaN</c:v>
                  </c:pt>
                  <c:pt idx="98">
                    <c:v>NaN</c:v>
                  </c:pt>
                  <c:pt idx="99">
                    <c:v>NaN</c:v>
                  </c:pt>
                  <c:pt idx="100">
                    <c:v>NaN</c:v>
                  </c:pt>
                </c:numCache>
              </c:numRef>
            </c:minus>
            <c:noEndCap val="0"/>
            <c:spPr>
              <a:ln w="12700">
                <a:solidFill>
                  <a:srgbClr val="FF0000"/>
                </a:solidFill>
              </a:ln>
            </c:spPr>
          </c:errBars>
          <c:cat>
            <c:numRef>
              <c:f>Charts!$A$113:$A$213</c:f>
              <c:numCache/>
            </c:numRef>
          </c:cat>
          <c:val>
            <c:numRef>
              <c:f>Charts!$BG$113:$BG$213</c:f>
              <c:numCache/>
            </c:numRef>
          </c:val>
          <c:smooth val="1"/>
        </c:ser>
        <c:marker val="1"/>
        <c:axId val="21470436"/>
        <c:axId val="59016197"/>
      </c:lineChart>
      <c:catAx>
        <c:axId val="21470436"/>
        <c:scaling>
          <c:orientation val="minMax"/>
        </c:scaling>
        <c:axPos val="b"/>
        <c:title>
          <c:tx>
            <c:rich>
              <a:bodyPr vert="horz" rot="0" anchor="ctr"/>
              <a:lstStyle/>
              <a:p>
                <a:pPr algn="ctr">
                  <a:defRPr/>
                </a:pPr>
                <a:r>
                  <a:rPr lang="en-US" cap="none" sz="1200" b="0" i="0" u="none" baseline="0">
                    <a:latin typeface="Arial"/>
                    <a:ea typeface="Arial"/>
                    <a:cs typeface="Arial"/>
                  </a:rPr>
                  <a:t>Time</a:t>
                </a:r>
              </a:p>
            </c:rich>
          </c:tx>
          <c:layout>
            <c:manualLayout>
              <c:xMode val="factor"/>
              <c:yMode val="factor"/>
              <c:x val="0.00675"/>
              <c:y val="0.11"/>
            </c:manualLayout>
          </c:layout>
          <c:overlay val="0"/>
          <c:spPr>
            <a:noFill/>
            <a:ln>
              <a:noFill/>
            </a:ln>
          </c:spPr>
        </c:title>
        <c:delete val="0"/>
        <c:numFmt formatCode="General" sourceLinked="1"/>
        <c:majorTickMark val="out"/>
        <c:minorTickMark val="none"/>
        <c:tickLblPos val="nextTo"/>
        <c:spPr>
          <a:ln w="12700">
            <a:solidFill/>
          </a:ln>
        </c:spPr>
        <c:txPr>
          <a:bodyPr vert="horz" rot="0"/>
          <a:lstStyle/>
          <a:p>
            <a:pPr>
              <a:defRPr lang="en-US" cap="none" sz="1000" b="0" i="0" u="none" baseline="0"/>
            </a:pPr>
          </a:p>
        </c:txPr>
        <c:crossAx val="59016197"/>
        <c:crossesAt val="10"/>
        <c:auto val="1"/>
        <c:lblOffset val="100"/>
        <c:tickLblSkip val="10"/>
        <c:tickMarkSkip val="10"/>
        <c:noMultiLvlLbl val="0"/>
      </c:catAx>
      <c:valAx>
        <c:axId val="59016197"/>
        <c:scaling>
          <c:orientation val="minMax"/>
          <c:max val="100"/>
          <c:min val="10"/>
        </c:scaling>
        <c:axPos val="l"/>
        <c:title>
          <c:tx>
            <c:rich>
              <a:bodyPr vert="horz" rot="0" anchor="ctr"/>
              <a:lstStyle/>
              <a:p>
                <a:pPr algn="ctr">
                  <a:defRPr/>
                </a:pPr>
                <a:r>
                  <a:rPr lang="en-US" cap="none" sz="1200" b="0" i="0" u="none" baseline="0"/>
                  <a:t>Circ. freq. (%)</a:t>
                </a:r>
              </a:p>
            </c:rich>
          </c:tx>
          <c:layout>
            <c:manualLayout>
              <c:xMode val="factor"/>
              <c:yMode val="factor"/>
              <c:x val="0.045"/>
              <c:y val="0.16725"/>
            </c:manualLayout>
          </c:layout>
          <c:overlay val="0"/>
          <c:spPr>
            <a:noFill/>
            <a:ln>
              <a:noFill/>
            </a:ln>
          </c:spPr>
        </c:title>
        <c:delete val="0"/>
        <c:numFmt formatCode="0" sourceLinked="0"/>
        <c:majorTickMark val="out"/>
        <c:minorTickMark val="none"/>
        <c:tickLblPos val="nextTo"/>
        <c:spPr>
          <a:ln w="12700">
            <a:solidFill/>
          </a:ln>
        </c:spPr>
        <c:txPr>
          <a:bodyPr/>
          <a:lstStyle/>
          <a:p>
            <a:pPr>
              <a:defRPr lang="en-US" cap="none" sz="1000" b="0" i="0" u="none" baseline="0"/>
            </a:pPr>
          </a:p>
        </c:txPr>
        <c:crossAx val="21470436"/>
        <c:crossesAt val="1"/>
        <c:crossBetween val="midCat"/>
        <c:dispUnits/>
        <c:majorUnit val="10"/>
        <c:minorUnit val="5"/>
      </c:valAx>
      <c:spPr>
        <a:noFill/>
        <a:ln>
          <a:noFill/>
        </a:ln>
      </c:spPr>
    </c:plotArea>
    <c:legend>
      <c:legendPos val="t"/>
      <c:layout>
        <c:manualLayout>
          <c:xMode val="edge"/>
          <c:yMode val="edge"/>
          <c:x val="0.207"/>
          <c:y val="0"/>
          <c:w val="0.7385"/>
          <c:h val="0.174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
        </c:manualLayout>
      </c:layout>
      <c:barChart>
        <c:barDir val="bar"/>
        <c:grouping val="percentStacked"/>
        <c:varyColors val="0"/>
        <c:ser>
          <c:idx val="1"/>
          <c:order val="0"/>
          <c:tx>
            <c:v>CL2 class 1</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Charts!$A$86:$A$103</c:f>
              <c:strCache/>
            </c:strRef>
          </c:cat>
          <c:val>
            <c:numRef>
              <c:f>Charts!$E$86:$E$103</c:f>
              <c:numCache>
                <c:ptCount val="18"/>
                <c:pt idx="0">
                  <c:v>93</c:v>
                </c:pt>
                <c:pt idx="1">
                  <c:v>31645</c:v>
                </c:pt>
                <c:pt idx="2">
                  <c:v>16900</c:v>
                </c:pt>
                <c:pt idx="3">
                  <c:v>93.4</c:v>
                </c:pt>
                <c:pt idx="4">
                  <c:v>10992</c:v>
                </c:pt>
                <c:pt idx="5">
                  <c:v>100</c:v>
                </c:pt>
                <c:pt idx="6">
                  <c:v>211659.99999999988</c:v>
                </c:pt>
                <c:pt idx="9">
                  <c:v>12.179928961458941</c:v>
                </c:pt>
                <c:pt idx="10">
                  <c:v>13593</c:v>
                </c:pt>
                <c:pt idx="11">
                  <c:v>16.283191806525956</c:v>
                </c:pt>
                <c:pt idx="12">
                  <c:v>82.12282145261428</c:v>
                </c:pt>
                <c:pt idx="13">
                  <c:v>14375</c:v>
                </c:pt>
                <c:pt idx="14">
                  <c:v>85.21799221007664</c:v>
                </c:pt>
                <c:pt idx="15">
                  <c:v>12545.900000000001</c:v>
                </c:pt>
                <c:pt idx="16">
                  <c:v>12518.600000000002</c:v>
                </c:pt>
                <c:pt idx="17">
                  <c:v>364.0300000000001</c:v>
                </c:pt>
              </c:numCache>
            </c:numRef>
          </c:val>
        </c:ser>
        <c:ser>
          <c:idx val="2"/>
          <c:order val="1"/>
          <c:tx>
            <c:v>CL2 class 2</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Charts!$A$86:$A$103</c:f>
              <c:strCache/>
            </c:strRef>
          </c:cat>
          <c:val>
            <c:numRef>
              <c:f>Charts!$F$86:$F$103</c:f>
              <c:numCache>
                <c:ptCount val="18"/>
                <c:pt idx="0">
                  <c:v>0</c:v>
                </c:pt>
                <c:pt idx="1">
                  <c:v>0</c:v>
                </c:pt>
                <c:pt idx="2">
                  <c:v>31600</c:v>
                </c:pt>
                <c:pt idx="3">
                  <c:v>0</c:v>
                </c:pt>
                <c:pt idx="4">
                  <c:v>452</c:v>
                </c:pt>
                <c:pt idx="5">
                  <c:v>0</c:v>
                </c:pt>
                <c:pt idx="6">
                  <c:v>5250.2300000000005</c:v>
                </c:pt>
                <c:pt idx="9">
                  <c:v>0</c:v>
                </c:pt>
                <c:pt idx="10">
                  <c:v>5034</c:v>
                </c:pt>
                <c:pt idx="11">
                  <c:v>7.434203815210275</c:v>
                </c:pt>
                <c:pt idx="12">
                  <c:v>3.3809559428528684</c:v>
                </c:pt>
                <c:pt idx="13">
                  <c:v>34</c:v>
                </c:pt>
                <c:pt idx="14">
                  <c:v>0.21359467269757507</c:v>
                </c:pt>
                <c:pt idx="15">
                  <c:v>522.3000000000001</c:v>
                </c:pt>
                <c:pt idx="16">
                  <c:v>522.3000000000001</c:v>
                </c:pt>
                <c:pt idx="17">
                  <c:v>58.75</c:v>
                </c:pt>
              </c:numCache>
            </c:numRef>
          </c:val>
        </c:ser>
        <c:ser>
          <c:idx val="3"/>
          <c:order val="2"/>
          <c:tx>
            <c:v>CL2 class 3</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Charts!$A$86:$A$103</c:f>
              <c:strCache/>
            </c:strRef>
          </c:cat>
          <c:val>
            <c:numRef>
              <c:f>Charts!$G$86:$G$103</c:f>
              <c:numCache>
                <c:ptCount val="18"/>
                <c:pt idx="0">
                  <c:v>0</c:v>
                </c:pt>
                <c:pt idx="1">
                  <c:v>4337</c:v>
                </c:pt>
                <c:pt idx="2">
                  <c:v>0</c:v>
                </c:pt>
                <c:pt idx="3">
                  <c:v>0</c:v>
                </c:pt>
                <c:pt idx="4">
                  <c:v>1199</c:v>
                </c:pt>
                <c:pt idx="5">
                  <c:v>0</c:v>
                </c:pt>
                <c:pt idx="6">
                  <c:v>22586.449999999997</c:v>
                </c:pt>
                <c:pt idx="9">
                  <c:v>71.7012140168584</c:v>
                </c:pt>
                <c:pt idx="10">
                  <c:v>4531</c:v>
                </c:pt>
                <c:pt idx="11">
                  <c:v>1.466460943286413</c:v>
                </c:pt>
                <c:pt idx="12">
                  <c:v>0.09723988331214002</c:v>
                </c:pt>
                <c:pt idx="13">
                  <c:v>829</c:v>
                </c:pt>
                <c:pt idx="14">
                  <c:v>5.088578967206935</c:v>
                </c:pt>
                <c:pt idx="15">
                  <c:v>977.89</c:v>
                </c:pt>
                <c:pt idx="16">
                  <c:v>124.82</c:v>
                </c:pt>
                <c:pt idx="17">
                  <c:v>0.42</c:v>
                </c:pt>
              </c:numCache>
            </c:numRef>
          </c:val>
        </c:ser>
        <c:ser>
          <c:idx val="4"/>
          <c:order val="3"/>
          <c:tx>
            <c:v>CL2 class 4</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Charts!$A$86:$A$103</c:f>
              <c:strCache/>
            </c:strRef>
          </c:cat>
          <c:val>
            <c:numRef>
              <c:f>Charts!$H$86:$H$103</c:f>
              <c:numCache>
                <c:ptCount val="18"/>
                <c:pt idx="0">
                  <c:v>0</c:v>
                </c:pt>
                <c:pt idx="1">
                  <c:v>0</c:v>
                </c:pt>
                <c:pt idx="2">
                  <c:v>0</c:v>
                </c:pt>
                <c:pt idx="3">
                  <c:v>0</c:v>
                </c:pt>
                <c:pt idx="4">
                  <c:v>0</c:v>
                </c:pt>
                <c:pt idx="5">
                  <c:v>0</c:v>
                </c:pt>
                <c:pt idx="6">
                  <c:v>0</c:v>
                </c:pt>
                <c:pt idx="9">
                  <c:v>11.496050469172452</c:v>
                </c:pt>
                <c:pt idx="10">
                  <c:v>19402</c:v>
                </c:pt>
                <c:pt idx="11">
                  <c:v>6.691374153102455</c:v>
                </c:pt>
                <c:pt idx="12">
                  <c:v>0.23935971276834467</c:v>
                </c:pt>
                <c:pt idx="13">
                  <c:v>476</c:v>
                </c:pt>
                <c:pt idx="14">
                  <c:v>5.207940696067345</c:v>
                </c:pt>
                <c:pt idx="15">
                  <c:v>3019.2799999999997</c:v>
                </c:pt>
                <c:pt idx="16">
                  <c:v>2462.359999999999</c:v>
                </c:pt>
                <c:pt idx="17">
                  <c:v>10.06</c:v>
                </c:pt>
              </c:numCache>
            </c:numRef>
          </c:val>
        </c:ser>
        <c:ser>
          <c:idx val="5"/>
          <c:order val="4"/>
          <c:tx>
            <c:v>CL2 class 5</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Charts!$A$86:$A$103</c:f>
              <c:strCache/>
            </c:strRef>
          </c:cat>
          <c:val>
            <c:numRef>
              <c:f>Charts!$I$86:$I$103</c:f>
              <c:numCache>
                <c:ptCount val="18"/>
                <c:pt idx="0">
                  <c:v>0</c:v>
                </c:pt>
                <c:pt idx="1">
                  <c:v>0</c:v>
                </c:pt>
                <c:pt idx="2">
                  <c:v>0</c:v>
                </c:pt>
                <c:pt idx="3">
                  <c:v>0</c:v>
                </c:pt>
                <c:pt idx="4">
                  <c:v>0</c:v>
                </c:pt>
                <c:pt idx="5">
                  <c:v>0</c:v>
                </c:pt>
                <c:pt idx="6">
                  <c:v>177.48</c:v>
                </c:pt>
                <c:pt idx="9">
                  <c:v>0</c:v>
                </c:pt>
                <c:pt idx="10">
                  <c:v>0</c:v>
                </c:pt>
                <c:pt idx="11">
                  <c:v>66.20197759188606</c:v>
                </c:pt>
                <c:pt idx="12">
                  <c:v>8.729149525020569</c:v>
                </c:pt>
                <c:pt idx="13">
                  <c:v>195</c:v>
                </c:pt>
                <c:pt idx="14">
                  <c:v>4.215353687649202</c:v>
                </c:pt>
                <c:pt idx="15">
                  <c:v>7555</c:v>
                </c:pt>
                <c:pt idx="16">
                  <c:v>8992.29</c:v>
                </c:pt>
                <c:pt idx="17">
                  <c:v>118.29000000000002</c:v>
                </c:pt>
              </c:numCache>
            </c:numRef>
          </c:val>
        </c:ser>
        <c:ser>
          <c:idx val="6"/>
          <c:order val="5"/>
          <c:tx>
            <c:v>CL2 class 6</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Charts!$A$86:$A$103</c:f>
              <c:strCache/>
            </c:strRef>
          </c:cat>
          <c:val>
            <c:numRef>
              <c:f>Charts!$J$86:$J$103</c:f>
              <c:numCache>
                <c:ptCount val="18"/>
                <c:pt idx="0">
                  <c:v>0</c:v>
                </c:pt>
                <c:pt idx="1">
                  <c:v>0</c:v>
                </c:pt>
                <c:pt idx="2">
                  <c:v>0</c:v>
                </c:pt>
                <c:pt idx="3">
                  <c:v>0</c:v>
                </c:pt>
                <c:pt idx="4">
                  <c:v>0</c:v>
                </c:pt>
                <c:pt idx="5">
                  <c:v>0</c:v>
                </c:pt>
                <c:pt idx="6">
                  <c:v>825.84</c:v>
                </c:pt>
                <c:pt idx="9">
                  <c:v>0</c:v>
                </c:pt>
                <c:pt idx="10">
                  <c:v>0</c:v>
                </c:pt>
                <c:pt idx="11">
                  <c:v>0</c:v>
                </c:pt>
                <c:pt idx="12">
                  <c:v>0</c:v>
                </c:pt>
                <c:pt idx="13">
                  <c:v>0</c:v>
                </c:pt>
                <c:pt idx="14">
                  <c:v>0</c:v>
                </c:pt>
                <c:pt idx="15">
                  <c:v>169.63</c:v>
                </c:pt>
                <c:pt idx="16">
                  <c:v>169.63</c:v>
                </c:pt>
                <c:pt idx="17">
                  <c:v>93.44999999999999</c:v>
                </c:pt>
              </c:numCache>
            </c:numRef>
          </c:val>
        </c:ser>
        <c:ser>
          <c:idx val="0"/>
          <c:order val="6"/>
          <c:tx>
            <c:v>CL2 class 7</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Charts!$A$86:$A$103</c:f>
              <c:strCache/>
            </c:strRef>
          </c:cat>
          <c:val>
            <c:numRef>
              <c:f>Charts!$D$86:$D$103</c:f>
              <c:numCache>
                <c:ptCount val="18"/>
                <c:pt idx="0">
                  <c:v>7</c:v>
                </c:pt>
                <c:pt idx="1">
                  <c:v>1744</c:v>
                </c:pt>
                <c:pt idx="2">
                  <c:v>4200</c:v>
                </c:pt>
                <c:pt idx="3">
                  <c:v>6.6</c:v>
                </c:pt>
                <c:pt idx="4">
                  <c:v>726</c:v>
                </c:pt>
                <c:pt idx="5">
                  <c:v>0</c:v>
                </c:pt>
                <c:pt idx="6">
                  <c:v>346</c:v>
                </c:pt>
                <c:pt idx="9">
                  <c:v>4.622806552510205</c:v>
                </c:pt>
                <c:pt idx="10">
                  <c:v>1302</c:v>
                </c:pt>
                <c:pt idx="11">
                  <c:v>1.9227916899888318</c:v>
                </c:pt>
                <c:pt idx="12">
                  <c:v>5.43047348343182</c:v>
                </c:pt>
                <c:pt idx="13">
                  <c:v>9</c:v>
                </c:pt>
                <c:pt idx="14">
                  <c:v>0.05653976630229928</c:v>
                </c:pt>
                <c:pt idx="15">
                  <c:v>118</c:v>
                </c:pt>
                <c:pt idx="16">
                  <c:v>118</c:v>
                </c:pt>
                <c:pt idx="17">
                  <c:v>2</c:v>
                </c:pt>
              </c:numCache>
            </c:numRef>
          </c:val>
        </c:ser>
        <c:overlap val="100"/>
        <c:axId val="61383726"/>
        <c:axId val="15582623"/>
      </c:barChart>
      <c:catAx>
        <c:axId val="61383726"/>
        <c:scaling>
          <c:orientation val="minMax"/>
        </c:scaling>
        <c:axPos val="l"/>
        <c:delete val="0"/>
        <c:numFmt formatCode="General" sourceLinked="1"/>
        <c:majorTickMark val="none"/>
        <c:minorTickMark val="none"/>
        <c:tickLblPos val="nextTo"/>
        <c:spPr>
          <a:ln w="12700">
            <a:solidFill/>
          </a:ln>
        </c:spPr>
        <c:txPr>
          <a:bodyPr vert="horz" rot="0"/>
          <a:lstStyle/>
          <a:p>
            <a:pPr>
              <a:defRPr lang="en-US" cap="none" sz="1200" b="0" i="0" u="none" baseline="0"/>
            </a:pPr>
          </a:p>
        </c:txPr>
        <c:crossAx val="15582623"/>
        <c:crosses val="autoZero"/>
        <c:auto val="0"/>
        <c:lblOffset val="20"/>
        <c:tickLblSkip val="1"/>
        <c:noMultiLvlLbl val="0"/>
      </c:catAx>
      <c:valAx>
        <c:axId val="15582623"/>
        <c:scaling>
          <c:orientation val="minMax"/>
        </c:scaling>
        <c:axPos val="b"/>
        <c:title>
          <c:tx>
            <c:rich>
              <a:bodyPr vert="horz" rot="0" anchor="ctr"/>
              <a:lstStyle/>
              <a:p>
                <a:pPr algn="ctr">
                  <a:defRPr/>
                </a:pPr>
                <a:r>
                  <a:rPr lang="en-US" cap="none" sz="1200" b="0" i="0" u="none" baseline="0">
                    <a:latin typeface="Arial"/>
                    <a:ea typeface="Arial"/>
                    <a:cs typeface="Arial"/>
                  </a:rPr>
                  <a:t>% of population</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1200" b="0" i="0" u="none" baseline="0"/>
            </a:pPr>
          </a:p>
        </c:txPr>
        <c:crossAx val="61383726"/>
        <c:crossesAt val="1"/>
        <c:crossBetween val="between"/>
        <c:dispUnits/>
        <c:majorUnit val="0.2"/>
        <c:minorUnit val="0.1"/>
      </c:valAx>
      <c:spPr>
        <a:noFill/>
        <a:ln>
          <a:noFill/>
        </a:ln>
      </c:spPr>
    </c:plotArea>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
          <c:w val="0.98"/>
          <c:h val="0.95"/>
        </c:manualLayout>
      </c:layout>
      <c:barChart>
        <c:barDir val="bar"/>
        <c:grouping val="percentStacked"/>
        <c:varyColors val="0"/>
        <c:ser>
          <c:idx val="1"/>
          <c:order val="0"/>
          <c:tx>
            <c:v>CL2 class 1</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Charts!$M$86:$M$105</c:f>
              <c:strCache/>
            </c:strRef>
          </c:cat>
          <c:val>
            <c:numRef>
              <c:f>Charts!$Q$86:$Q$105</c:f>
              <c:numCache/>
            </c:numRef>
          </c:val>
        </c:ser>
        <c:ser>
          <c:idx val="2"/>
          <c:order val="1"/>
          <c:tx>
            <c:v>CL2 class 2</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Charts!$M$86:$M$105</c:f>
              <c:strCache/>
            </c:strRef>
          </c:cat>
          <c:val>
            <c:numRef>
              <c:f>Charts!$R$86:$R$105</c:f>
              <c:numCache/>
            </c:numRef>
          </c:val>
        </c:ser>
        <c:ser>
          <c:idx val="3"/>
          <c:order val="2"/>
          <c:tx>
            <c:v>CL2 class 3</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Charts!$M$86:$M$105</c:f>
              <c:strCache/>
            </c:strRef>
          </c:cat>
          <c:val>
            <c:numRef>
              <c:f>Charts!$S$86:$S$105</c:f>
              <c:numCache/>
            </c:numRef>
          </c:val>
        </c:ser>
        <c:ser>
          <c:idx val="4"/>
          <c:order val="3"/>
          <c:tx>
            <c:v>CL2 class 4</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Charts!$M$86:$M$105</c:f>
              <c:strCache/>
            </c:strRef>
          </c:cat>
          <c:val>
            <c:numRef>
              <c:f>Charts!$T$86:$T$105</c:f>
              <c:numCache/>
            </c:numRef>
          </c:val>
        </c:ser>
        <c:ser>
          <c:idx val="5"/>
          <c:order val="4"/>
          <c:tx>
            <c:v>CL2 class 5</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Charts!$M$86:$M$105</c:f>
              <c:strCache/>
            </c:strRef>
          </c:cat>
          <c:val>
            <c:numRef>
              <c:f>Charts!$U$86:$U$105</c:f>
              <c:numCache/>
            </c:numRef>
          </c:val>
        </c:ser>
        <c:ser>
          <c:idx val="6"/>
          <c:order val="5"/>
          <c:tx>
            <c:v>CL2 class 6</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Charts!$M$86:$M$105</c:f>
              <c:strCache/>
            </c:strRef>
          </c:cat>
          <c:val>
            <c:numRef>
              <c:f>Charts!$V$86:$V$105</c:f>
              <c:numCache/>
            </c:numRef>
          </c:val>
        </c:ser>
        <c:ser>
          <c:idx val="0"/>
          <c:order val="6"/>
          <c:tx>
            <c:v>CL2 class 7</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Charts!$M$86:$M$105</c:f>
              <c:strCache/>
            </c:strRef>
          </c:cat>
          <c:val>
            <c:numRef>
              <c:f>Charts!$P$86:$P$105</c:f>
              <c:numCache/>
            </c:numRef>
          </c:val>
        </c:ser>
        <c:overlap val="100"/>
        <c:axId val="6025880"/>
        <c:axId val="54232921"/>
      </c:barChart>
      <c:catAx>
        <c:axId val="6025880"/>
        <c:scaling>
          <c:orientation val="minMax"/>
        </c:scaling>
        <c:axPos val="l"/>
        <c:delete val="0"/>
        <c:numFmt formatCode="General" sourceLinked="1"/>
        <c:majorTickMark val="none"/>
        <c:minorTickMark val="none"/>
        <c:tickLblPos val="nextTo"/>
        <c:spPr>
          <a:ln w="12700">
            <a:solidFill/>
          </a:ln>
        </c:spPr>
        <c:txPr>
          <a:bodyPr vert="horz" rot="0"/>
          <a:lstStyle/>
          <a:p>
            <a:pPr>
              <a:defRPr lang="en-US" cap="none" sz="1200" b="0" i="0" u="none" baseline="0"/>
            </a:pPr>
          </a:p>
        </c:txPr>
        <c:crossAx val="54232921"/>
        <c:crosses val="autoZero"/>
        <c:auto val="0"/>
        <c:lblOffset val="20"/>
        <c:tickLblSkip val="1"/>
        <c:noMultiLvlLbl val="0"/>
      </c:catAx>
      <c:valAx>
        <c:axId val="54232921"/>
        <c:scaling>
          <c:orientation val="minMax"/>
        </c:scaling>
        <c:axPos val="b"/>
        <c:title>
          <c:tx>
            <c:rich>
              <a:bodyPr vert="horz" rot="0" anchor="ctr"/>
              <a:lstStyle/>
              <a:p>
                <a:pPr algn="ctr">
                  <a:defRPr/>
                </a:pPr>
                <a:r>
                  <a:rPr lang="en-US" cap="none" sz="1200" b="0" i="0" u="none" baseline="0">
                    <a:latin typeface="Arial"/>
                    <a:ea typeface="Arial"/>
                    <a:cs typeface="Arial"/>
                  </a:rPr>
                  <a:t>% of population</a:t>
                </a:r>
              </a:p>
            </c:rich>
          </c:tx>
          <c:layout>
            <c:manualLayout>
              <c:xMode val="factor"/>
              <c:yMode val="factor"/>
              <c:x val="0.002"/>
              <c:y val="0.003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1200" b="0" i="0" u="none" baseline="0"/>
            </a:pPr>
          </a:p>
        </c:txPr>
        <c:crossAx val="6025880"/>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0</xdr:rowOff>
    </xdr:from>
    <xdr:to>
      <xdr:col>10</xdr:col>
      <xdr:colOff>47625</xdr:colOff>
      <xdr:row>43</xdr:row>
      <xdr:rowOff>0</xdr:rowOff>
    </xdr:to>
    <xdr:graphicFrame>
      <xdr:nvGraphicFramePr>
        <xdr:cNvPr id="1" name="Chart 1"/>
        <xdr:cNvGraphicFramePr/>
      </xdr:nvGraphicFramePr>
      <xdr:xfrm>
        <a:off x="114300" y="5505450"/>
        <a:ext cx="3429000" cy="3143250"/>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25</xdr:row>
      <xdr:rowOff>0</xdr:rowOff>
    </xdr:from>
    <xdr:to>
      <xdr:col>21</xdr:col>
      <xdr:colOff>123825</xdr:colOff>
      <xdr:row>43</xdr:row>
      <xdr:rowOff>0</xdr:rowOff>
    </xdr:to>
    <xdr:graphicFrame>
      <xdr:nvGraphicFramePr>
        <xdr:cNvPr id="2" name="Chart 2"/>
        <xdr:cNvGraphicFramePr/>
      </xdr:nvGraphicFramePr>
      <xdr:xfrm>
        <a:off x="3762375" y="5505450"/>
        <a:ext cx="3400425" cy="31432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43</xdr:row>
      <xdr:rowOff>133350</xdr:rowOff>
    </xdr:from>
    <xdr:to>
      <xdr:col>10</xdr:col>
      <xdr:colOff>47625</xdr:colOff>
      <xdr:row>67</xdr:row>
      <xdr:rowOff>152400</xdr:rowOff>
    </xdr:to>
    <xdr:graphicFrame>
      <xdr:nvGraphicFramePr>
        <xdr:cNvPr id="3" name="Chart 3"/>
        <xdr:cNvGraphicFramePr/>
      </xdr:nvGraphicFramePr>
      <xdr:xfrm>
        <a:off x="114300" y="8782050"/>
        <a:ext cx="3429000" cy="3905250"/>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43</xdr:row>
      <xdr:rowOff>133350</xdr:rowOff>
    </xdr:from>
    <xdr:to>
      <xdr:col>21</xdr:col>
      <xdr:colOff>123825</xdr:colOff>
      <xdr:row>67</xdr:row>
      <xdr:rowOff>152400</xdr:rowOff>
    </xdr:to>
    <xdr:graphicFrame>
      <xdr:nvGraphicFramePr>
        <xdr:cNvPr id="4" name="Chart 4"/>
        <xdr:cNvGraphicFramePr/>
      </xdr:nvGraphicFramePr>
      <xdr:xfrm>
        <a:off x="3762375" y="8782050"/>
        <a:ext cx="3400425" cy="39052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ao.sousa@rega.kuleuven.b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BI213"/>
  <sheetViews>
    <sheetView tabSelected="1" workbookViewId="0" topLeftCell="A1">
      <selection activeCell="Y39" sqref="Y39"/>
    </sheetView>
  </sheetViews>
  <sheetFormatPr defaultColWidth="9.140625" defaultRowHeight="12.75"/>
  <cols>
    <col min="1" max="1" width="6.421875" style="0" customWidth="1"/>
    <col min="2" max="2" width="5.00390625" style="0" customWidth="1"/>
    <col min="3" max="3" width="4.7109375" style="0" customWidth="1"/>
    <col min="4" max="4" width="5.421875" style="0" customWidth="1"/>
    <col min="5" max="5" width="5.7109375" style="0" customWidth="1"/>
    <col min="6" max="6" width="5.140625" style="0" customWidth="1"/>
    <col min="7" max="7" width="5.28125" style="0" customWidth="1"/>
    <col min="8" max="8" width="5.140625" style="0" customWidth="1"/>
    <col min="9" max="9" width="4.8515625" style="0" customWidth="1"/>
    <col min="10" max="10" width="4.7109375" style="0" customWidth="1"/>
    <col min="11" max="11" width="3.8515625" style="0" customWidth="1"/>
    <col min="12" max="12" width="5.00390625" style="0" customWidth="1"/>
    <col min="13" max="13" width="4.8515625" style="0" customWidth="1"/>
    <col min="14" max="14" width="5.00390625" style="0" customWidth="1"/>
    <col min="15" max="15" width="3.8515625" style="0" customWidth="1"/>
    <col min="16" max="17" width="5.00390625" style="0" customWidth="1"/>
    <col min="18" max="19" width="5.140625" style="0" customWidth="1"/>
    <col min="20" max="20" width="5.00390625" style="0" customWidth="1"/>
    <col min="21" max="21" width="5.28125" style="0" customWidth="1"/>
    <col min="22" max="23" width="4.7109375" style="0" customWidth="1"/>
    <col min="24" max="24" width="5.00390625" style="0" customWidth="1"/>
    <col min="25" max="25" width="4.00390625" style="0" customWidth="1"/>
    <col min="26" max="26" width="3.8515625" style="0" customWidth="1"/>
    <col min="27" max="29" width="4.8515625" style="0" customWidth="1"/>
    <col min="30" max="30" width="4.00390625" style="0" customWidth="1"/>
    <col min="31" max="31" width="3.8515625" style="0" customWidth="1"/>
    <col min="32" max="33" width="4.7109375" style="0" customWidth="1"/>
    <col min="34" max="34" width="4.57421875" style="0" customWidth="1"/>
    <col min="35" max="36" width="3.8515625" style="0" customWidth="1"/>
    <col min="37" max="37" width="4.7109375" style="0" customWidth="1"/>
    <col min="38" max="38" width="4.57421875" style="0" customWidth="1"/>
    <col min="39" max="41" width="4.7109375" style="0" customWidth="1"/>
    <col min="42" max="42" width="4.8515625" style="0" customWidth="1"/>
    <col min="43" max="43" width="4.7109375" style="0" customWidth="1"/>
    <col min="44" max="44" width="4.8515625" style="0" customWidth="1"/>
    <col min="45" max="45" width="3.7109375" style="0" customWidth="1"/>
    <col min="46" max="46" width="3.8515625" style="0" customWidth="1"/>
    <col min="47" max="47" width="4.7109375" style="0" customWidth="1"/>
    <col min="48" max="48" width="4.8515625" style="0" customWidth="1"/>
    <col min="49" max="49" width="4.7109375" style="0" customWidth="1"/>
    <col min="50" max="51" width="3.8515625" style="0" customWidth="1"/>
    <col min="52" max="53" width="4.7109375" style="0" customWidth="1"/>
    <col min="54" max="54" width="4.57421875" style="0" customWidth="1"/>
    <col min="55" max="56" width="3.8515625" style="0" customWidth="1"/>
    <col min="57" max="57" width="4.8515625" style="0" customWidth="1"/>
    <col min="58" max="59" width="4.7109375" style="0" customWidth="1"/>
    <col min="60" max="61" width="3.8515625" style="0" customWidth="1"/>
  </cols>
  <sheetData>
    <row r="1" spans="1:40" ht="32.25" customHeight="1">
      <c r="A1" s="296" t="s">
        <v>216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7"/>
      <c r="AL1" s="297"/>
      <c r="AM1" s="297"/>
      <c r="AN1" s="297"/>
    </row>
    <row r="2" spans="1:40" ht="28.5" customHeight="1">
      <c r="A2" s="298" t="s">
        <v>217</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row>
    <row r="3" spans="1:40" ht="39" customHeight="1">
      <c r="A3" s="299" t="s">
        <v>218</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row>
    <row r="4" spans="1:40" ht="17.25" customHeight="1">
      <c r="A4" s="299" t="s">
        <v>219</v>
      </c>
      <c r="B4" s="297"/>
      <c r="C4" s="297"/>
      <c r="D4" s="297"/>
      <c r="E4" s="297"/>
      <c r="F4" s="297"/>
      <c r="G4" s="297"/>
      <c r="H4" s="300" t="s">
        <v>220</v>
      </c>
      <c r="I4" s="298"/>
      <c r="J4" s="298"/>
      <c r="K4" s="298"/>
      <c r="L4" s="298"/>
      <c r="M4" s="298"/>
      <c r="N4" s="298"/>
      <c r="O4" s="298"/>
      <c r="P4" s="298"/>
      <c r="Q4" s="298"/>
      <c r="R4" s="298"/>
      <c r="S4" s="270"/>
      <c r="T4" s="270"/>
      <c r="U4" s="270"/>
      <c r="V4" s="270"/>
      <c r="W4" s="270"/>
      <c r="X4" s="270"/>
      <c r="Y4" s="270"/>
      <c r="Z4" s="270"/>
      <c r="AA4" s="270"/>
      <c r="AB4" s="270"/>
      <c r="AC4" s="270"/>
      <c r="AD4" s="270"/>
      <c r="AE4" s="270"/>
      <c r="AF4" s="270"/>
      <c r="AG4" s="270"/>
      <c r="AH4" s="270"/>
      <c r="AI4" s="270"/>
      <c r="AJ4" s="270"/>
      <c r="AK4" s="270"/>
      <c r="AL4" s="270"/>
      <c r="AM4" s="270"/>
      <c r="AN4" s="271"/>
    </row>
    <row r="5" spans="1:40" ht="17.25" customHeight="1">
      <c r="A5" s="272"/>
      <c r="B5" s="270"/>
      <c r="C5" s="270"/>
      <c r="D5" s="270"/>
      <c r="E5" s="270"/>
      <c r="F5" s="270"/>
      <c r="G5" s="270"/>
      <c r="H5" s="273"/>
      <c r="I5" s="271"/>
      <c r="J5" s="271"/>
      <c r="K5" s="271"/>
      <c r="L5" s="271"/>
      <c r="M5" s="271"/>
      <c r="N5" s="271"/>
      <c r="O5" s="271"/>
      <c r="P5" s="271"/>
      <c r="Q5" s="271"/>
      <c r="R5" s="271"/>
      <c r="S5" s="270"/>
      <c r="T5" s="270"/>
      <c r="U5" s="270"/>
      <c r="V5" s="270"/>
      <c r="W5" s="270"/>
      <c r="X5" s="270"/>
      <c r="Y5" s="270"/>
      <c r="Z5" s="270"/>
      <c r="AA5" s="270"/>
      <c r="AB5" s="270"/>
      <c r="AC5" s="270"/>
      <c r="AD5" s="270"/>
      <c r="AE5" s="270"/>
      <c r="AF5" s="270"/>
      <c r="AG5" s="270"/>
      <c r="AH5" s="270"/>
      <c r="AI5" s="270"/>
      <c r="AJ5" s="270"/>
      <c r="AK5" s="270"/>
      <c r="AL5" s="270"/>
      <c r="AM5" s="270"/>
      <c r="AN5" s="271"/>
    </row>
    <row r="6" ht="38.25" customHeight="1">
      <c r="A6" s="278" t="s">
        <v>221</v>
      </c>
    </row>
    <row r="7" spans="1:29" ht="20.25">
      <c r="A7" s="263" t="s">
        <v>894</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row>
    <row r="9" spans="1:54" ht="15.75">
      <c r="A9" s="245" t="s">
        <v>895</v>
      </c>
      <c r="B9" s="37"/>
      <c r="C9" s="37"/>
      <c r="D9" s="53"/>
      <c r="E9" s="75"/>
      <c r="F9" s="72"/>
      <c r="G9" s="53"/>
      <c r="H9" s="53"/>
      <c r="I9" s="53"/>
      <c r="J9" s="53"/>
      <c r="K9" s="53"/>
      <c r="L9" s="53"/>
      <c r="M9" s="53"/>
      <c r="N9" s="53"/>
      <c r="O9" s="37"/>
      <c r="P9" s="37"/>
      <c r="Q9" s="37"/>
      <c r="R9" s="37"/>
      <c r="S9" s="37"/>
      <c r="T9" s="37"/>
      <c r="U9" s="53"/>
      <c r="V9" s="171"/>
      <c r="W9" s="281" t="s">
        <v>215</v>
      </c>
      <c r="X9" s="282"/>
      <c r="Y9" s="282"/>
      <c r="Z9" s="282"/>
      <c r="AA9" s="282"/>
      <c r="AB9" s="282"/>
      <c r="AC9" s="282"/>
      <c r="AD9" s="282"/>
      <c r="AE9" s="282"/>
      <c r="AF9" s="282"/>
      <c r="AG9" s="282"/>
      <c r="AH9" s="282"/>
      <c r="AI9" s="282"/>
      <c r="AJ9" s="282"/>
      <c r="AK9" s="282"/>
      <c r="AL9" s="282"/>
      <c r="AM9" s="282"/>
      <c r="AN9" s="282"/>
      <c r="AO9" s="282"/>
      <c r="AP9" s="282"/>
      <c r="AQ9" s="283"/>
      <c r="AR9" s="283"/>
      <c r="AS9" s="283"/>
      <c r="AT9" s="283"/>
      <c r="AU9" s="283"/>
      <c r="AV9" s="283"/>
      <c r="AW9" s="284"/>
      <c r="AX9" s="284"/>
      <c r="AY9" s="284"/>
      <c r="AZ9" s="284"/>
      <c r="BA9" s="284"/>
      <c r="BB9" s="285"/>
    </row>
    <row r="10" spans="1:54" ht="12.75">
      <c r="A10" s="41"/>
      <c r="C10" s="36"/>
      <c r="D10" s="54"/>
      <c r="E10" s="45"/>
      <c r="F10" s="45"/>
      <c r="G10" s="54"/>
      <c r="H10" s="54"/>
      <c r="I10" s="54"/>
      <c r="J10" s="54"/>
      <c r="K10" s="54"/>
      <c r="L10" s="54"/>
      <c r="M10" s="54"/>
      <c r="N10" s="54"/>
      <c r="O10" s="36"/>
      <c r="P10" s="36"/>
      <c r="Q10" s="36"/>
      <c r="R10" s="36"/>
      <c r="S10" s="36"/>
      <c r="T10" s="36"/>
      <c r="U10" s="54"/>
      <c r="V10" s="171"/>
      <c r="W10" s="291"/>
      <c r="X10" s="292"/>
      <c r="Y10" s="292"/>
      <c r="Z10" s="292"/>
      <c r="AA10" s="292"/>
      <c r="AB10" s="292"/>
      <c r="AC10" s="292"/>
      <c r="AD10" s="292"/>
      <c r="AE10" s="292"/>
      <c r="AF10" s="292"/>
      <c r="AG10" s="292"/>
      <c r="AH10" s="292"/>
      <c r="AI10" s="292"/>
      <c r="AJ10" s="292"/>
      <c r="AK10" s="292"/>
      <c r="AL10" s="292"/>
      <c r="AM10" s="292"/>
      <c r="AN10" s="292"/>
      <c r="AO10" s="292"/>
      <c r="AP10" s="292"/>
      <c r="AQ10" s="293"/>
      <c r="AR10" s="293"/>
      <c r="AS10" s="293"/>
      <c r="AT10" s="293"/>
      <c r="AU10" s="293"/>
      <c r="AV10" s="293"/>
      <c r="AW10" s="294"/>
      <c r="AX10" s="294"/>
      <c r="AY10" s="294"/>
      <c r="AZ10" s="294"/>
      <c r="BA10" s="294"/>
      <c r="BB10" s="295"/>
    </row>
    <row r="11" spans="1:54" ht="12.75">
      <c r="A11" s="148" t="s">
        <v>413</v>
      </c>
      <c r="B11" s="149"/>
      <c r="C11" s="39"/>
      <c r="D11" s="150" t="s">
        <v>414</v>
      </c>
      <c r="E11" s="151"/>
      <c r="F11" s="150" t="s">
        <v>415</v>
      </c>
      <c r="G11" s="150"/>
      <c r="H11" s="150"/>
      <c r="I11" s="150"/>
      <c r="J11" s="150"/>
      <c r="K11" s="150"/>
      <c r="L11" s="150"/>
      <c r="M11" s="150"/>
      <c r="N11" s="150"/>
      <c r="O11" s="152"/>
      <c r="P11" s="152"/>
      <c r="Q11" s="152"/>
      <c r="R11" s="152"/>
      <c r="S11" s="152"/>
      <c r="T11" s="152"/>
      <c r="U11" s="150"/>
      <c r="V11" s="171"/>
      <c r="W11" s="281" t="s">
        <v>141</v>
      </c>
      <c r="X11" s="282"/>
      <c r="Y11" s="282"/>
      <c r="Z11" s="282"/>
      <c r="AA11" s="282"/>
      <c r="AB11" s="282"/>
      <c r="AC11" s="282"/>
      <c r="AD11" s="282"/>
      <c r="AE11" s="282"/>
      <c r="AF11" s="282"/>
      <c r="AG11" s="282"/>
      <c r="AH11" s="282"/>
      <c r="AI11" s="282"/>
      <c r="AJ11" s="282"/>
      <c r="AK11" s="282"/>
      <c r="AL11" s="282"/>
      <c r="AM11" s="282"/>
      <c r="AN11" s="282"/>
      <c r="AO11" s="282"/>
      <c r="AP11" s="282"/>
      <c r="AQ11" s="283"/>
      <c r="AR11" s="283"/>
      <c r="AS11" s="283"/>
      <c r="AT11" s="283"/>
      <c r="AU11" s="283"/>
      <c r="AV11" s="283"/>
      <c r="AW11" s="284"/>
      <c r="AX11" s="284"/>
      <c r="AY11" s="284"/>
      <c r="AZ11" s="284"/>
      <c r="BA11" s="284"/>
      <c r="BB11" s="285"/>
    </row>
    <row r="12" spans="1:54" ht="12.75">
      <c r="A12" s="153" t="s">
        <v>890</v>
      </c>
      <c r="B12" s="154"/>
      <c r="C12" s="36"/>
      <c r="D12" s="155">
        <v>45</v>
      </c>
      <c r="E12" s="156"/>
      <c r="F12" s="157" t="s">
        <v>891</v>
      </c>
      <c r="G12" s="158"/>
      <c r="H12" s="158"/>
      <c r="I12" s="158"/>
      <c r="J12" s="158"/>
      <c r="K12" s="158"/>
      <c r="L12" s="158"/>
      <c r="M12" s="158"/>
      <c r="N12" s="158"/>
      <c r="O12" s="154"/>
      <c r="P12" s="154"/>
      <c r="Q12" s="154"/>
      <c r="R12" s="154"/>
      <c r="S12" s="154"/>
      <c r="T12" s="154"/>
      <c r="U12" s="158"/>
      <c r="V12" s="171"/>
      <c r="W12" s="286"/>
      <c r="X12" s="287"/>
      <c r="Y12" s="287"/>
      <c r="Z12" s="287"/>
      <c r="AA12" s="287"/>
      <c r="AB12" s="287"/>
      <c r="AC12" s="287"/>
      <c r="AD12" s="287"/>
      <c r="AE12" s="287"/>
      <c r="AF12" s="287"/>
      <c r="AG12" s="287"/>
      <c r="AH12" s="287"/>
      <c r="AI12" s="287"/>
      <c r="AJ12" s="287"/>
      <c r="AK12" s="287"/>
      <c r="AL12" s="287"/>
      <c r="AM12" s="287"/>
      <c r="AN12" s="287"/>
      <c r="AO12" s="287"/>
      <c r="AP12" s="287"/>
      <c r="AQ12" s="288"/>
      <c r="AR12" s="288"/>
      <c r="AS12" s="288"/>
      <c r="AT12" s="288"/>
      <c r="AU12" s="288"/>
      <c r="AV12" s="288"/>
      <c r="AW12" s="289"/>
      <c r="AX12" s="289"/>
      <c r="AY12" s="289"/>
      <c r="AZ12" s="289"/>
      <c r="BA12" s="289"/>
      <c r="BB12" s="290"/>
    </row>
    <row r="13" spans="1:54" ht="15.75" customHeight="1">
      <c r="A13" s="153" t="s">
        <v>889</v>
      </c>
      <c r="B13" s="154"/>
      <c r="C13" s="36"/>
      <c r="D13" s="155">
        <v>30</v>
      </c>
      <c r="E13" s="156"/>
      <c r="F13" s="153" t="s">
        <v>911</v>
      </c>
      <c r="G13" s="159"/>
      <c r="H13" s="159"/>
      <c r="I13" s="159"/>
      <c r="J13" s="159"/>
      <c r="K13" s="159"/>
      <c r="L13" s="159"/>
      <c r="M13" s="159"/>
      <c r="N13" s="159"/>
      <c r="O13" s="154"/>
      <c r="P13" s="154"/>
      <c r="Q13" s="154"/>
      <c r="R13" s="154"/>
      <c r="S13" s="154"/>
      <c r="T13" s="154"/>
      <c r="U13" s="159"/>
      <c r="V13" s="171"/>
      <c r="W13" s="286"/>
      <c r="X13" s="287"/>
      <c r="Y13" s="287"/>
      <c r="Z13" s="287"/>
      <c r="AA13" s="287"/>
      <c r="AB13" s="287"/>
      <c r="AC13" s="287"/>
      <c r="AD13" s="287"/>
      <c r="AE13" s="287"/>
      <c r="AF13" s="287"/>
      <c r="AG13" s="287"/>
      <c r="AH13" s="287"/>
      <c r="AI13" s="287"/>
      <c r="AJ13" s="287"/>
      <c r="AK13" s="287"/>
      <c r="AL13" s="287"/>
      <c r="AM13" s="287"/>
      <c r="AN13" s="287"/>
      <c r="AO13" s="287"/>
      <c r="AP13" s="287"/>
      <c r="AQ13" s="288"/>
      <c r="AR13" s="288"/>
      <c r="AS13" s="288"/>
      <c r="AT13" s="288"/>
      <c r="AU13" s="288"/>
      <c r="AV13" s="288"/>
      <c r="AW13" s="289"/>
      <c r="AX13" s="289"/>
      <c r="AY13" s="289"/>
      <c r="AZ13" s="289"/>
      <c r="BA13" s="289"/>
      <c r="BB13" s="290"/>
    </row>
    <row r="14" spans="1:54" ht="12.75">
      <c r="A14" s="153"/>
      <c r="B14" s="154"/>
      <c r="C14" s="36"/>
      <c r="D14" s="160" t="s">
        <v>305</v>
      </c>
      <c r="E14" s="151" t="s">
        <v>306</v>
      </c>
      <c r="F14" s="170" t="s">
        <v>912</v>
      </c>
      <c r="G14" s="161"/>
      <c r="H14" s="161"/>
      <c r="I14" s="161"/>
      <c r="J14" s="161"/>
      <c r="K14" s="161"/>
      <c r="L14" s="161"/>
      <c r="M14" s="161"/>
      <c r="N14" s="161"/>
      <c r="O14" s="162"/>
      <c r="P14" s="162"/>
      <c r="Q14" s="162"/>
      <c r="R14" s="162"/>
      <c r="S14" s="162"/>
      <c r="T14" s="162"/>
      <c r="U14" s="166"/>
      <c r="V14" s="171"/>
      <c r="W14" s="286"/>
      <c r="X14" s="287"/>
      <c r="Y14" s="287"/>
      <c r="Z14" s="287"/>
      <c r="AA14" s="287"/>
      <c r="AB14" s="287"/>
      <c r="AC14" s="287"/>
      <c r="AD14" s="287"/>
      <c r="AE14" s="287"/>
      <c r="AF14" s="287"/>
      <c r="AG14" s="287"/>
      <c r="AH14" s="287"/>
      <c r="AI14" s="287"/>
      <c r="AJ14" s="287"/>
      <c r="AK14" s="287"/>
      <c r="AL14" s="287"/>
      <c r="AM14" s="287"/>
      <c r="AN14" s="287"/>
      <c r="AO14" s="287"/>
      <c r="AP14" s="287"/>
      <c r="AQ14" s="288"/>
      <c r="AR14" s="288"/>
      <c r="AS14" s="288"/>
      <c r="AT14" s="288"/>
      <c r="AU14" s="288"/>
      <c r="AV14" s="288"/>
      <c r="AW14" s="289"/>
      <c r="AX14" s="289"/>
      <c r="AY14" s="289"/>
      <c r="AZ14" s="289"/>
      <c r="BA14" s="289"/>
      <c r="BB14" s="290"/>
    </row>
    <row r="15" spans="1:54" ht="12.75">
      <c r="A15" s="163" t="s">
        <v>303</v>
      </c>
      <c r="B15" s="162"/>
      <c r="C15" s="36"/>
      <c r="D15" s="164">
        <v>0</v>
      </c>
      <c r="E15" s="165">
        <v>5</v>
      </c>
      <c r="F15" s="163" t="s">
        <v>416</v>
      </c>
      <c r="G15" s="161"/>
      <c r="H15" s="161"/>
      <c r="I15" s="161"/>
      <c r="J15" s="161"/>
      <c r="K15" s="161"/>
      <c r="L15" s="161"/>
      <c r="M15" s="161"/>
      <c r="N15" s="161"/>
      <c r="O15" s="162"/>
      <c r="P15" s="162"/>
      <c r="Q15" s="162"/>
      <c r="R15" s="162"/>
      <c r="S15" s="162"/>
      <c r="T15" s="162"/>
      <c r="U15" s="166"/>
      <c r="V15" s="171"/>
      <c r="W15" s="286"/>
      <c r="X15" s="287"/>
      <c r="Y15" s="287"/>
      <c r="Z15" s="287"/>
      <c r="AA15" s="287"/>
      <c r="AB15" s="287"/>
      <c r="AC15" s="287"/>
      <c r="AD15" s="287"/>
      <c r="AE15" s="287"/>
      <c r="AF15" s="287"/>
      <c r="AG15" s="287"/>
      <c r="AH15" s="287"/>
      <c r="AI15" s="287"/>
      <c r="AJ15" s="287"/>
      <c r="AK15" s="287"/>
      <c r="AL15" s="287"/>
      <c r="AM15" s="287"/>
      <c r="AN15" s="287"/>
      <c r="AO15" s="287"/>
      <c r="AP15" s="287"/>
      <c r="AQ15" s="288"/>
      <c r="AR15" s="288"/>
      <c r="AS15" s="288"/>
      <c r="AT15" s="288"/>
      <c r="AU15" s="288"/>
      <c r="AV15" s="288"/>
      <c r="AW15" s="289"/>
      <c r="AX15" s="289"/>
      <c r="AY15" s="289"/>
      <c r="AZ15" s="289"/>
      <c r="BA15" s="289"/>
      <c r="BB15" s="290"/>
    </row>
    <row r="16" spans="1:54" ht="12.75">
      <c r="A16" s="163" t="s">
        <v>410</v>
      </c>
      <c r="B16" s="162"/>
      <c r="C16" s="36"/>
      <c r="D16" s="164">
        <v>97</v>
      </c>
      <c r="E16" s="165">
        <v>99</v>
      </c>
      <c r="F16" s="163" t="s">
        <v>422</v>
      </c>
      <c r="G16" s="161"/>
      <c r="H16" s="161"/>
      <c r="I16" s="161"/>
      <c r="J16" s="161"/>
      <c r="K16" s="161"/>
      <c r="L16" s="161"/>
      <c r="M16" s="161"/>
      <c r="N16" s="161"/>
      <c r="O16" s="162"/>
      <c r="P16" s="162"/>
      <c r="Q16" s="162"/>
      <c r="R16" s="162"/>
      <c r="S16" s="162"/>
      <c r="T16" s="162"/>
      <c r="U16" s="166"/>
      <c r="V16" s="171"/>
      <c r="W16" s="286"/>
      <c r="X16" s="287"/>
      <c r="Y16" s="287"/>
      <c r="Z16" s="287"/>
      <c r="AA16" s="287"/>
      <c r="AB16" s="287"/>
      <c r="AC16" s="287"/>
      <c r="AD16" s="287"/>
      <c r="AE16" s="287"/>
      <c r="AF16" s="287"/>
      <c r="AG16" s="287"/>
      <c r="AH16" s="287"/>
      <c r="AI16" s="287"/>
      <c r="AJ16" s="287"/>
      <c r="AK16" s="287"/>
      <c r="AL16" s="287"/>
      <c r="AM16" s="287"/>
      <c r="AN16" s="287"/>
      <c r="AO16" s="287"/>
      <c r="AP16" s="287"/>
      <c r="AQ16" s="288"/>
      <c r="AR16" s="288"/>
      <c r="AS16" s="288"/>
      <c r="AT16" s="288"/>
      <c r="AU16" s="288"/>
      <c r="AV16" s="288"/>
      <c r="AW16" s="289"/>
      <c r="AX16" s="289"/>
      <c r="AY16" s="289"/>
      <c r="AZ16" s="289"/>
      <c r="BA16" s="289"/>
      <c r="BB16" s="290"/>
    </row>
    <row r="17" spans="1:54" ht="12.75">
      <c r="A17" s="163" t="s">
        <v>411</v>
      </c>
      <c r="B17" s="162"/>
      <c r="C17" s="36"/>
      <c r="D17" s="164">
        <v>97</v>
      </c>
      <c r="E17" s="165">
        <v>99</v>
      </c>
      <c r="F17" s="163" t="s">
        <v>419</v>
      </c>
      <c r="G17" s="161"/>
      <c r="H17" s="161"/>
      <c r="I17" s="161"/>
      <c r="J17" s="161"/>
      <c r="K17" s="161"/>
      <c r="L17" s="161"/>
      <c r="M17" s="161"/>
      <c r="N17" s="161"/>
      <c r="O17" s="162"/>
      <c r="P17" s="162"/>
      <c r="Q17" s="162"/>
      <c r="R17" s="162"/>
      <c r="S17" s="162"/>
      <c r="T17" s="162"/>
      <c r="U17" s="166"/>
      <c r="V17" s="171"/>
      <c r="W17" s="286"/>
      <c r="X17" s="287"/>
      <c r="Y17" s="287"/>
      <c r="Z17" s="287"/>
      <c r="AA17" s="287"/>
      <c r="AB17" s="287"/>
      <c r="AC17" s="287"/>
      <c r="AD17" s="287"/>
      <c r="AE17" s="287"/>
      <c r="AF17" s="287"/>
      <c r="AG17" s="287"/>
      <c r="AH17" s="287"/>
      <c r="AI17" s="287"/>
      <c r="AJ17" s="287"/>
      <c r="AK17" s="287"/>
      <c r="AL17" s="287"/>
      <c r="AM17" s="287"/>
      <c r="AN17" s="287"/>
      <c r="AO17" s="287"/>
      <c r="AP17" s="287"/>
      <c r="AQ17" s="288"/>
      <c r="AR17" s="288"/>
      <c r="AS17" s="288"/>
      <c r="AT17" s="288"/>
      <c r="AU17" s="288"/>
      <c r="AV17" s="288"/>
      <c r="AW17" s="289"/>
      <c r="AX17" s="289"/>
      <c r="AY17" s="289"/>
      <c r="AZ17" s="289"/>
      <c r="BA17" s="289"/>
      <c r="BB17" s="290"/>
    </row>
    <row r="18" spans="1:54" ht="12.75">
      <c r="A18" s="163" t="s">
        <v>408</v>
      </c>
      <c r="B18" s="162"/>
      <c r="C18" s="36"/>
      <c r="D18" s="164">
        <v>75</v>
      </c>
      <c r="E18" s="165">
        <v>85</v>
      </c>
      <c r="F18" s="163" t="s">
        <v>420</v>
      </c>
      <c r="G18" s="161"/>
      <c r="H18" s="161"/>
      <c r="I18" s="161"/>
      <c r="J18" s="161"/>
      <c r="K18" s="161"/>
      <c r="L18" s="161"/>
      <c r="M18" s="161"/>
      <c r="N18" s="161"/>
      <c r="O18" s="162"/>
      <c r="P18" s="162"/>
      <c r="Q18" s="162"/>
      <c r="R18" s="162"/>
      <c r="S18" s="162"/>
      <c r="T18" s="162"/>
      <c r="U18" s="166"/>
      <c r="V18" s="171"/>
      <c r="W18" s="286"/>
      <c r="X18" s="287"/>
      <c r="Y18" s="287"/>
      <c r="Z18" s="287"/>
      <c r="AA18" s="287"/>
      <c r="AB18" s="287"/>
      <c r="AC18" s="287"/>
      <c r="AD18" s="287"/>
      <c r="AE18" s="287"/>
      <c r="AF18" s="287"/>
      <c r="AG18" s="287"/>
      <c r="AH18" s="287"/>
      <c r="AI18" s="287"/>
      <c r="AJ18" s="287"/>
      <c r="AK18" s="287"/>
      <c r="AL18" s="287"/>
      <c r="AM18" s="287"/>
      <c r="AN18" s="287"/>
      <c r="AO18" s="287"/>
      <c r="AP18" s="287"/>
      <c r="AQ18" s="288"/>
      <c r="AR18" s="288"/>
      <c r="AS18" s="288"/>
      <c r="AT18" s="288"/>
      <c r="AU18" s="288"/>
      <c r="AV18" s="288"/>
      <c r="AW18" s="289"/>
      <c r="AX18" s="289"/>
      <c r="AY18" s="289"/>
      <c r="AZ18" s="289"/>
      <c r="BA18" s="289"/>
      <c r="BB18" s="290"/>
    </row>
    <row r="19" spans="1:54" ht="12.75">
      <c r="A19" s="163" t="s">
        <v>409</v>
      </c>
      <c r="B19" s="162"/>
      <c r="C19" s="36"/>
      <c r="D19" s="164">
        <v>0</v>
      </c>
      <c r="E19" s="165">
        <v>20</v>
      </c>
      <c r="F19" s="163" t="s">
        <v>421</v>
      </c>
      <c r="G19" s="161"/>
      <c r="H19" s="161"/>
      <c r="I19" s="161"/>
      <c r="J19" s="161"/>
      <c r="K19" s="161"/>
      <c r="L19" s="161"/>
      <c r="M19" s="161"/>
      <c r="N19" s="161"/>
      <c r="O19" s="162"/>
      <c r="P19" s="162"/>
      <c r="Q19" s="162"/>
      <c r="R19" s="162"/>
      <c r="S19" s="162"/>
      <c r="T19" s="162"/>
      <c r="U19" s="166"/>
      <c r="V19" s="171"/>
      <c r="W19" s="286"/>
      <c r="X19" s="287"/>
      <c r="Y19" s="287"/>
      <c r="Z19" s="287"/>
      <c r="AA19" s="287"/>
      <c r="AB19" s="287"/>
      <c r="AC19" s="287"/>
      <c r="AD19" s="287"/>
      <c r="AE19" s="287"/>
      <c r="AF19" s="287"/>
      <c r="AG19" s="287"/>
      <c r="AH19" s="287"/>
      <c r="AI19" s="287"/>
      <c r="AJ19" s="287"/>
      <c r="AK19" s="287"/>
      <c r="AL19" s="287"/>
      <c r="AM19" s="287"/>
      <c r="AN19" s="287"/>
      <c r="AO19" s="287"/>
      <c r="AP19" s="287"/>
      <c r="AQ19" s="288"/>
      <c r="AR19" s="288"/>
      <c r="AS19" s="288"/>
      <c r="AT19" s="288"/>
      <c r="AU19" s="288"/>
      <c r="AV19" s="288"/>
      <c r="AW19" s="289"/>
      <c r="AX19" s="289"/>
      <c r="AY19" s="289"/>
      <c r="AZ19" s="289"/>
      <c r="BA19" s="289"/>
      <c r="BB19" s="290"/>
    </row>
    <row r="20" spans="1:54" ht="12.75">
      <c r="A20" s="163" t="s">
        <v>412</v>
      </c>
      <c r="B20" s="162"/>
      <c r="C20" s="36"/>
      <c r="D20" s="164">
        <v>40</v>
      </c>
      <c r="E20" s="165">
        <v>60</v>
      </c>
      <c r="F20" s="163" t="s">
        <v>876</v>
      </c>
      <c r="G20" s="166"/>
      <c r="H20" s="166"/>
      <c r="I20" s="166"/>
      <c r="J20" s="166"/>
      <c r="K20" s="166"/>
      <c r="L20" s="166"/>
      <c r="M20" s="166"/>
      <c r="N20" s="166"/>
      <c r="O20" s="162"/>
      <c r="P20" s="162"/>
      <c r="Q20" s="162"/>
      <c r="R20" s="162"/>
      <c r="S20" s="162"/>
      <c r="T20" s="162"/>
      <c r="U20" s="166"/>
      <c r="V20" s="171"/>
      <c r="W20" s="286"/>
      <c r="X20" s="287"/>
      <c r="Y20" s="287"/>
      <c r="Z20" s="287"/>
      <c r="AA20" s="287"/>
      <c r="AB20" s="287"/>
      <c r="AC20" s="287"/>
      <c r="AD20" s="287"/>
      <c r="AE20" s="287"/>
      <c r="AF20" s="287"/>
      <c r="AG20" s="287"/>
      <c r="AH20" s="287"/>
      <c r="AI20" s="287"/>
      <c r="AJ20" s="287"/>
      <c r="AK20" s="287"/>
      <c r="AL20" s="287"/>
      <c r="AM20" s="287"/>
      <c r="AN20" s="287"/>
      <c r="AO20" s="287"/>
      <c r="AP20" s="287"/>
      <c r="AQ20" s="288"/>
      <c r="AR20" s="288"/>
      <c r="AS20" s="288"/>
      <c r="AT20" s="288"/>
      <c r="AU20" s="288"/>
      <c r="AV20" s="288"/>
      <c r="AW20" s="289"/>
      <c r="AX20" s="289"/>
      <c r="AY20" s="289"/>
      <c r="AZ20" s="289"/>
      <c r="BA20" s="289"/>
      <c r="BB20" s="290"/>
    </row>
    <row r="21" spans="1:54" ht="12.75">
      <c r="A21" s="167" t="s">
        <v>873</v>
      </c>
      <c r="B21" s="168"/>
      <c r="C21" s="39"/>
      <c r="D21" s="279">
        <v>65</v>
      </c>
      <c r="E21" s="279">
        <v>85</v>
      </c>
      <c r="F21" s="169" t="s">
        <v>877</v>
      </c>
      <c r="G21" s="168"/>
      <c r="H21" s="168"/>
      <c r="I21" s="168"/>
      <c r="J21" s="168"/>
      <c r="K21" s="168"/>
      <c r="L21" s="168"/>
      <c r="M21" s="168"/>
      <c r="N21" s="168"/>
      <c r="O21" s="168"/>
      <c r="P21" s="168"/>
      <c r="Q21" s="168"/>
      <c r="R21" s="168"/>
      <c r="S21" s="168"/>
      <c r="T21" s="168"/>
      <c r="U21" s="168"/>
      <c r="V21" s="171"/>
      <c r="W21" s="291"/>
      <c r="X21" s="292"/>
      <c r="Y21" s="292"/>
      <c r="Z21" s="292"/>
      <c r="AA21" s="292"/>
      <c r="AB21" s="292"/>
      <c r="AC21" s="292"/>
      <c r="AD21" s="292"/>
      <c r="AE21" s="292"/>
      <c r="AF21" s="292"/>
      <c r="AG21" s="292"/>
      <c r="AH21" s="292"/>
      <c r="AI21" s="292"/>
      <c r="AJ21" s="292"/>
      <c r="AK21" s="292"/>
      <c r="AL21" s="292"/>
      <c r="AM21" s="292"/>
      <c r="AN21" s="292"/>
      <c r="AO21" s="292"/>
      <c r="AP21" s="292"/>
      <c r="AQ21" s="293"/>
      <c r="AR21" s="293"/>
      <c r="AS21" s="293"/>
      <c r="AT21" s="293"/>
      <c r="AU21" s="293"/>
      <c r="AV21" s="293"/>
      <c r="AW21" s="294"/>
      <c r="AX21" s="294"/>
      <c r="AY21" s="294"/>
      <c r="AZ21" s="294"/>
      <c r="BA21" s="294"/>
      <c r="BB21" s="295"/>
    </row>
    <row r="22" ht="10.5" customHeight="1"/>
    <row r="23" ht="9.75" customHeight="1"/>
    <row r="24" spans="1:54" ht="18">
      <c r="A24" s="276" t="s">
        <v>222</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277"/>
      <c r="Z24" s="277"/>
      <c r="AA24" s="277"/>
      <c r="AB24" s="277"/>
      <c r="AC24" s="277"/>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row>
    <row r="25" spans="25:54" ht="18">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row>
    <row r="26" spans="25:54" ht="1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row>
    <row r="27" spans="25:54" ht="12.75">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row>
    <row r="28" spans="25:54" ht="15">
      <c r="Y28" s="268"/>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row>
    <row r="29" spans="25:54" ht="12.75">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row>
    <row r="30" spans="25:54" ht="15">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row>
    <row r="31" spans="25:54" ht="15">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row>
    <row r="32" spans="25:54" ht="15">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row>
    <row r="33" spans="25:54" ht="15">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row>
    <row r="34" spans="25:54" ht="15">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row>
    <row r="35" spans="25:54" ht="15">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row>
    <row r="36" ht="15">
      <c r="Y36" s="269"/>
    </row>
    <row r="72" ht="18">
      <c r="A72" s="250" t="s">
        <v>545</v>
      </c>
    </row>
    <row r="73" ht="15">
      <c r="A73" s="129"/>
    </row>
    <row r="74" spans="1:29" ht="24.75" customHeight="1">
      <c r="A74" s="251" t="s">
        <v>561</v>
      </c>
      <c r="B74" s="258" t="s">
        <v>550</v>
      </c>
      <c r="C74" s="50"/>
      <c r="D74" s="258" t="s">
        <v>415</v>
      </c>
      <c r="E74" s="257"/>
      <c r="F74" s="257"/>
      <c r="G74" s="252"/>
      <c r="H74" s="252"/>
      <c r="I74" s="252"/>
      <c r="J74" s="252"/>
      <c r="K74" s="252"/>
      <c r="L74" s="252"/>
      <c r="M74" s="252"/>
      <c r="N74" s="252"/>
      <c r="O74" s="252"/>
      <c r="P74" s="252"/>
      <c r="Q74" s="252"/>
      <c r="R74" s="252"/>
      <c r="S74" s="252"/>
      <c r="T74" s="50"/>
      <c r="U74" s="50"/>
      <c r="V74" s="50"/>
      <c r="W74" s="50"/>
      <c r="X74" s="50"/>
      <c r="Y74" s="50"/>
      <c r="Z74" s="50"/>
      <c r="AA74" s="50"/>
      <c r="AB74" s="50"/>
      <c r="AC74" s="110"/>
    </row>
    <row r="75" spans="1:29" ht="12.75">
      <c r="A75" s="253">
        <v>1</v>
      </c>
      <c r="B75" t="s">
        <v>552</v>
      </c>
      <c r="D75" s="254" t="s">
        <v>196</v>
      </c>
      <c r="E75" s="254"/>
      <c r="F75" s="254"/>
      <c r="G75" s="254"/>
      <c r="H75" s="254"/>
      <c r="I75" s="254"/>
      <c r="J75" s="254"/>
      <c r="K75" s="254"/>
      <c r="L75" s="254"/>
      <c r="M75" s="254"/>
      <c r="N75" s="254"/>
      <c r="O75" s="254"/>
      <c r="P75" s="254"/>
      <c r="Q75" s="254"/>
      <c r="R75" s="254"/>
      <c r="S75" s="254"/>
      <c r="T75" s="36"/>
      <c r="U75" s="36"/>
      <c r="V75" s="36"/>
      <c r="W75" s="36"/>
      <c r="X75" s="36"/>
      <c r="Y75" s="36"/>
      <c r="Z75" s="36"/>
      <c r="AA75" s="36"/>
      <c r="AB75" s="36"/>
      <c r="AC75" s="47"/>
    </row>
    <row r="76" spans="1:29" ht="12.75">
      <c r="A76" s="253">
        <v>2</v>
      </c>
      <c r="B76" t="s">
        <v>551</v>
      </c>
      <c r="D76" s="254" t="s">
        <v>197</v>
      </c>
      <c r="E76" s="254"/>
      <c r="F76" s="254"/>
      <c r="G76" s="254"/>
      <c r="H76" s="254"/>
      <c r="I76" s="254"/>
      <c r="J76" s="254"/>
      <c r="K76" s="254"/>
      <c r="L76" s="254"/>
      <c r="M76" s="254"/>
      <c r="N76" s="254"/>
      <c r="O76" s="254"/>
      <c r="P76" s="254"/>
      <c r="Q76" s="254"/>
      <c r="R76" s="254"/>
      <c r="S76" s="254"/>
      <c r="T76" s="36"/>
      <c r="U76" s="36"/>
      <c r="V76" s="36"/>
      <c r="W76" s="36"/>
      <c r="X76" s="36"/>
      <c r="Y76" s="36"/>
      <c r="Z76" s="36"/>
      <c r="AA76" s="36"/>
      <c r="AB76" s="36"/>
      <c r="AC76" s="47"/>
    </row>
    <row r="77" spans="1:29" ht="12.75">
      <c r="A77" s="253">
        <v>3</v>
      </c>
      <c r="B77" t="s">
        <v>553</v>
      </c>
      <c r="D77" s="254" t="s">
        <v>198</v>
      </c>
      <c r="E77" s="254"/>
      <c r="F77" s="254"/>
      <c r="G77" s="254"/>
      <c r="H77" s="254"/>
      <c r="I77" s="254"/>
      <c r="J77" s="254"/>
      <c r="K77" s="254"/>
      <c r="L77" s="254"/>
      <c r="M77" s="254"/>
      <c r="N77" s="254"/>
      <c r="O77" s="254"/>
      <c r="P77" s="254"/>
      <c r="Q77" s="254"/>
      <c r="R77" s="254"/>
      <c r="S77" s="254"/>
      <c r="T77" s="36"/>
      <c r="U77" s="36"/>
      <c r="V77" s="36"/>
      <c r="W77" s="36"/>
      <c r="X77" s="36"/>
      <c r="Y77" s="36"/>
      <c r="Z77" s="36"/>
      <c r="AA77" s="36"/>
      <c r="AB77" s="36"/>
      <c r="AC77" s="47"/>
    </row>
    <row r="78" spans="1:29" ht="12.75">
      <c r="A78" s="253">
        <v>4</v>
      </c>
      <c r="B78" t="s">
        <v>554</v>
      </c>
      <c r="D78" s="254" t="s">
        <v>199</v>
      </c>
      <c r="E78" s="254"/>
      <c r="F78" s="254"/>
      <c r="G78" s="254"/>
      <c r="H78" s="254"/>
      <c r="I78" s="254"/>
      <c r="J78" s="254"/>
      <c r="K78" s="254"/>
      <c r="L78" s="254"/>
      <c r="M78" s="254"/>
      <c r="N78" s="254"/>
      <c r="O78" s="254"/>
      <c r="P78" s="254"/>
      <c r="Q78" s="254"/>
      <c r="R78" s="254"/>
      <c r="S78" s="254"/>
      <c r="T78" s="36"/>
      <c r="U78" s="36"/>
      <c r="V78" s="36"/>
      <c r="W78" s="36"/>
      <c r="X78" s="36"/>
      <c r="Y78" s="36"/>
      <c r="Z78" s="36"/>
      <c r="AA78" s="36"/>
      <c r="AB78" s="36"/>
      <c r="AC78" s="47"/>
    </row>
    <row r="79" spans="1:29" ht="12.75">
      <c r="A79" s="253">
        <v>5</v>
      </c>
      <c r="B79" t="s">
        <v>555</v>
      </c>
      <c r="D79" s="254" t="s">
        <v>200</v>
      </c>
      <c r="E79" s="254"/>
      <c r="F79" s="254"/>
      <c r="G79" s="254"/>
      <c r="H79" s="254"/>
      <c r="I79" s="254"/>
      <c r="J79" s="254"/>
      <c r="K79" s="254"/>
      <c r="L79" s="254"/>
      <c r="M79" s="254"/>
      <c r="N79" s="254"/>
      <c r="O79" s="254"/>
      <c r="P79" s="254"/>
      <c r="Q79" s="254"/>
      <c r="R79" s="254"/>
      <c r="S79" s="254"/>
      <c r="T79" s="36"/>
      <c r="U79" s="36"/>
      <c r="V79" s="36"/>
      <c r="W79" s="36"/>
      <c r="X79" s="36"/>
      <c r="Y79" s="36"/>
      <c r="Z79" s="36"/>
      <c r="AA79" s="36"/>
      <c r="AB79" s="36"/>
      <c r="AC79" s="47"/>
    </row>
    <row r="80" spans="1:29" ht="12.75">
      <c r="A80" s="253">
        <v>6</v>
      </c>
      <c r="B80" t="s">
        <v>556</v>
      </c>
      <c r="D80" s="254" t="s">
        <v>154</v>
      </c>
      <c r="E80" s="254"/>
      <c r="F80" s="254"/>
      <c r="G80" s="254"/>
      <c r="H80" s="254"/>
      <c r="I80" s="254"/>
      <c r="J80" s="254"/>
      <c r="K80" s="254"/>
      <c r="L80" s="254"/>
      <c r="M80" s="254"/>
      <c r="N80" s="254"/>
      <c r="O80" s="254"/>
      <c r="P80" s="254"/>
      <c r="Q80" s="254"/>
      <c r="R80" s="254"/>
      <c r="S80" s="254"/>
      <c r="T80" s="36"/>
      <c r="U80" s="36"/>
      <c r="V80" s="36"/>
      <c r="W80" s="36"/>
      <c r="X80" s="36"/>
      <c r="Y80" s="36"/>
      <c r="Z80" s="36"/>
      <c r="AA80" s="36"/>
      <c r="AB80" s="36"/>
      <c r="AC80" s="47"/>
    </row>
    <row r="81" spans="1:29" ht="12.75">
      <c r="A81" s="255">
        <v>7</v>
      </c>
      <c r="B81" s="39" t="s">
        <v>12</v>
      </c>
      <c r="C81" s="39"/>
      <c r="D81" s="256" t="s">
        <v>546</v>
      </c>
      <c r="E81" s="256"/>
      <c r="F81" s="256"/>
      <c r="G81" s="256"/>
      <c r="H81" s="256"/>
      <c r="I81" s="256"/>
      <c r="J81" s="256"/>
      <c r="K81" s="256"/>
      <c r="L81" s="256"/>
      <c r="M81" s="256"/>
      <c r="N81" s="256"/>
      <c r="O81" s="256"/>
      <c r="P81" s="256"/>
      <c r="Q81" s="256"/>
      <c r="R81" s="256"/>
      <c r="S81" s="256"/>
      <c r="T81" s="39"/>
      <c r="U81" s="39"/>
      <c r="V81" s="39"/>
      <c r="W81" s="39"/>
      <c r="X81" s="39"/>
      <c r="Y81" s="39"/>
      <c r="Z81" s="39"/>
      <c r="AA81" s="39"/>
      <c r="AB81" s="39"/>
      <c r="AC81" s="48"/>
    </row>
    <row r="82" ht="15">
      <c r="A82" s="129"/>
    </row>
    <row r="84" spans="1:22" ht="15.75">
      <c r="A84" s="245" t="s">
        <v>563</v>
      </c>
      <c r="B84" s="58"/>
      <c r="C84" s="58"/>
      <c r="D84" s="58"/>
      <c r="E84" s="58"/>
      <c r="F84" s="58"/>
      <c r="G84" s="58"/>
      <c r="H84" s="58"/>
      <c r="I84" s="58"/>
      <c r="J84" s="119"/>
      <c r="M84" s="245" t="s">
        <v>564</v>
      </c>
      <c r="N84" s="58"/>
      <c r="O84" s="58"/>
      <c r="P84" s="58"/>
      <c r="Q84" s="58"/>
      <c r="R84" s="58"/>
      <c r="S84" s="58"/>
      <c r="T84" s="58"/>
      <c r="U84" s="58"/>
      <c r="V84" s="119"/>
    </row>
    <row r="85" spans="1:22" ht="12.75">
      <c r="A85" s="244" t="s">
        <v>562</v>
      </c>
      <c r="B85" s="242"/>
      <c r="C85" s="242"/>
      <c r="D85" s="242">
        <v>7</v>
      </c>
      <c r="E85" s="242">
        <v>1</v>
      </c>
      <c r="F85" s="242">
        <v>2</v>
      </c>
      <c r="G85" s="242">
        <v>3</v>
      </c>
      <c r="H85" s="242">
        <v>4</v>
      </c>
      <c r="I85" s="242">
        <v>5</v>
      </c>
      <c r="J85" s="243">
        <v>6</v>
      </c>
      <c r="M85" s="244" t="s">
        <v>562</v>
      </c>
      <c r="N85" s="242"/>
      <c r="O85" s="242"/>
      <c r="P85" s="242">
        <v>7</v>
      </c>
      <c r="Q85" s="242">
        <v>1</v>
      </c>
      <c r="R85" s="242">
        <v>2</v>
      </c>
      <c r="S85" s="242">
        <v>3</v>
      </c>
      <c r="T85" s="242">
        <v>4</v>
      </c>
      <c r="U85" s="242">
        <v>5</v>
      </c>
      <c r="V85" s="243">
        <v>6</v>
      </c>
    </row>
    <row r="86" spans="1:22" ht="12.75">
      <c r="A86" s="240" t="s">
        <v>559</v>
      </c>
      <c r="B86" s="33"/>
      <c r="C86" s="33"/>
      <c r="D86" s="33">
        <f>CAR!$D$45</f>
        <v>7</v>
      </c>
      <c r="E86" s="33">
        <f>CAR!$D$39</f>
        <v>93</v>
      </c>
      <c r="F86" s="33">
        <f>CAR!$D$40</f>
        <v>0</v>
      </c>
      <c r="G86" s="33">
        <f>CAR!$D$41</f>
        <v>0</v>
      </c>
      <c r="H86" s="33">
        <f>CAR!$D$42</f>
        <v>0</v>
      </c>
      <c r="I86" s="33">
        <f>CAR!$D$43</f>
        <v>0</v>
      </c>
      <c r="J86" s="104">
        <f>CAR!$D$44</f>
        <v>0</v>
      </c>
      <c r="M86" s="240" t="s">
        <v>577</v>
      </c>
      <c r="N86" s="33"/>
      <c r="O86" s="33"/>
      <c r="P86" s="33">
        <f>GBissau!$D$38</f>
        <v>0</v>
      </c>
      <c r="Q86" s="33">
        <f>GBissau!$D$32</f>
        <v>4569</v>
      </c>
      <c r="R86" s="33">
        <f>GBissau!$D$33</f>
        <v>0</v>
      </c>
      <c r="S86" s="33">
        <f>GBissau!$D$34</f>
        <v>0</v>
      </c>
      <c r="T86" s="33">
        <f>GBissau!$D$35</f>
        <v>8858</v>
      </c>
      <c r="U86" s="33">
        <f>GBissau!$D$36</f>
        <v>2658</v>
      </c>
      <c r="V86" s="104">
        <f>GBissau!$D$37</f>
        <v>2961</v>
      </c>
    </row>
    <row r="87" spans="1:22" ht="12.75">
      <c r="A87" s="240" t="s">
        <v>558</v>
      </c>
      <c r="B87" s="33"/>
      <c r="C87" s="33"/>
      <c r="D87" s="33">
        <f>CAR!$H$85</f>
        <v>1744</v>
      </c>
      <c r="E87" s="33">
        <f>CAR!$H$79</f>
        <v>31645</v>
      </c>
      <c r="F87" s="33">
        <f>CAR!$H$80</f>
        <v>0</v>
      </c>
      <c r="G87" s="33">
        <f>CAR!$H$81</f>
        <v>4337</v>
      </c>
      <c r="H87" s="33">
        <f>CAR!$H$82</f>
        <v>0</v>
      </c>
      <c r="I87" s="33">
        <f>CAR!$H$83</f>
        <v>0</v>
      </c>
      <c r="J87" s="104">
        <f>CAR!$H$84</f>
        <v>0</v>
      </c>
      <c r="M87" s="240" t="s">
        <v>578</v>
      </c>
      <c r="N87" s="33"/>
      <c r="O87" s="33"/>
      <c r="P87" s="33">
        <f>Guinea!$D$38</f>
        <v>7300</v>
      </c>
      <c r="Q87" s="33">
        <f>Guinea!$D$32</f>
        <v>18700</v>
      </c>
      <c r="R87" s="33">
        <f>Guinea!$D$33</f>
        <v>20000</v>
      </c>
      <c r="S87" s="33">
        <f>Guinea!$D$34</f>
        <v>0</v>
      </c>
      <c r="T87" s="33">
        <f>Guinea!$D$35</f>
        <v>0</v>
      </c>
      <c r="U87" s="33">
        <f>Guinea!$D$36</f>
        <v>0</v>
      </c>
      <c r="V87" s="104">
        <f>Guinea!$D$37</f>
        <v>0</v>
      </c>
    </row>
    <row r="88" spans="1:22" ht="12.75">
      <c r="A88" s="240" t="s">
        <v>549</v>
      </c>
      <c r="B88" s="33"/>
      <c r="C88" s="33"/>
      <c r="D88" s="33">
        <f>Cameroon!$D$154</f>
        <v>4200</v>
      </c>
      <c r="E88" s="33">
        <f>Cameroon!$D$148</f>
        <v>16900</v>
      </c>
      <c r="F88" s="33">
        <f>Cameroon!$D$149</f>
        <v>31600</v>
      </c>
      <c r="G88" s="33">
        <f>Cameroon!$D$150</f>
        <v>0</v>
      </c>
      <c r="H88" s="33">
        <f>Cameroon!$D$151</f>
        <v>0</v>
      </c>
      <c r="I88" s="33">
        <f>Cameroon!$D$152</f>
        <v>0</v>
      </c>
      <c r="J88" s="104">
        <f>Cameroon!$D$153</f>
        <v>0</v>
      </c>
      <c r="M88" s="247" t="s">
        <v>580</v>
      </c>
      <c r="N88" s="33"/>
      <c r="O88" s="33"/>
      <c r="P88" s="33">
        <f>SLeone!$D$51</f>
        <v>0</v>
      </c>
      <c r="Q88" s="33">
        <f>SLeone!$D$45</f>
        <v>119591</v>
      </c>
      <c r="R88" s="33">
        <f>SLeone!$D$46</f>
        <v>3865</v>
      </c>
      <c r="S88" s="33">
        <f>SLeone!$D$47</f>
        <v>4461</v>
      </c>
      <c r="T88" s="33">
        <f>SLeone!$D$48</f>
        <v>0</v>
      </c>
      <c r="U88" s="33">
        <f>SLeone!$D$49</f>
        <v>0</v>
      </c>
      <c r="V88" s="104">
        <f>SLeone!$D$50</f>
        <v>0</v>
      </c>
    </row>
    <row r="89" spans="1:22" ht="12.75">
      <c r="A89" s="240" t="s">
        <v>548</v>
      </c>
      <c r="B89" s="33"/>
      <c r="C89" s="33"/>
      <c r="D89" s="33">
        <f>Cameroon!$D$42</f>
        <v>6.6</v>
      </c>
      <c r="E89" s="33">
        <f>Cameroon!$D$36</f>
        <v>93.4</v>
      </c>
      <c r="F89" s="33">
        <f>Cameroon!$D$37</f>
        <v>0</v>
      </c>
      <c r="G89" s="33">
        <f>Cameroon!$D$38</f>
        <v>0</v>
      </c>
      <c r="H89" s="33">
        <f>Cameroon!$D$39</f>
        <v>0</v>
      </c>
      <c r="I89" s="33">
        <f>Cameroon!$D$40</f>
        <v>0</v>
      </c>
      <c r="J89" s="104">
        <f>Cameroon!$D$41</f>
        <v>0</v>
      </c>
      <c r="M89" s="240" t="s">
        <v>579</v>
      </c>
      <c r="N89" s="33"/>
      <c r="O89" s="33"/>
      <c r="P89" s="33">
        <f>SLeone!$H$83</f>
        <v>0</v>
      </c>
      <c r="Q89" s="33">
        <f>SLeone!$H$77</f>
        <v>75500</v>
      </c>
      <c r="R89" s="33">
        <f>SLeone!$H$78</f>
        <v>2500</v>
      </c>
      <c r="S89" s="33">
        <f>SLeone!$H$79</f>
        <v>0</v>
      </c>
      <c r="T89" s="33">
        <f>SLeone!$H$80</f>
        <v>7000</v>
      </c>
      <c r="U89" s="33">
        <f>SLeone!$H$81</f>
        <v>0</v>
      </c>
      <c r="V89" s="104">
        <f>SLeone!$H$82</f>
        <v>0</v>
      </c>
    </row>
    <row r="90" spans="1:22" ht="12.75">
      <c r="A90" s="240" t="s">
        <v>560</v>
      </c>
      <c r="B90" s="33"/>
      <c r="C90" s="33"/>
      <c r="D90" s="33">
        <f>Gabon!$H$80</f>
        <v>726</v>
      </c>
      <c r="E90" s="33">
        <f>Gabon!$H$74</f>
        <v>10992</v>
      </c>
      <c r="F90" s="33">
        <f>Gabon!$H$75</f>
        <v>452</v>
      </c>
      <c r="G90" s="33">
        <f>Gabon!$H$76</f>
        <v>1199</v>
      </c>
      <c r="H90" s="33">
        <f>Gabon!$H$77</f>
        <v>0</v>
      </c>
      <c r="I90" s="33">
        <f>Gabon!$H$78</f>
        <v>0</v>
      </c>
      <c r="J90" s="104">
        <f>Gabon!$H$79</f>
        <v>0</v>
      </c>
      <c r="M90" s="247" t="s">
        <v>581</v>
      </c>
      <c r="N90" s="33"/>
      <c r="O90" s="33"/>
      <c r="P90" s="33">
        <f>Liberia!$D$39</f>
        <v>0</v>
      </c>
      <c r="Q90" s="33">
        <f>Liberia!$D$33</f>
        <v>39750</v>
      </c>
      <c r="R90" s="33">
        <f>Liberia!$D$34</f>
        <v>0</v>
      </c>
      <c r="S90" s="33">
        <f>Liberia!$D$35</f>
        <v>13250</v>
      </c>
      <c r="T90" s="33">
        <f>Liberia!$D$36</f>
        <v>0</v>
      </c>
      <c r="U90" s="33">
        <f>Liberia!$D$37</f>
        <v>0</v>
      </c>
      <c r="V90" s="104">
        <f>Liberia!$D$38</f>
        <v>0</v>
      </c>
    </row>
    <row r="91" spans="1:22" ht="12.75">
      <c r="A91" s="240" t="s">
        <v>557</v>
      </c>
      <c r="B91" s="33"/>
      <c r="C91" s="33"/>
      <c r="D91" s="33">
        <f>CBrazza!$D$42</f>
        <v>0</v>
      </c>
      <c r="E91" s="33">
        <f>CBrazza!$D$36</f>
        <v>100</v>
      </c>
      <c r="F91" s="33">
        <f>CBrazza!$D$37</f>
        <v>0</v>
      </c>
      <c r="G91" s="33">
        <f>CBrazza!$D$38</f>
        <v>0</v>
      </c>
      <c r="H91" s="33">
        <f>CBrazza!$D$39</f>
        <v>0</v>
      </c>
      <c r="I91" s="33">
        <f>CBrazza!$D$40</f>
        <v>0</v>
      </c>
      <c r="J91" s="104">
        <f>CBrazza!$D$41</f>
        <v>0</v>
      </c>
      <c r="M91" s="240" t="s">
        <v>576</v>
      </c>
      <c r="N91" s="33"/>
      <c r="O91" s="33"/>
      <c r="P91" s="248">
        <f>IvoryC!$H$121</f>
        <v>0</v>
      </c>
      <c r="Q91" s="248">
        <f>IvoryC!$H$115</f>
        <v>71864</v>
      </c>
      <c r="R91" s="248">
        <f>IvoryC!$H$116</f>
        <v>0</v>
      </c>
      <c r="S91" s="248">
        <f>IvoryC!$H$117</f>
        <v>0</v>
      </c>
      <c r="T91" s="248">
        <f>IvoryC!$H$118</f>
        <v>25064</v>
      </c>
      <c r="U91" s="248">
        <f>IvoryC!$H$119</f>
        <v>6864</v>
      </c>
      <c r="V91" s="249">
        <f>IvoryC!$H$120</f>
        <v>0</v>
      </c>
    </row>
    <row r="92" spans="1:22" ht="12.75">
      <c r="A92" s="240" t="s">
        <v>547</v>
      </c>
      <c r="B92" s="33"/>
      <c r="C92" s="33"/>
      <c r="D92" s="33">
        <f>DRC!$D$368</f>
        <v>346</v>
      </c>
      <c r="E92" s="33">
        <f>DRC!$D$362</f>
        <v>211659.99999999988</v>
      </c>
      <c r="F92" s="33">
        <f>DRC!$D$363</f>
        <v>5250.2300000000005</v>
      </c>
      <c r="G92" s="33">
        <f>DRC!$D$364</f>
        <v>22586.449999999997</v>
      </c>
      <c r="H92" s="33">
        <f>DRC!$D$365</f>
        <v>0</v>
      </c>
      <c r="I92" s="33">
        <f>DRC!$D$366</f>
        <v>177.48</v>
      </c>
      <c r="J92" s="104">
        <f>DRC!$D$367</f>
        <v>825.84</v>
      </c>
      <c r="M92" s="240" t="s">
        <v>575</v>
      </c>
      <c r="N92" s="33"/>
      <c r="O92" s="33"/>
      <c r="P92" s="248">
        <f>IvoryC!$D$121</f>
        <v>0</v>
      </c>
      <c r="Q92" s="248">
        <f>IvoryC!$D$115</f>
        <v>18750</v>
      </c>
      <c r="R92" s="248">
        <f>IvoryC!$D$116</f>
        <v>0</v>
      </c>
      <c r="S92" s="248">
        <f>IvoryC!$D$117</f>
        <v>10100</v>
      </c>
      <c r="T92" s="248">
        <f>IvoryC!$D$118</f>
        <v>0</v>
      </c>
      <c r="U92" s="248">
        <f>IvoryC!$D$119</f>
        <v>11550</v>
      </c>
      <c r="V92" s="249">
        <f>IvoryC!$D$120</f>
        <v>0</v>
      </c>
    </row>
    <row r="93" spans="10:22" ht="12.75">
      <c r="J93" s="47"/>
      <c r="M93" s="240" t="s">
        <v>574</v>
      </c>
      <c r="N93" s="33"/>
      <c r="O93" s="33"/>
      <c r="P93" s="248">
        <f>IvoryC!$H$55</f>
        <v>21785</v>
      </c>
      <c r="Q93" s="248">
        <f>IvoryC!$H$49</f>
        <v>326447</v>
      </c>
      <c r="R93" s="248">
        <f>IvoryC!$H$50</f>
        <v>0</v>
      </c>
      <c r="S93" s="248">
        <f>IvoryC!$H$51</f>
        <v>0</v>
      </c>
      <c r="T93" s="248">
        <f>IvoryC!$H$52</f>
        <v>368664</v>
      </c>
      <c r="U93" s="248">
        <f>IvoryC!$H$53</f>
        <v>186034</v>
      </c>
      <c r="V93" s="249">
        <f>IvoryC!$H$54</f>
        <v>0</v>
      </c>
    </row>
    <row r="94" spans="10:22" ht="12.75">
      <c r="J94" s="47"/>
      <c r="M94" s="240" t="s">
        <v>573</v>
      </c>
      <c r="N94" s="33"/>
      <c r="O94" s="33"/>
      <c r="P94" s="248">
        <f>IvoryC!$D$55</f>
        <v>7100</v>
      </c>
      <c r="Q94" s="248">
        <f>IvoryC!$D$49</f>
        <v>30299</v>
      </c>
      <c r="R94" s="248">
        <f>IvoryC!$D$50</f>
        <v>0</v>
      </c>
      <c r="S94" s="248">
        <f>IvoryC!$D$51</f>
        <v>7830</v>
      </c>
      <c r="T94" s="248">
        <f>IvoryC!$D$52</f>
        <v>0</v>
      </c>
      <c r="U94" s="248">
        <f>IvoryC!$D$53</f>
        <v>57770</v>
      </c>
      <c r="V94" s="249">
        <f>IvoryC!$D$54</f>
        <v>6870</v>
      </c>
    </row>
    <row r="95" spans="1:22" ht="12.75">
      <c r="A95" s="240" t="s">
        <v>543</v>
      </c>
      <c r="B95" s="33"/>
      <c r="C95" s="33"/>
      <c r="D95" s="33">
        <f>CAR!$D$85</f>
        <v>4.622806552510205</v>
      </c>
      <c r="E95" s="33">
        <f>CAR!$D$79</f>
        <v>12.179928961458941</v>
      </c>
      <c r="F95" s="33">
        <f>CAR!$D$80</f>
        <v>0</v>
      </c>
      <c r="G95" s="33">
        <f>CAR!$D$81</f>
        <v>71.7012140168584</v>
      </c>
      <c r="H95" s="33">
        <f>CAR!$D$82</f>
        <v>11.496050469172452</v>
      </c>
      <c r="I95" s="33">
        <f>CAR!$D$83</f>
        <v>0</v>
      </c>
      <c r="J95" s="104">
        <f>CAR!$D$84</f>
        <v>0</v>
      </c>
      <c r="M95" s="171"/>
      <c r="N95" s="36"/>
      <c r="O95" s="36"/>
      <c r="P95" s="36"/>
      <c r="Q95" s="36"/>
      <c r="R95" s="36"/>
      <c r="S95" s="36"/>
      <c r="T95" s="36"/>
      <c r="U95" s="36"/>
      <c r="V95" s="47"/>
    </row>
    <row r="96" spans="1:22" ht="12.75">
      <c r="A96" s="240" t="s">
        <v>541</v>
      </c>
      <c r="B96" s="33"/>
      <c r="C96" s="33"/>
      <c r="D96" s="33">
        <f>Cameroon!$D$83</f>
        <v>1302</v>
      </c>
      <c r="E96" s="33">
        <f>Cameroon!$D$77</f>
        <v>13593</v>
      </c>
      <c r="F96" s="33">
        <f>Cameroon!$D$78</f>
        <v>5034</v>
      </c>
      <c r="G96" s="33">
        <f>Cameroon!$D$79</f>
        <v>4531</v>
      </c>
      <c r="H96" s="33">
        <f>Cameroon!$D$80</f>
        <v>19402</v>
      </c>
      <c r="I96" s="33">
        <f>Cameroon!$D$81</f>
        <v>0</v>
      </c>
      <c r="J96" s="104">
        <f>Cameroon!$D$82</f>
        <v>0</v>
      </c>
      <c r="M96" s="240"/>
      <c r="N96" s="33"/>
      <c r="O96" s="33"/>
      <c r="P96" s="33"/>
      <c r="Q96" s="33"/>
      <c r="R96" s="33"/>
      <c r="S96" s="33"/>
      <c r="T96" s="33"/>
      <c r="U96" s="33"/>
      <c r="V96" s="104"/>
    </row>
    <row r="97" spans="1:22" ht="12.75">
      <c r="A97" s="240" t="s">
        <v>8</v>
      </c>
      <c r="B97" s="33"/>
      <c r="C97" s="33"/>
      <c r="D97" s="33">
        <f>Cameroon!$D$127</f>
        <v>1.9227916899888318</v>
      </c>
      <c r="E97" s="33">
        <f>Cameroon!$D$121</f>
        <v>16.283191806525956</v>
      </c>
      <c r="F97" s="33">
        <f>Cameroon!$D$122</f>
        <v>7.434203815210275</v>
      </c>
      <c r="G97" s="33">
        <f>Cameroon!$D$123</f>
        <v>1.466460943286413</v>
      </c>
      <c r="H97" s="33">
        <f>Cameroon!$D$124</f>
        <v>6.691374153102455</v>
      </c>
      <c r="I97" s="33">
        <f>Cameroon!$D$125</f>
        <v>66.20197759188606</v>
      </c>
      <c r="J97" s="104">
        <f>Cameroon!$D$126</f>
        <v>0</v>
      </c>
      <c r="M97" s="240" t="s">
        <v>567</v>
      </c>
      <c r="N97" s="33"/>
      <c r="O97" s="33"/>
      <c r="P97" s="33">
        <f>GBissau!$D$69</f>
        <v>0</v>
      </c>
      <c r="Q97" s="33">
        <f>GBissau!$D$63</f>
        <v>13.48</v>
      </c>
      <c r="R97" s="33">
        <f>GBissau!$D$64</f>
        <v>0</v>
      </c>
      <c r="S97" s="33">
        <f>GBissau!$D$65</f>
        <v>0</v>
      </c>
      <c r="T97" s="33">
        <f>GBissau!$D$66</f>
        <v>26.13</v>
      </c>
      <c r="U97" s="33">
        <f>GBissau!$D$67</f>
        <v>51.65</v>
      </c>
      <c r="V97" s="104">
        <f>GBissau!$D$68</f>
        <v>8.74</v>
      </c>
    </row>
    <row r="98" spans="1:22" ht="12.75">
      <c r="A98" s="240" t="s">
        <v>544</v>
      </c>
      <c r="B98" s="33"/>
      <c r="C98" s="33"/>
      <c r="D98" s="33">
        <f>Gabon!$D$80</f>
        <v>5.43047348343182</v>
      </c>
      <c r="E98" s="33">
        <f>Gabon!$D$74</f>
        <v>82.12282145261428</v>
      </c>
      <c r="F98" s="33">
        <f>Gabon!$D$75</f>
        <v>3.3809559428528684</v>
      </c>
      <c r="G98" s="33">
        <f>Gabon!$D$76</f>
        <v>0.09723988331214002</v>
      </c>
      <c r="H98" s="33">
        <f>Gabon!$D$77</f>
        <v>0.23935971276834467</v>
      </c>
      <c r="I98" s="33">
        <f>Gabon!$D$78</f>
        <v>8.729149525020569</v>
      </c>
      <c r="J98" s="104">
        <f>Gabon!$D$79</f>
        <v>0</v>
      </c>
      <c r="M98" s="240" t="s">
        <v>568</v>
      </c>
      <c r="N98" s="33"/>
      <c r="O98" s="33"/>
      <c r="P98" s="33">
        <f>Guinea!$D$66</f>
        <v>666</v>
      </c>
      <c r="Q98" s="33">
        <f>Guinea!$D$60</f>
        <v>5919</v>
      </c>
      <c r="R98" s="33">
        <f>Guinea!$D$61</f>
        <v>4693</v>
      </c>
      <c r="S98" s="33">
        <f>Guinea!$D$62</f>
        <v>0</v>
      </c>
      <c r="T98" s="33">
        <f>Guinea!$D$63</f>
        <v>0</v>
      </c>
      <c r="U98" s="33">
        <f>Guinea!$D$64</f>
        <v>0</v>
      </c>
      <c r="V98" s="104">
        <f>Guinea!$D$65</f>
        <v>0</v>
      </c>
    </row>
    <row r="99" spans="1:22" ht="12.75">
      <c r="A99" s="240" t="s">
        <v>542</v>
      </c>
      <c r="B99" s="33"/>
      <c r="C99" s="33"/>
      <c r="D99" s="33">
        <f>CBrazza!$H$99</f>
        <v>9</v>
      </c>
      <c r="E99" s="33">
        <f>CBrazza!$H$93</f>
        <v>14375</v>
      </c>
      <c r="F99" s="33">
        <f>CBrazza!$H$94</f>
        <v>34</v>
      </c>
      <c r="G99" s="33">
        <f>CBrazza!$H$95</f>
        <v>829</v>
      </c>
      <c r="H99" s="33">
        <f>CBrazza!$H$96</f>
        <v>476</v>
      </c>
      <c r="I99" s="33">
        <f>CBrazza!$H$97</f>
        <v>195</v>
      </c>
      <c r="J99" s="104">
        <f>CBrazza!$H$98</f>
        <v>0</v>
      </c>
      <c r="M99" s="240" t="s">
        <v>632</v>
      </c>
      <c r="N99" s="33"/>
      <c r="O99" s="33"/>
      <c r="P99" s="33">
        <f>Guinea!$D$99</f>
        <v>0</v>
      </c>
      <c r="Q99" s="33">
        <f>Guinea!$D$93</f>
        <v>7824</v>
      </c>
      <c r="R99" s="33">
        <f>Guinea!$D$94</f>
        <v>4926</v>
      </c>
      <c r="S99" s="33">
        <f>Guinea!$D$95</f>
        <v>0</v>
      </c>
      <c r="T99" s="33">
        <f>Guinea!$D$96</f>
        <v>1000</v>
      </c>
      <c r="U99" s="33">
        <f>Guinea!$D$97</f>
        <v>0</v>
      </c>
      <c r="V99" s="104">
        <f>Guinea!$D$98</f>
        <v>250</v>
      </c>
    </row>
    <row r="100" spans="1:22" ht="12.75">
      <c r="A100" s="240" t="s">
        <v>9</v>
      </c>
      <c r="B100" s="33"/>
      <c r="C100" s="33"/>
      <c r="D100" s="33">
        <f>CBrazza!$D$99</f>
        <v>0.05653976630229928</v>
      </c>
      <c r="E100" s="33">
        <f>CBrazza!$D$93</f>
        <v>85.21799221007664</v>
      </c>
      <c r="F100" s="33">
        <f>CBrazza!$D$94</f>
        <v>0.21359467269757507</v>
      </c>
      <c r="G100" s="33">
        <f>CBrazza!$D$95</f>
        <v>5.088578967206935</v>
      </c>
      <c r="H100" s="33">
        <f>CBrazza!$D$96</f>
        <v>5.207940696067345</v>
      </c>
      <c r="I100" s="33">
        <f>CBrazza!$D$97</f>
        <v>4.215353687649202</v>
      </c>
      <c r="J100" s="104">
        <f>CBrazza!$D$98</f>
        <v>0</v>
      </c>
      <c r="M100" s="240" t="s">
        <v>570</v>
      </c>
      <c r="N100" s="33"/>
      <c r="O100" s="33"/>
      <c r="P100" s="33">
        <f>SLeone!$D$83</f>
        <v>0</v>
      </c>
      <c r="Q100" s="33">
        <f>SLeone!$D$77</f>
        <v>49448</v>
      </c>
      <c r="R100" s="33">
        <f>SLeone!$D$78</f>
        <v>1450</v>
      </c>
      <c r="S100" s="33">
        <f>SLeone!$D$79</f>
        <v>0</v>
      </c>
      <c r="T100" s="33">
        <f>SLeone!$D$80</f>
        <v>0</v>
      </c>
      <c r="U100" s="33">
        <f>SLeone!$D$81</f>
        <v>4460</v>
      </c>
      <c r="V100" s="104">
        <f>SLeone!$D$82</f>
        <v>0</v>
      </c>
    </row>
    <row r="101" spans="1:22" ht="12.75">
      <c r="A101" s="240" t="s">
        <v>540</v>
      </c>
      <c r="B101" s="33"/>
      <c r="C101" s="33"/>
      <c r="D101" s="33">
        <f>DRC!$H$432</f>
        <v>118</v>
      </c>
      <c r="E101" s="33">
        <f>DRC!$H$426</f>
        <v>12545.900000000001</v>
      </c>
      <c r="F101" s="33">
        <f>DRC!$H$427</f>
        <v>522.3000000000001</v>
      </c>
      <c r="G101" s="33">
        <f>DRC!$H$428</f>
        <v>977.89</v>
      </c>
      <c r="H101" s="33">
        <f>DRC!$H$429</f>
        <v>3019.2799999999997</v>
      </c>
      <c r="I101" s="33">
        <f>DRC!$H$430</f>
        <v>7555</v>
      </c>
      <c r="J101" s="104">
        <f>DRC!$H$431</f>
        <v>169.63</v>
      </c>
      <c r="M101" s="240" t="s">
        <v>571</v>
      </c>
      <c r="N101" s="33"/>
      <c r="O101" s="33"/>
      <c r="P101" s="33">
        <f>SLeone!$H$115</f>
        <v>0</v>
      </c>
      <c r="Q101" s="33">
        <f>SLeone!$H$109</f>
        <v>38052</v>
      </c>
      <c r="R101" s="33">
        <f>SLeone!$H$110</f>
        <v>1346</v>
      </c>
      <c r="S101" s="33">
        <f>SLeone!$H$111</f>
        <v>0</v>
      </c>
      <c r="T101" s="33">
        <f>SLeone!$H$112</f>
        <v>0</v>
      </c>
      <c r="U101" s="33">
        <f>SLeone!$H$113</f>
        <v>0</v>
      </c>
      <c r="V101" s="104">
        <f>SLeone!$H$114</f>
        <v>4744</v>
      </c>
    </row>
    <row r="102" spans="1:22" ht="12.75">
      <c r="A102" s="240" t="s">
        <v>7</v>
      </c>
      <c r="B102" s="33"/>
      <c r="C102" s="33"/>
      <c r="D102" s="33">
        <f>DRC!$D$432</f>
        <v>118</v>
      </c>
      <c r="E102" s="33">
        <f>DRC!$D$426</f>
        <v>12518.600000000002</v>
      </c>
      <c r="F102" s="33">
        <f>DRC!$D$427</f>
        <v>522.3000000000001</v>
      </c>
      <c r="G102" s="33">
        <f>DRC!$D$428</f>
        <v>124.82</v>
      </c>
      <c r="H102" s="33">
        <f>DRC!$D$429</f>
        <v>2462.359999999999</v>
      </c>
      <c r="I102" s="33">
        <f>DRC!$D$430</f>
        <v>8992.29</v>
      </c>
      <c r="J102" s="104">
        <f>DRC!$D$431</f>
        <v>169.63</v>
      </c>
      <c r="M102" s="240" t="s">
        <v>569</v>
      </c>
      <c r="N102" s="33"/>
      <c r="O102" s="33"/>
      <c r="P102" s="33">
        <f>SLeone!$D$115</f>
        <v>0</v>
      </c>
      <c r="Q102" s="33">
        <f>SLeone!$D$109</f>
        <v>31228</v>
      </c>
      <c r="R102" s="33">
        <f>SLeone!$D$110</f>
        <v>1311</v>
      </c>
      <c r="S102" s="33">
        <f>SLeone!$D$111</f>
        <v>0</v>
      </c>
      <c r="T102" s="33">
        <f>SLeone!$D$112</f>
        <v>0</v>
      </c>
      <c r="U102" s="33">
        <f>SLeone!$D$113</f>
        <v>0</v>
      </c>
      <c r="V102" s="104">
        <f>SLeone!$D$114</f>
        <v>1551</v>
      </c>
    </row>
    <row r="103" spans="1:22" ht="12.75">
      <c r="A103" s="241" t="s">
        <v>539</v>
      </c>
      <c r="B103" s="242"/>
      <c r="C103" s="242"/>
      <c r="D103" s="242">
        <f>DRC!$D$523</f>
        <v>2</v>
      </c>
      <c r="E103" s="242">
        <f>DRC!$D$517</f>
        <v>364.0300000000001</v>
      </c>
      <c r="F103" s="242">
        <f>DRC!$D$518</f>
        <v>58.75</v>
      </c>
      <c r="G103" s="242">
        <f>DRC!$D$519</f>
        <v>0.42</v>
      </c>
      <c r="H103" s="242">
        <f>DRC!$D$520</f>
        <v>10.06</v>
      </c>
      <c r="I103" s="242">
        <f>DRC!$D$521</f>
        <v>118.29000000000002</v>
      </c>
      <c r="J103" s="243">
        <f>DRC!$D$522</f>
        <v>93.44999999999999</v>
      </c>
      <c r="M103" s="240" t="s">
        <v>572</v>
      </c>
      <c r="N103" s="33"/>
      <c r="O103" s="33"/>
      <c r="P103" s="33">
        <f>Liberia!$D$64</f>
        <v>0</v>
      </c>
      <c r="Q103" s="33">
        <f>Liberia!$D$58</f>
        <v>9680</v>
      </c>
      <c r="R103" s="33">
        <f>Liberia!$D$59</f>
        <v>0</v>
      </c>
      <c r="S103" s="33">
        <f>Liberia!$D$60</f>
        <v>0</v>
      </c>
      <c r="T103" s="33">
        <f>Liberia!$D$61</f>
        <v>0</v>
      </c>
      <c r="U103" s="33">
        <f>Liberia!$D$62</f>
        <v>2320</v>
      </c>
      <c r="V103" s="104">
        <f>Liberia!$D$63</f>
        <v>0</v>
      </c>
    </row>
    <row r="104" spans="13:22" ht="12.75">
      <c r="M104" s="240" t="s">
        <v>566</v>
      </c>
      <c r="N104" s="33"/>
      <c r="O104" s="33"/>
      <c r="P104" s="248">
        <f>IvoryC!$D$149</f>
        <v>0</v>
      </c>
      <c r="Q104" s="248">
        <f>IvoryC!$D$143</f>
        <v>700</v>
      </c>
      <c r="R104" s="248">
        <f>IvoryC!$D$144</f>
        <v>0</v>
      </c>
      <c r="S104" s="248">
        <f>IvoryC!$D$145</f>
        <v>0</v>
      </c>
      <c r="T104" s="248">
        <f>IvoryC!$D$146</f>
        <v>0</v>
      </c>
      <c r="U104" s="248">
        <f>IvoryC!$D$147</f>
        <v>200</v>
      </c>
      <c r="V104" s="249">
        <f>IvoryC!$D$148</f>
        <v>4230</v>
      </c>
    </row>
    <row r="105" spans="13:22" ht="12.75">
      <c r="M105" s="241" t="s">
        <v>565</v>
      </c>
      <c r="N105" s="242"/>
      <c r="O105" s="242"/>
      <c r="P105" s="242">
        <f>IvoryC!$D$94</f>
        <v>0</v>
      </c>
      <c r="Q105" s="242">
        <f>IvoryC!$D$88</f>
        <v>2916</v>
      </c>
      <c r="R105" s="242">
        <f>IvoryC!$D$89</f>
        <v>0</v>
      </c>
      <c r="S105" s="242">
        <f>IvoryC!$D$90</f>
        <v>0</v>
      </c>
      <c r="T105" s="242">
        <f>IvoryC!$D$91</f>
        <v>2552</v>
      </c>
      <c r="U105" s="242">
        <f>IvoryC!$D$92</f>
        <v>136</v>
      </c>
      <c r="V105" s="243">
        <f>IvoryC!$D$93</f>
        <v>18258</v>
      </c>
    </row>
    <row r="110" spans="1:61" ht="18">
      <c r="A110" s="250" t="s">
        <v>893</v>
      </c>
      <c r="B110" s="127"/>
      <c r="C110" s="127"/>
      <c r="D110" s="127"/>
      <c r="E110" s="126"/>
      <c r="F110" s="126"/>
      <c r="G110" s="128"/>
      <c r="H110" s="126"/>
      <c r="I110" s="126"/>
      <c r="J110" s="126"/>
      <c r="K110" s="126"/>
      <c r="L110" s="126"/>
      <c r="M110" s="126"/>
      <c r="N110" s="126"/>
      <c r="O110" s="126"/>
      <c r="P110" s="126"/>
      <c r="Q110" s="126"/>
      <c r="R110" s="126"/>
      <c r="S110" s="126"/>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 r="A111" s="137"/>
      <c r="B111" s="138" t="s">
        <v>255</v>
      </c>
      <c r="C111" s="56"/>
      <c r="D111" s="56"/>
      <c r="E111" s="56"/>
      <c r="F111" s="139"/>
      <c r="G111" s="138" t="s">
        <v>37</v>
      </c>
      <c r="H111" s="56"/>
      <c r="I111" s="56"/>
      <c r="J111" s="56"/>
      <c r="K111" s="139"/>
      <c r="L111" s="138" t="s">
        <v>191</v>
      </c>
      <c r="M111" s="56"/>
      <c r="N111" s="56"/>
      <c r="O111" s="56"/>
      <c r="P111" s="139"/>
      <c r="Q111" s="138" t="s">
        <v>254</v>
      </c>
      <c r="R111" s="56"/>
      <c r="S111" s="56"/>
      <c r="T111" s="56"/>
      <c r="U111" s="139"/>
      <c r="V111" s="138" t="s">
        <v>93</v>
      </c>
      <c r="W111" s="56"/>
      <c r="X111" s="56"/>
      <c r="Y111" s="56"/>
      <c r="Z111" s="139"/>
      <c r="AA111" s="138" t="s">
        <v>253</v>
      </c>
      <c r="AB111" s="56"/>
      <c r="AC111" s="56"/>
      <c r="AD111" s="56"/>
      <c r="AE111" s="139"/>
      <c r="AF111" s="138" t="s">
        <v>190</v>
      </c>
      <c r="AG111" s="56"/>
      <c r="AH111" s="56"/>
      <c r="AI111" s="56"/>
      <c r="AJ111" s="139"/>
      <c r="AK111" s="138" t="s">
        <v>185</v>
      </c>
      <c r="AL111" s="56"/>
      <c r="AM111" s="56"/>
      <c r="AN111" s="56"/>
      <c r="AO111" s="139"/>
      <c r="AP111" s="138" t="s">
        <v>252</v>
      </c>
      <c r="AQ111" s="56"/>
      <c r="AR111" s="56"/>
      <c r="AS111" s="56"/>
      <c r="AT111" s="139"/>
      <c r="AU111" s="138" t="s">
        <v>186</v>
      </c>
      <c r="AV111" s="56"/>
      <c r="AW111" s="56"/>
      <c r="AX111" s="56"/>
      <c r="AY111" s="139"/>
      <c r="AZ111" s="138" t="s">
        <v>187</v>
      </c>
      <c r="BA111" s="56"/>
      <c r="BB111" s="56"/>
      <c r="BC111" s="56"/>
      <c r="BD111" s="139"/>
      <c r="BE111" s="138" t="s">
        <v>432</v>
      </c>
      <c r="BF111" s="56"/>
      <c r="BG111" s="56"/>
      <c r="BH111" s="56"/>
      <c r="BI111" s="139"/>
    </row>
    <row r="112" spans="1:61" ht="12.75">
      <c r="A112" s="140"/>
      <c r="B112" s="43" t="s">
        <v>305</v>
      </c>
      <c r="C112" s="43" t="s">
        <v>306</v>
      </c>
      <c r="D112" s="43"/>
      <c r="E112" s="43"/>
      <c r="F112" s="141"/>
      <c r="G112" s="43" t="s">
        <v>305</v>
      </c>
      <c r="H112" s="43" t="s">
        <v>306</v>
      </c>
      <c r="I112" s="43"/>
      <c r="J112" s="43"/>
      <c r="K112" s="141"/>
      <c r="L112" s="43" t="s">
        <v>305</v>
      </c>
      <c r="M112" s="43" t="s">
        <v>306</v>
      </c>
      <c r="N112" s="43"/>
      <c r="O112" s="43"/>
      <c r="P112" s="141"/>
      <c r="Q112" s="43" t="s">
        <v>305</v>
      </c>
      <c r="R112" s="43" t="s">
        <v>306</v>
      </c>
      <c r="S112" s="43"/>
      <c r="T112" s="43"/>
      <c r="U112" s="141"/>
      <c r="V112" s="43" t="s">
        <v>305</v>
      </c>
      <c r="W112" s="43" t="s">
        <v>306</v>
      </c>
      <c r="X112" s="43"/>
      <c r="Y112" s="43"/>
      <c r="Z112" s="141"/>
      <c r="AA112" s="43" t="s">
        <v>305</v>
      </c>
      <c r="AB112" s="43" t="s">
        <v>306</v>
      </c>
      <c r="AC112" s="43"/>
      <c r="AD112" s="43"/>
      <c r="AE112" s="141"/>
      <c r="AF112" s="43" t="s">
        <v>305</v>
      </c>
      <c r="AG112" s="43" t="s">
        <v>306</v>
      </c>
      <c r="AH112" s="43"/>
      <c r="AI112" s="43"/>
      <c r="AJ112" s="141"/>
      <c r="AK112" s="43" t="s">
        <v>305</v>
      </c>
      <c r="AL112" s="43" t="s">
        <v>306</v>
      </c>
      <c r="AM112" s="43"/>
      <c r="AN112" s="43"/>
      <c r="AO112" s="141"/>
      <c r="AP112" s="43" t="s">
        <v>305</v>
      </c>
      <c r="AQ112" s="43" t="s">
        <v>306</v>
      </c>
      <c r="AR112" s="43"/>
      <c r="AS112" s="43"/>
      <c r="AT112" s="141"/>
      <c r="AU112" s="43" t="s">
        <v>305</v>
      </c>
      <c r="AV112" s="43" t="s">
        <v>306</v>
      </c>
      <c r="AW112" s="43"/>
      <c r="AX112" s="43"/>
      <c r="AY112" s="141"/>
      <c r="AZ112" s="43" t="s">
        <v>305</v>
      </c>
      <c r="BA112" s="43" t="s">
        <v>306</v>
      </c>
      <c r="BB112" s="43"/>
      <c r="BC112" s="43"/>
      <c r="BD112" s="141"/>
      <c r="BE112" s="43" t="s">
        <v>305</v>
      </c>
      <c r="BF112" s="43" t="s">
        <v>306</v>
      </c>
      <c r="BG112" s="43"/>
      <c r="BH112" s="43"/>
      <c r="BI112" s="141"/>
    </row>
    <row r="113" spans="1:61" ht="12.75">
      <c r="A113" s="137">
        <v>1910</v>
      </c>
      <c r="B113" s="56"/>
      <c r="C113" s="56"/>
      <c r="D113" s="56"/>
      <c r="E113" s="56"/>
      <c r="F113" s="139"/>
      <c r="G113" s="56"/>
      <c r="H113" s="56"/>
      <c r="I113" s="56"/>
      <c r="J113" s="56"/>
      <c r="K113" s="139"/>
      <c r="L113" s="56"/>
      <c r="M113" s="56"/>
      <c r="N113" s="56"/>
      <c r="O113" s="56"/>
      <c r="P113" s="139"/>
      <c r="Q113" s="56"/>
      <c r="R113" s="56"/>
      <c r="S113" s="56"/>
      <c r="T113" s="56"/>
      <c r="U113" s="139"/>
      <c r="V113" s="56"/>
      <c r="W113" s="56"/>
      <c r="X113" s="56"/>
      <c r="Y113" s="56"/>
      <c r="Z113" s="139"/>
      <c r="AA113" s="56"/>
      <c r="AB113" s="56"/>
      <c r="AC113" s="56"/>
      <c r="AD113" s="56"/>
      <c r="AE113" s="139"/>
      <c r="AF113" s="56"/>
      <c r="AG113" s="56"/>
      <c r="AH113" s="56"/>
      <c r="AI113" s="56"/>
      <c r="AJ113" s="139"/>
      <c r="AK113" s="56"/>
      <c r="AL113" s="56"/>
      <c r="AM113" s="56"/>
      <c r="AN113" s="56"/>
      <c r="AO113" s="139"/>
      <c r="AP113" s="56"/>
      <c r="AQ113" s="56"/>
      <c r="AR113" s="56"/>
      <c r="AS113" s="56"/>
      <c r="AT113" s="139"/>
      <c r="AU113" s="56"/>
      <c r="AV113" s="56"/>
      <c r="AW113" s="56"/>
      <c r="AX113" s="56"/>
      <c r="AY113" s="139"/>
      <c r="AZ113" s="56"/>
      <c r="BA113" s="56"/>
      <c r="BB113" s="56"/>
      <c r="BC113" s="56"/>
      <c r="BD113" s="139"/>
      <c r="BE113" s="56"/>
      <c r="BF113" s="56"/>
      <c r="BG113" s="56"/>
      <c r="BH113" s="56"/>
      <c r="BI113" s="139"/>
    </row>
    <row r="114" spans="1:61" ht="12.75">
      <c r="A114" s="142">
        <f>A113+1</f>
        <v>1911</v>
      </c>
      <c r="B114" s="24"/>
      <c r="C114" s="24"/>
      <c r="D114" s="24"/>
      <c r="E114" s="24"/>
      <c r="F114" s="69"/>
      <c r="G114" s="24"/>
      <c r="H114" s="24"/>
      <c r="I114" s="24"/>
      <c r="J114" s="24"/>
      <c r="K114" s="69"/>
      <c r="L114" s="24"/>
      <c r="M114" s="24"/>
      <c r="N114" s="24"/>
      <c r="O114" s="24"/>
      <c r="P114" s="69"/>
      <c r="Q114" s="24"/>
      <c r="R114" s="24"/>
      <c r="S114" s="24"/>
      <c r="T114" s="24"/>
      <c r="U114" s="69"/>
      <c r="V114" s="24"/>
      <c r="W114" s="24"/>
      <c r="X114" s="24"/>
      <c r="Y114" s="24"/>
      <c r="Z114" s="69"/>
      <c r="AA114" s="24"/>
      <c r="AB114" s="24"/>
      <c r="AC114" s="24"/>
      <c r="AD114" s="24"/>
      <c r="AE114" s="69"/>
      <c r="AF114" s="24"/>
      <c r="AG114" s="24"/>
      <c r="AH114" s="24"/>
      <c r="AI114" s="24"/>
      <c r="AJ114" s="69"/>
      <c r="AK114" s="24"/>
      <c r="AL114" s="24"/>
      <c r="AM114" s="24"/>
      <c r="AN114" s="24"/>
      <c r="AO114" s="69"/>
      <c r="AP114" s="24"/>
      <c r="AQ114" s="24"/>
      <c r="AR114" s="24"/>
      <c r="AS114" s="24"/>
      <c r="AT114" s="69"/>
      <c r="AU114" s="130">
        <f>SLeone!$D$107</f>
        <v>91.74071575242006</v>
      </c>
      <c r="AV114" s="130">
        <f>SLeone!$E$107</f>
        <v>94.18486359636258</v>
      </c>
      <c r="AW114" s="130">
        <f>(AU114+AV114)/2</f>
        <v>92.96278967439132</v>
      </c>
      <c r="AX114" s="130">
        <f>(AV114-AU114)/2</f>
        <v>1.2220739219712584</v>
      </c>
      <c r="AY114" s="131">
        <f>(AV114-AU114)/2</f>
        <v>1.2220739219712584</v>
      </c>
      <c r="AZ114" s="24"/>
      <c r="BA114" s="24"/>
      <c r="BB114" s="24"/>
      <c r="BC114" s="24"/>
      <c r="BD114" s="69"/>
      <c r="BE114" s="24"/>
      <c r="BF114" s="24"/>
      <c r="BG114" s="24"/>
      <c r="BH114" s="24"/>
      <c r="BI114" s="69"/>
    </row>
    <row r="115" spans="1:61" ht="12.75">
      <c r="A115" s="142">
        <f aca="true" t="shared" si="0" ref="A115:A178">A114+1</f>
        <v>1912</v>
      </c>
      <c r="B115" s="130">
        <f>DRC!$D$515</f>
        <v>71.48611602303525</v>
      </c>
      <c r="C115" s="130">
        <f>DRC!$E$515</f>
        <v>78.56130775745258</v>
      </c>
      <c r="D115" s="130">
        <f>(B115+C115)/2</f>
        <v>75.02371189024392</v>
      </c>
      <c r="E115" s="130">
        <f>(C115-B115)/2</f>
        <v>3.5375958672086654</v>
      </c>
      <c r="F115" s="131">
        <f>(C115-B115)/2</f>
        <v>3.5375958672086654</v>
      </c>
      <c r="G115" s="24"/>
      <c r="H115" s="24"/>
      <c r="I115" s="24"/>
      <c r="J115" s="24"/>
      <c r="K115" s="69"/>
      <c r="L115" s="130"/>
      <c r="M115" s="130"/>
      <c r="N115" s="130"/>
      <c r="O115" s="130"/>
      <c r="P115" s="131"/>
      <c r="Q115" s="130"/>
      <c r="R115" s="130"/>
      <c r="S115" s="130"/>
      <c r="T115" s="130"/>
      <c r="U115" s="131"/>
      <c r="V115" s="24"/>
      <c r="W115" s="24"/>
      <c r="X115" s="24"/>
      <c r="Y115" s="24"/>
      <c r="Z115" s="69"/>
      <c r="AA115" s="24"/>
      <c r="AB115" s="24"/>
      <c r="AC115" s="24"/>
      <c r="AD115" s="24"/>
      <c r="AE115" s="69"/>
      <c r="AF115" s="130"/>
      <c r="AG115" s="130"/>
      <c r="AH115" s="130"/>
      <c r="AI115" s="24"/>
      <c r="AJ115" s="69"/>
      <c r="AK115" s="130"/>
      <c r="AL115" s="130"/>
      <c r="AM115" s="130"/>
      <c r="AN115" s="130"/>
      <c r="AO115" s="131"/>
      <c r="AP115" s="24"/>
      <c r="AQ115" s="24"/>
      <c r="AR115" s="24"/>
      <c r="AS115" s="24"/>
      <c r="AT115" s="69"/>
      <c r="AW115" s="24" t="e">
        <v>#N/A</v>
      </c>
      <c r="AY115" s="47"/>
      <c r="AZ115" s="24"/>
      <c r="BA115" s="24"/>
      <c r="BB115" s="24"/>
      <c r="BC115" s="24"/>
      <c r="BD115" s="69"/>
      <c r="BE115" s="24"/>
      <c r="BF115" s="24"/>
      <c r="BG115" s="24"/>
      <c r="BH115" s="24"/>
      <c r="BI115" s="69"/>
    </row>
    <row r="116" spans="1:61" ht="12.75">
      <c r="A116" s="142">
        <f t="shared" si="0"/>
        <v>1913</v>
      </c>
      <c r="B116" s="130"/>
      <c r="C116" s="130"/>
      <c r="D116" s="24" t="e">
        <v>#N/A</v>
      </c>
      <c r="E116" s="130"/>
      <c r="F116" s="131"/>
      <c r="G116" s="24"/>
      <c r="H116" s="24"/>
      <c r="I116" s="24"/>
      <c r="J116" s="24"/>
      <c r="K116" s="69"/>
      <c r="L116" s="130"/>
      <c r="M116" s="130"/>
      <c r="N116" s="130"/>
      <c r="O116" s="130"/>
      <c r="P116" s="131"/>
      <c r="Q116" s="130"/>
      <c r="R116" s="130"/>
      <c r="S116" s="130"/>
      <c r="T116" s="130"/>
      <c r="U116" s="131"/>
      <c r="V116" s="24"/>
      <c r="W116" s="24"/>
      <c r="X116" s="24"/>
      <c r="Y116" s="24"/>
      <c r="Z116" s="69"/>
      <c r="AA116" s="24"/>
      <c r="AB116" s="24"/>
      <c r="AC116" s="24"/>
      <c r="AD116" s="24"/>
      <c r="AE116" s="69"/>
      <c r="AF116" s="130"/>
      <c r="AG116" s="130"/>
      <c r="AH116" s="130"/>
      <c r="AI116" s="24"/>
      <c r="AJ116" s="69"/>
      <c r="AK116" s="130"/>
      <c r="AL116" s="130"/>
      <c r="AM116" s="130"/>
      <c r="AN116" s="130"/>
      <c r="AO116" s="131"/>
      <c r="AP116" s="24"/>
      <c r="AQ116" s="24"/>
      <c r="AR116" s="24"/>
      <c r="AS116" s="24"/>
      <c r="AT116" s="69"/>
      <c r="AU116" s="130"/>
      <c r="AV116" s="130"/>
      <c r="AW116" s="24" t="e">
        <v>#N/A</v>
      </c>
      <c r="AX116" s="130"/>
      <c r="AY116" s="131"/>
      <c r="AZ116" s="24"/>
      <c r="BA116" s="24"/>
      <c r="BB116" s="24"/>
      <c r="BC116" s="24"/>
      <c r="BD116" s="69"/>
      <c r="BE116" s="24"/>
      <c r="BF116" s="24"/>
      <c r="BG116" s="24"/>
      <c r="BH116" s="24"/>
      <c r="BI116" s="69"/>
    </row>
    <row r="117" spans="1:61" ht="12.75">
      <c r="A117" s="142">
        <f t="shared" si="0"/>
        <v>1914</v>
      </c>
      <c r="B117" s="130"/>
      <c r="C117" s="130"/>
      <c r="D117" s="24" t="e">
        <v>#N/A</v>
      </c>
      <c r="E117" s="24"/>
      <c r="F117" s="69"/>
      <c r="G117" s="24"/>
      <c r="H117" s="24"/>
      <c r="I117" s="24"/>
      <c r="J117" s="24"/>
      <c r="K117" s="69"/>
      <c r="L117" s="130"/>
      <c r="M117" s="130"/>
      <c r="N117" s="130"/>
      <c r="O117" s="130"/>
      <c r="P117" s="131"/>
      <c r="Q117" s="130"/>
      <c r="R117" s="130"/>
      <c r="S117" s="130"/>
      <c r="T117" s="130"/>
      <c r="U117" s="131"/>
      <c r="V117" s="24"/>
      <c r="W117" s="24"/>
      <c r="X117" s="24"/>
      <c r="Y117" s="24"/>
      <c r="Z117" s="69"/>
      <c r="AA117" s="24"/>
      <c r="AB117" s="24"/>
      <c r="AC117" s="24"/>
      <c r="AD117" s="24"/>
      <c r="AE117" s="69"/>
      <c r="AF117" s="130"/>
      <c r="AG117" s="130"/>
      <c r="AH117" s="130"/>
      <c r="AI117" s="24"/>
      <c r="AJ117" s="69"/>
      <c r="AK117" s="130"/>
      <c r="AL117" s="130"/>
      <c r="AM117" s="130"/>
      <c r="AN117" s="130"/>
      <c r="AO117" s="131"/>
      <c r="AP117" s="24"/>
      <c r="AQ117" s="24"/>
      <c r="AR117" s="24"/>
      <c r="AS117" s="24"/>
      <c r="AT117" s="69"/>
      <c r="AU117" s="24"/>
      <c r="AV117" s="24"/>
      <c r="AW117" s="24" t="e">
        <v>#N/A</v>
      </c>
      <c r="AX117" s="24"/>
      <c r="AY117" s="69"/>
      <c r="AZ117" s="24"/>
      <c r="BA117" s="24"/>
      <c r="BB117" s="24"/>
      <c r="BC117" s="24"/>
      <c r="BD117" s="69"/>
      <c r="BE117" s="24"/>
      <c r="BF117" s="24"/>
      <c r="BG117" s="24"/>
      <c r="BH117" s="24"/>
      <c r="BI117" s="69"/>
    </row>
    <row r="118" spans="1:61" ht="12.75">
      <c r="A118" s="142">
        <f t="shared" si="0"/>
        <v>1915</v>
      </c>
      <c r="B118" s="130"/>
      <c r="C118" s="130"/>
      <c r="D118" s="24" t="e">
        <v>#N/A</v>
      </c>
      <c r="E118" s="24"/>
      <c r="F118" s="69"/>
      <c r="G118" s="24"/>
      <c r="H118" s="24"/>
      <c r="I118" s="24"/>
      <c r="J118" s="24"/>
      <c r="K118" s="69"/>
      <c r="L118" s="130"/>
      <c r="M118" s="130"/>
      <c r="N118" s="130"/>
      <c r="O118" s="130"/>
      <c r="P118" s="131"/>
      <c r="Q118" s="130"/>
      <c r="R118" s="130"/>
      <c r="S118" s="130"/>
      <c r="T118" s="130"/>
      <c r="U118" s="131"/>
      <c r="V118" s="24"/>
      <c r="W118" s="24"/>
      <c r="X118" s="24"/>
      <c r="Y118" s="24"/>
      <c r="Z118" s="69"/>
      <c r="AA118" s="24"/>
      <c r="AB118" s="24"/>
      <c r="AC118" s="24"/>
      <c r="AD118" s="24"/>
      <c r="AE118" s="69"/>
      <c r="AF118" s="130"/>
      <c r="AG118" s="130"/>
      <c r="AH118" s="130"/>
      <c r="AI118" s="24"/>
      <c r="AJ118" s="69"/>
      <c r="AK118" s="130"/>
      <c r="AL118" s="130"/>
      <c r="AM118" s="130"/>
      <c r="AN118" s="130"/>
      <c r="AO118" s="131"/>
      <c r="AP118" s="24"/>
      <c r="AQ118" s="24"/>
      <c r="AR118" s="24"/>
      <c r="AS118" s="24"/>
      <c r="AT118" s="69"/>
      <c r="AU118" s="24"/>
      <c r="AV118" s="24"/>
      <c r="AW118" s="24" t="e">
        <v>#N/A</v>
      </c>
      <c r="AX118" s="24"/>
      <c r="AY118" s="69"/>
      <c r="AZ118" s="24"/>
      <c r="BA118" s="24"/>
      <c r="BB118" s="24"/>
      <c r="BC118" s="24"/>
      <c r="BD118" s="69"/>
      <c r="BE118" s="24"/>
      <c r="BF118" s="24"/>
      <c r="BG118" s="24"/>
      <c r="BH118" s="24"/>
      <c r="BI118" s="69"/>
    </row>
    <row r="119" spans="1:61" ht="12.75">
      <c r="A119" s="142">
        <f t="shared" si="0"/>
        <v>1916</v>
      </c>
      <c r="B119" s="130"/>
      <c r="C119" s="130"/>
      <c r="D119" s="24" t="e">
        <v>#N/A</v>
      </c>
      <c r="E119" s="24"/>
      <c r="F119" s="69"/>
      <c r="G119" s="24"/>
      <c r="H119" s="24"/>
      <c r="I119" s="24"/>
      <c r="J119" s="24"/>
      <c r="K119" s="69"/>
      <c r="L119" s="130"/>
      <c r="M119" s="130"/>
      <c r="N119" s="130"/>
      <c r="O119" s="130"/>
      <c r="P119" s="131"/>
      <c r="Q119" s="130"/>
      <c r="R119" s="130"/>
      <c r="S119" s="130"/>
      <c r="T119" s="130"/>
      <c r="U119" s="131"/>
      <c r="V119" s="24"/>
      <c r="W119" s="24"/>
      <c r="X119" s="24"/>
      <c r="Y119" s="24"/>
      <c r="Z119" s="69"/>
      <c r="AA119" s="24"/>
      <c r="AB119" s="24"/>
      <c r="AC119" s="24"/>
      <c r="AD119" s="24"/>
      <c r="AE119" s="69"/>
      <c r="AF119" s="130"/>
      <c r="AG119" s="130"/>
      <c r="AH119" s="130"/>
      <c r="AI119" s="24"/>
      <c r="AJ119" s="69"/>
      <c r="AK119" s="130"/>
      <c r="AL119" s="130"/>
      <c r="AM119" s="130"/>
      <c r="AN119" s="130"/>
      <c r="AO119" s="131"/>
      <c r="AP119" s="24"/>
      <c r="AQ119" s="24"/>
      <c r="AR119" s="24"/>
      <c r="AS119" s="24"/>
      <c r="AT119" s="69"/>
      <c r="AU119" s="24"/>
      <c r="AV119" s="24"/>
      <c r="AW119" s="24" t="e">
        <v>#N/A</v>
      </c>
      <c r="AX119" s="24"/>
      <c r="AY119" s="69"/>
      <c r="AZ119" s="24"/>
      <c r="BA119" s="24"/>
      <c r="BB119" s="24"/>
      <c r="BC119" s="24"/>
      <c r="BD119" s="69"/>
      <c r="BE119" s="24"/>
      <c r="BF119" s="24"/>
      <c r="BG119" s="24"/>
      <c r="BH119" s="24"/>
      <c r="BI119" s="69"/>
    </row>
    <row r="120" spans="1:61" ht="12.75">
      <c r="A120" s="142">
        <f t="shared" si="0"/>
        <v>1917</v>
      </c>
      <c r="B120" s="130"/>
      <c r="C120" s="130"/>
      <c r="D120" s="24" t="e">
        <v>#N/A</v>
      </c>
      <c r="E120" s="24"/>
      <c r="F120" s="69"/>
      <c r="G120" s="24"/>
      <c r="H120" s="24"/>
      <c r="I120" s="24"/>
      <c r="J120" s="24"/>
      <c r="K120" s="69"/>
      <c r="L120" s="130"/>
      <c r="M120" s="130"/>
      <c r="N120" s="130"/>
      <c r="O120" s="130"/>
      <c r="P120" s="131"/>
      <c r="Q120" s="130"/>
      <c r="R120" s="130"/>
      <c r="S120" s="130"/>
      <c r="T120" s="130"/>
      <c r="U120" s="131"/>
      <c r="V120" s="24"/>
      <c r="W120" s="24"/>
      <c r="X120" s="24"/>
      <c r="Y120" s="24"/>
      <c r="Z120" s="69"/>
      <c r="AA120" s="24"/>
      <c r="AB120" s="24"/>
      <c r="AC120" s="24"/>
      <c r="AD120" s="24"/>
      <c r="AE120" s="69"/>
      <c r="AF120" s="130"/>
      <c r="AG120" s="130"/>
      <c r="AH120" s="130"/>
      <c r="AI120" s="24"/>
      <c r="AJ120" s="69"/>
      <c r="AK120" s="130"/>
      <c r="AL120" s="130"/>
      <c r="AM120" s="130"/>
      <c r="AN120" s="130"/>
      <c r="AO120" s="131"/>
      <c r="AP120" s="24"/>
      <c r="AQ120" s="24"/>
      <c r="AR120" s="24"/>
      <c r="AS120" s="24"/>
      <c r="AT120" s="69"/>
      <c r="AU120" s="24"/>
      <c r="AV120" s="24"/>
      <c r="AW120" s="24" t="e">
        <v>#N/A</v>
      </c>
      <c r="AX120" s="24"/>
      <c r="AY120" s="69"/>
      <c r="AZ120" s="24"/>
      <c r="BA120" s="24"/>
      <c r="BB120" s="24"/>
      <c r="BC120" s="24"/>
      <c r="BD120" s="69"/>
      <c r="BE120" s="24"/>
      <c r="BF120" s="24"/>
      <c r="BG120" s="24"/>
      <c r="BH120" s="24"/>
      <c r="BI120" s="69"/>
    </row>
    <row r="121" spans="1:61" ht="12.75">
      <c r="A121" s="142">
        <f t="shared" si="0"/>
        <v>1918</v>
      </c>
      <c r="B121" s="130"/>
      <c r="C121" s="130"/>
      <c r="D121" s="24" t="e">
        <v>#N/A</v>
      </c>
      <c r="E121" s="130"/>
      <c r="F121" s="131"/>
      <c r="G121" s="24"/>
      <c r="H121" s="24"/>
      <c r="I121" s="24"/>
      <c r="J121" s="24"/>
      <c r="K121" s="69"/>
      <c r="L121" s="130"/>
      <c r="M121" s="130"/>
      <c r="N121" s="130"/>
      <c r="O121" s="130"/>
      <c r="P121" s="131"/>
      <c r="Q121" s="130"/>
      <c r="R121" s="130"/>
      <c r="S121" s="130"/>
      <c r="T121" s="130"/>
      <c r="U121" s="131"/>
      <c r="V121" s="24"/>
      <c r="W121" s="24"/>
      <c r="X121" s="24"/>
      <c r="Y121" s="24"/>
      <c r="Z121" s="69"/>
      <c r="AA121" s="24"/>
      <c r="AB121" s="24"/>
      <c r="AC121" s="24"/>
      <c r="AD121" s="24"/>
      <c r="AE121" s="69"/>
      <c r="AF121" s="130"/>
      <c r="AG121" s="130"/>
      <c r="AH121" s="130"/>
      <c r="AI121" s="24"/>
      <c r="AJ121" s="69"/>
      <c r="AK121" s="130"/>
      <c r="AL121" s="130"/>
      <c r="AM121" s="130"/>
      <c r="AN121" s="130"/>
      <c r="AO121" s="131"/>
      <c r="AP121" s="24"/>
      <c r="AQ121" s="24"/>
      <c r="AR121" s="24"/>
      <c r="AS121" s="24"/>
      <c r="AT121" s="69"/>
      <c r="AU121" s="24"/>
      <c r="AV121" s="24"/>
      <c r="AW121" s="24" t="e">
        <v>#N/A</v>
      </c>
      <c r="AX121" s="24"/>
      <c r="AY121" s="69"/>
      <c r="AZ121" s="24"/>
      <c r="BA121" s="24"/>
      <c r="BB121" s="24"/>
      <c r="BC121" s="24"/>
      <c r="BD121" s="69"/>
      <c r="BE121" s="24"/>
      <c r="BF121" s="24"/>
      <c r="BG121" s="24"/>
      <c r="BH121" s="24"/>
      <c r="BI121" s="69"/>
    </row>
    <row r="122" spans="1:61" ht="12.75">
      <c r="A122" s="142">
        <f t="shared" si="0"/>
        <v>1919</v>
      </c>
      <c r="B122" s="130">
        <f>DRC!$D$424</f>
        <v>73.46177634138073</v>
      </c>
      <c r="C122" s="130">
        <f>DRC!$E$424</f>
        <v>82.54465389076243</v>
      </c>
      <c r="D122" s="130">
        <f>(B122+C122)/2</f>
        <v>78.00321511607157</v>
      </c>
      <c r="E122" s="130">
        <f>(C122-B122)/2</f>
        <v>4.541438774690853</v>
      </c>
      <c r="F122" s="131">
        <f>(C122-B122)/2</f>
        <v>4.541438774690853</v>
      </c>
      <c r="G122" s="130">
        <f>CBrazza!$D$91</f>
        <v>91.58806312909213</v>
      </c>
      <c r="H122" s="130">
        <f>CBrazza!$E$91</f>
        <v>94.88856570479261</v>
      </c>
      <c r="I122" s="130">
        <f>(G122+H122)/2</f>
        <v>93.23831441694237</v>
      </c>
      <c r="J122" s="130">
        <f>(H122-G122)/2</f>
        <v>1.6502512878502387</v>
      </c>
      <c r="K122" s="131">
        <f>(H122-G122)/2</f>
        <v>1.6502512878502387</v>
      </c>
      <c r="L122" s="130"/>
      <c r="M122" s="130"/>
      <c r="N122" s="130"/>
      <c r="O122" s="130"/>
      <c r="P122" s="131"/>
      <c r="Q122" s="130"/>
      <c r="R122" s="130"/>
      <c r="S122" s="130"/>
      <c r="T122" s="130"/>
      <c r="U122" s="131"/>
      <c r="V122" s="24"/>
      <c r="W122" s="24"/>
      <c r="X122" s="24"/>
      <c r="Y122" s="24"/>
      <c r="Z122" s="69"/>
      <c r="AA122" s="24"/>
      <c r="AB122" s="24"/>
      <c r="AC122" s="24"/>
      <c r="AD122" s="24"/>
      <c r="AE122" s="69"/>
      <c r="AF122" s="130"/>
      <c r="AG122" s="130"/>
      <c r="AH122" s="130"/>
      <c r="AI122" s="24"/>
      <c r="AJ122" s="69"/>
      <c r="AK122" s="130"/>
      <c r="AL122" s="130"/>
      <c r="AM122" s="130"/>
      <c r="AN122" s="130"/>
      <c r="AO122" s="131"/>
      <c r="AP122" s="24"/>
      <c r="AQ122" s="24"/>
      <c r="AR122" s="24"/>
      <c r="AS122" s="24"/>
      <c r="AT122" s="69"/>
      <c r="AU122" s="24"/>
      <c r="AV122" s="24"/>
      <c r="AW122" s="24" t="e">
        <v>#N/A</v>
      </c>
      <c r="AX122" s="24"/>
      <c r="AY122" s="69"/>
      <c r="AZ122" s="24"/>
      <c r="BA122" s="24"/>
      <c r="BB122" s="24"/>
      <c r="BC122" s="24"/>
      <c r="BD122" s="69"/>
      <c r="BE122" s="24"/>
      <c r="BF122" s="24"/>
      <c r="BG122" s="24"/>
      <c r="BH122" s="24"/>
      <c r="BI122" s="69"/>
    </row>
    <row r="123" spans="1:61" ht="12.75">
      <c r="A123" s="137">
        <f t="shared" si="0"/>
        <v>1920</v>
      </c>
      <c r="B123" s="37"/>
      <c r="C123" s="37"/>
      <c r="D123" s="56" t="e">
        <v>#N/A</v>
      </c>
      <c r="E123" s="37"/>
      <c r="F123" s="46"/>
      <c r="G123" s="37"/>
      <c r="H123" s="37"/>
      <c r="I123" s="56" t="e">
        <v>#N/A</v>
      </c>
      <c r="J123" s="37"/>
      <c r="K123" s="46"/>
      <c r="L123" s="219"/>
      <c r="M123" s="219"/>
      <c r="N123" s="219"/>
      <c r="O123" s="219"/>
      <c r="P123" s="267"/>
      <c r="Q123" s="219"/>
      <c r="R123" s="219"/>
      <c r="S123" s="219"/>
      <c r="T123" s="219"/>
      <c r="U123" s="267"/>
      <c r="V123" s="56"/>
      <c r="W123" s="56"/>
      <c r="X123" s="56"/>
      <c r="Y123" s="56"/>
      <c r="Z123" s="139"/>
      <c r="AA123" s="56"/>
      <c r="AB123" s="56"/>
      <c r="AC123" s="56"/>
      <c r="AD123" s="56"/>
      <c r="AE123" s="139"/>
      <c r="AF123" s="219"/>
      <c r="AG123" s="219"/>
      <c r="AH123" s="219"/>
      <c r="AI123" s="56"/>
      <c r="AJ123" s="139"/>
      <c r="AK123" s="219"/>
      <c r="AL123" s="219"/>
      <c r="AM123" s="219"/>
      <c r="AN123" s="219"/>
      <c r="AO123" s="267"/>
      <c r="AP123" s="56"/>
      <c r="AQ123" s="56"/>
      <c r="AR123" s="56"/>
      <c r="AS123" s="56"/>
      <c r="AT123" s="139"/>
      <c r="AU123" s="56"/>
      <c r="AV123" s="56"/>
      <c r="AW123" s="56" t="e">
        <v>#N/A</v>
      </c>
      <c r="AX123" s="56"/>
      <c r="AY123" s="139"/>
      <c r="AZ123" s="56"/>
      <c r="BA123" s="56"/>
      <c r="BB123" s="56"/>
      <c r="BC123" s="56"/>
      <c r="BD123" s="139"/>
      <c r="BE123" s="56"/>
      <c r="BF123" s="56"/>
      <c r="BG123" s="56"/>
      <c r="BH123" s="56"/>
      <c r="BI123" s="139"/>
    </row>
    <row r="124" spans="1:61" ht="12.75">
      <c r="A124" s="142">
        <f t="shared" si="0"/>
        <v>1921</v>
      </c>
      <c r="B124" s="130"/>
      <c r="C124" s="130"/>
      <c r="D124" s="24" t="e">
        <v>#N/A</v>
      </c>
      <c r="E124" s="130"/>
      <c r="F124" s="131"/>
      <c r="G124" s="130"/>
      <c r="H124" s="130"/>
      <c r="I124" s="24" t="e">
        <v>#N/A</v>
      </c>
      <c r="J124" s="130"/>
      <c r="K124" s="131"/>
      <c r="L124" s="130"/>
      <c r="M124" s="130"/>
      <c r="N124" s="130"/>
      <c r="O124" s="130"/>
      <c r="P124" s="131"/>
      <c r="Q124" s="130"/>
      <c r="R124" s="130"/>
      <c r="S124" s="130"/>
      <c r="T124" s="130"/>
      <c r="U124" s="131"/>
      <c r="V124" s="24"/>
      <c r="W124" s="24"/>
      <c r="X124" s="24"/>
      <c r="Y124" s="24"/>
      <c r="Z124" s="69"/>
      <c r="AA124" s="24"/>
      <c r="AB124" s="24"/>
      <c r="AC124" s="24"/>
      <c r="AD124" s="24"/>
      <c r="AE124" s="69"/>
      <c r="AF124" s="130"/>
      <c r="AG124" s="130"/>
      <c r="AH124" s="130"/>
      <c r="AI124" s="24"/>
      <c r="AJ124" s="69"/>
      <c r="AK124" s="130"/>
      <c r="AL124" s="130"/>
      <c r="AM124" s="130"/>
      <c r="AN124" s="130"/>
      <c r="AO124" s="131"/>
      <c r="AP124" s="24"/>
      <c r="AQ124" s="24"/>
      <c r="AR124" s="24"/>
      <c r="AS124" s="24"/>
      <c r="AT124" s="69"/>
      <c r="AU124" s="130">
        <f>SLeone!$H$107</f>
        <v>85.92680591424646</v>
      </c>
      <c r="AV124" s="130">
        <f>SLeone!$I$107</f>
        <v>89.34241110758714</v>
      </c>
      <c r="AW124" s="130">
        <f>(AU124+AV124)/2</f>
        <v>87.63460851091679</v>
      </c>
      <c r="AX124" s="130">
        <f>(AV124-AU124)/2</f>
        <v>1.7078025966703407</v>
      </c>
      <c r="AY124" s="131">
        <f>(AV124-AU124)/2</f>
        <v>1.7078025966703407</v>
      </c>
      <c r="BD124" s="47"/>
      <c r="BE124" s="24"/>
      <c r="BF124" s="24"/>
      <c r="BG124" s="24"/>
      <c r="BH124" s="24"/>
      <c r="BI124" s="69"/>
    </row>
    <row r="125" spans="1:61" ht="12.75">
      <c r="A125" s="142">
        <f t="shared" si="0"/>
        <v>1922</v>
      </c>
      <c r="B125" s="130"/>
      <c r="C125" s="130"/>
      <c r="D125" s="24" t="e">
        <v>#N/A</v>
      </c>
      <c r="E125" s="130"/>
      <c r="F125" s="131"/>
      <c r="G125" s="24"/>
      <c r="H125" s="24"/>
      <c r="I125" s="24" t="e">
        <v>#N/A</v>
      </c>
      <c r="J125" s="24"/>
      <c r="K125" s="69"/>
      <c r="L125" s="130"/>
      <c r="M125" s="130"/>
      <c r="N125" s="130"/>
      <c r="O125" s="130"/>
      <c r="P125" s="131"/>
      <c r="Q125" s="130"/>
      <c r="R125" s="130"/>
      <c r="S125" s="130"/>
      <c r="T125" s="130"/>
      <c r="U125" s="131"/>
      <c r="V125" s="24"/>
      <c r="W125" s="24"/>
      <c r="X125" s="24"/>
      <c r="Y125" s="24"/>
      <c r="Z125" s="69"/>
      <c r="AA125" s="24"/>
      <c r="AB125" s="24"/>
      <c r="AC125" s="24"/>
      <c r="AD125" s="24"/>
      <c r="AE125" s="69"/>
      <c r="AF125" s="130"/>
      <c r="AG125" s="130"/>
      <c r="AH125" s="130"/>
      <c r="AI125" s="24"/>
      <c r="AJ125" s="69"/>
      <c r="AK125" s="130"/>
      <c r="AL125" s="130"/>
      <c r="AM125" s="130"/>
      <c r="AN125" s="130"/>
      <c r="AO125" s="131"/>
      <c r="AP125" s="24"/>
      <c r="AQ125" s="24"/>
      <c r="AR125" s="24"/>
      <c r="AS125" s="24"/>
      <c r="AT125" s="69"/>
      <c r="AW125" s="24" t="e">
        <v>#N/A</v>
      </c>
      <c r="AY125" s="47"/>
      <c r="BD125" s="47"/>
      <c r="BE125" s="24"/>
      <c r="BF125" s="24"/>
      <c r="BG125" s="24"/>
      <c r="BH125" s="24"/>
      <c r="BI125" s="69"/>
    </row>
    <row r="126" spans="1:61" ht="12.75">
      <c r="A126" s="142">
        <f t="shared" si="0"/>
        <v>1923</v>
      </c>
      <c r="B126" s="130"/>
      <c r="C126" s="130"/>
      <c r="D126" s="24" t="e">
        <v>#N/A</v>
      </c>
      <c r="E126" s="130"/>
      <c r="F126" s="131"/>
      <c r="G126" s="24"/>
      <c r="H126" s="24"/>
      <c r="I126" s="24" t="e">
        <v>#N/A</v>
      </c>
      <c r="J126" s="24"/>
      <c r="K126" s="69"/>
      <c r="L126" s="130"/>
      <c r="M126" s="130"/>
      <c r="N126" s="130"/>
      <c r="O126" s="130"/>
      <c r="P126" s="131"/>
      <c r="Q126" s="130"/>
      <c r="R126" s="130"/>
      <c r="S126" s="130"/>
      <c r="T126" s="130"/>
      <c r="U126" s="131"/>
      <c r="V126" s="24"/>
      <c r="W126" s="24"/>
      <c r="X126" s="24"/>
      <c r="Y126" s="24"/>
      <c r="Z126" s="69"/>
      <c r="AA126" s="24"/>
      <c r="AB126" s="24"/>
      <c r="AC126" s="24"/>
      <c r="AD126" s="24"/>
      <c r="AE126" s="69"/>
      <c r="AF126" s="130"/>
      <c r="AG126" s="130"/>
      <c r="AH126" s="130"/>
      <c r="AI126" s="24"/>
      <c r="AJ126" s="69"/>
      <c r="AK126" s="130"/>
      <c r="AL126" s="130"/>
      <c r="AM126" s="130"/>
      <c r="AN126" s="130"/>
      <c r="AO126" s="131"/>
      <c r="AP126" s="24"/>
      <c r="AQ126" s="24"/>
      <c r="AR126" s="24"/>
      <c r="AS126" s="24"/>
      <c r="AT126" s="69"/>
      <c r="AU126" s="130"/>
      <c r="AV126" s="130"/>
      <c r="AW126" s="24" t="e">
        <v>#N/A</v>
      </c>
      <c r="AX126" s="130"/>
      <c r="AY126" s="131"/>
      <c r="AZ126" s="130">
        <f>Guinea!$F$91</f>
        <v>85.59692307692308</v>
      </c>
      <c r="BA126" s="130">
        <f>Guinea!$G$91</f>
        <v>92.38612777777777</v>
      </c>
      <c r="BB126" s="130">
        <f>(AZ126+BA126)/2</f>
        <v>88.99152542735042</v>
      </c>
      <c r="BC126" s="130">
        <f>(BA126-AZ126)/2</f>
        <v>3.3946023504273484</v>
      </c>
      <c r="BD126" s="131">
        <f>(BA126-AZ126)/2</f>
        <v>3.3946023504273484</v>
      </c>
      <c r="BE126" s="24"/>
      <c r="BF126" s="24"/>
      <c r="BG126" s="24"/>
      <c r="BH126" s="24"/>
      <c r="BI126" s="69"/>
    </row>
    <row r="127" spans="1:61" ht="12.75">
      <c r="A127" s="142">
        <f t="shared" si="0"/>
        <v>1924</v>
      </c>
      <c r="B127" s="130"/>
      <c r="C127" s="130"/>
      <c r="D127" s="24" t="e">
        <v>#N/A</v>
      </c>
      <c r="E127" s="24"/>
      <c r="F127" s="69"/>
      <c r="G127" s="24"/>
      <c r="H127" s="24"/>
      <c r="I127" s="24" t="e">
        <v>#N/A</v>
      </c>
      <c r="J127" s="24"/>
      <c r="K127" s="69"/>
      <c r="L127" s="130"/>
      <c r="M127" s="130"/>
      <c r="N127" s="130"/>
      <c r="O127" s="130"/>
      <c r="P127" s="131"/>
      <c r="Q127" s="130"/>
      <c r="R127" s="130"/>
      <c r="S127" s="130"/>
      <c r="T127" s="130"/>
      <c r="U127" s="131"/>
      <c r="V127" s="24"/>
      <c r="W127" s="24"/>
      <c r="X127" s="24"/>
      <c r="Y127" s="24"/>
      <c r="Z127" s="69"/>
      <c r="AA127" s="24"/>
      <c r="AB127" s="24"/>
      <c r="AC127" s="24"/>
      <c r="AD127" s="24"/>
      <c r="AE127" s="69"/>
      <c r="AF127" s="130"/>
      <c r="AG127" s="130"/>
      <c r="AH127" s="130"/>
      <c r="AI127" s="24"/>
      <c r="AJ127" s="69"/>
      <c r="AK127" s="130"/>
      <c r="AL127" s="130"/>
      <c r="AM127" s="130"/>
      <c r="AN127" s="130"/>
      <c r="AO127" s="131"/>
      <c r="AP127" s="24"/>
      <c r="AQ127" s="24"/>
      <c r="AR127" s="24"/>
      <c r="AS127" s="24"/>
      <c r="AT127" s="69"/>
      <c r="AU127" s="24"/>
      <c r="AV127" s="24"/>
      <c r="AW127" s="24" t="e">
        <v>#N/A</v>
      </c>
      <c r="AX127" s="24"/>
      <c r="AY127" s="69"/>
      <c r="AZ127" s="24"/>
      <c r="BA127" s="24"/>
      <c r="BB127" s="24" t="e">
        <v>#N/A</v>
      </c>
      <c r="BC127" s="24"/>
      <c r="BD127" s="69"/>
      <c r="BE127" s="24"/>
      <c r="BF127" s="24"/>
      <c r="BG127" s="24"/>
      <c r="BH127" s="24"/>
      <c r="BI127" s="69"/>
    </row>
    <row r="128" spans="1:61" ht="12.75">
      <c r="A128" s="142">
        <f t="shared" si="0"/>
        <v>1925</v>
      </c>
      <c r="B128" s="130"/>
      <c r="C128" s="130"/>
      <c r="D128" s="24" t="e">
        <v>#N/A</v>
      </c>
      <c r="E128" s="24"/>
      <c r="F128" s="69"/>
      <c r="G128" s="24"/>
      <c r="H128" s="24"/>
      <c r="I128" s="24" t="e">
        <v>#N/A</v>
      </c>
      <c r="J128" s="24"/>
      <c r="K128" s="69"/>
      <c r="L128" s="130"/>
      <c r="M128" s="130"/>
      <c r="N128" s="130"/>
      <c r="O128" s="130"/>
      <c r="P128" s="131"/>
      <c r="Q128" s="130">
        <f>Cameroon!$D$119</f>
        <v>76.10368291106798</v>
      </c>
      <c r="R128" s="130">
        <f>Cameroon!$E$119</f>
        <v>89.12162690143298</v>
      </c>
      <c r="S128" s="130">
        <f>(Q128+R128)/2</f>
        <v>82.61265490625047</v>
      </c>
      <c r="T128" s="130">
        <f>(R128-Q128)/2</f>
        <v>6.508971995182499</v>
      </c>
      <c r="U128" s="131">
        <f>(R128-Q128)/2</f>
        <v>6.508971995182499</v>
      </c>
      <c r="V128" s="24"/>
      <c r="W128" s="24"/>
      <c r="X128" s="24"/>
      <c r="Y128" s="24"/>
      <c r="Z128" s="69"/>
      <c r="AA128" s="24"/>
      <c r="AB128" s="24"/>
      <c r="AC128" s="24"/>
      <c r="AD128" s="24"/>
      <c r="AE128" s="69"/>
      <c r="AF128" s="130"/>
      <c r="AG128" s="130"/>
      <c r="AH128" s="130"/>
      <c r="AI128" s="24"/>
      <c r="AJ128" s="69"/>
      <c r="AK128" s="130"/>
      <c r="AL128" s="130"/>
      <c r="AM128" s="130"/>
      <c r="AN128" s="130"/>
      <c r="AO128" s="131"/>
      <c r="AP128" s="24"/>
      <c r="AQ128" s="24"/>
      <c r="AR128" s="24"/>
      <c r="AS128" s="24"/>
      <c r="AT128" s="69"/>
      <c r="AU128" s="24"/>
      <c r="AV128" s="24"/>
      <c r="AW128" s="24" t="e">
        <v>#N/A</v>
      </c>
      <c r="AX128" s="24"/>
      <c r="AY128" s="69"/>
      <c r="AZ128" s="24"/>
      <c r="BA128" s="24"/>
      <c r="BB128" s="24" t="e">
        <v>#N/A</v>
      </c>
      <c r="BC128" s="24"/>
      <c r="BD128" s="69"/>
      <c r="BE128" s="24"/>
      <c r="BF128" s="24"/>
      <c r="BG128" s="24"/>
      <c r="BH128" s="24"/>
      <c r="BI128" s="69"/>
    </row>
    <row r="129" spans="1:61" ht="12.75">
      <c r="A129" s="142">
        <f t="shared" si="0"/>
        <v>1926</v>
      </c>
      <c r="B129" s="130"/>
      <c r="C129" s="130"/>
      <c r="D129" s="24" t="e">
        <v>#N/A</v>
      </c>
      <c r="E129" s="24"/>
      <c r="F129" s="69"/>
      <c r="G129" s="24"/>
      <c r="H129" s="24"/>
      <c r="I129" s="24" t="e">
        <v>#N/A</v>
      </c>
      <c r="J129" s="24"/>
      <c r="K129" s="69"/>
      <c r="L129" s="130"/>
      <c r="M129" s="130"/>
      <c r="N129" s="130"/>
      <c r="O129" s="130"/>
      <c r="P129" s="131"/>
      <c r="S129" s="24" t="e">
        <v>#N/A</v>
      </c>
      <c r="U129" s="47"/>
      <c r="V129" s="24"/>
      <c r="W129" s="24"/>
      <c r="X129" s="24"/>
      <c r="Y129" s="24"/>
      <c r="Z129" s="69"/>
      <c r="AA129" s="24"/>
      <c r="AB129" s="24"/>
      <c r="AC129" s="24"/>
      <c r="AD129" s="24"/>
      <c r="AE129" s="69"/>
      <c r="AF129" s="130"/>
      <c r="AG129" s="130"/>
      <c r="AH129" s="130"/>
      <c r="AI129" s="24"/>
      <c r="AJ129" s="69"/>
      <c r="AK129" s="130"/>
      <c r="AL129" s="130"/>
      <c r="AM129" s="130"/>
      <c r="AN129" s="130"/>
      <c r="AO129" s="131"/>
      <c r="AP129" s="24"/>
      <c r="AQ129" s="24"/>
      <c r="AR129" s="24"/>
      <c r="AS129" s="24"/>
      <c r="AT129" s="69"/>
      <c r="AU129" s="130"/>
      <c r="AV129" s="130"/>
      <c r="AW129" s="24" t="e">
        <v>#N/A</v>
      </c>
      <c r="AX129" s="130"/>
      <c r="AY129" s="131"/>
      <c r="AZ129" s="24"/>
      <c r="BA129" s="24"/>
      <c r="BB129" s="24" t="e">
        <v>#N/A</v>
      </c>
      <c r="BC129" s="24"/>
      <c r="BD129" s="69"/>
      <c r="BE129" s="24"/>
      <c r="BF129" s="24"/>
      <c r="BG129" s="24"/>
      <c r="BH129" s="24"/>
      <c r="BI129" s="69"/>
    </row>
    <row r="130" spans="1:61" ht="12.75">
      <c r="A130" s="142">
        <f t="shared" si="0"/>
        <v>1927</v>
      </c>
      <c r="B130" s="130">
        <f>DRC!$H$424</f>
        <v>79.62620316096569</v>
      </c>
      <c r="C130" s="130">
        <f>DRC!$I$424</f>
        <v>86.86049495476686</v>
      </c>
      <c r="D130" s="130">
        <f>(B130+C130)/2</f>
        <v>83.24334905786628</v>
      </c>
      <c r="E130" s="130">
        <f>(C130-B130)/2</f>
        <v>3.6171458969005883</v>
      </c>
      <c r="F130" s="131">
        <f>(C130-B130)/2</f>
        <v>3.6171458969005883</v>
      </c>
      <c r="G130" s="24"/>
      <c r="H130" s="24"/>
      <c r="I130" s="24" t="e">
        <v>#N/A</v>
      </c>
      <c r="J130" s="24"/>
      <c r="K130" s="69"/>
      <c r="L130" s="130"/>
      <c r="M130" s="130"/>
      <c r="N130" s="130"/>
      <c r="O130" s="130"/>
      <c r="P130" s="131"/>
      <c r="Q130" s="130"/>
      <c r="R130" s="130"/>
      <c r="S130" s="24" t="e">
        <v>#N/A</v>
      </c>
      <c r="T130" s="130"/>
      <c r="U130" s="131"/>
      <c r="V130" s="24"/>
      <c r="W130" s="24"/>
      <c r="X130" s="24"/>
      <c r="Y130" s="24"/>
      <c r="Z130" s="69"/>
      <c r="AA130" s="24"/>
      <c r="AB130" s="24"/>
      <c r="AC130" s="24"/>
      <c r="AD130" s="24"/>
      <c r="AE130" s="69"/>
      <c r="AF130" s="130"/>
      <c r="AG130" s="130"/>
      <c r="AH130" s="130"/>
      <c r="AI130" s="24"/>
      <c r="AJ130" s="69"/>
      <c r="AK130" s="130"/>
      <c r="AL130" s="130"/>
      <c r="AM130" s="130"/>
      <c r="AN130" s="130"/>
      <c r="AO130" s="131"/>
      <c r="AP130" s="24"/>
      <c r="AQ130" s="24"/>
      <c r="AR130" s="24"/>
      <c r="AS130" s="24"/>
      <c r="AT130" s="69"/>
      <c r="AU130" s="130"/>
      <c r="AV130" s="130"/>
      <c r="AW130" s="24" t="e">
        <v>#N/A</v>
      </c>
      <c r="AX130" s="130"/>
      <c r="AY130" s="131"/>
      <c r="AZ130" s="24"/>
      <c r="BA130" s="24"/>
      <c r="BB130" s="24" t="e">
        <v>#N/A</v>
      </c>
      <c r="BC130" s="24"/>
      <c r="BD130" s="69"/>
      <c r="BE130" s="24"/>
      <c r="BF130" s="24"/>
      <c r="BG130" s="24"/>
      <c r="BH130" s="24"/>
      <c r="BI130" s="69"/>
    </row>
    <row r="131" spans="1:61" ht="12.75">
      <c r="A131" s="142">
        <f t="shared" si="0"/>
        <v>1928</v>
      </c>
      <c r="D131" s="24" t="e">
        <v>#N/A</v>
      </c>
      <c r="F131" s="47"/>
      <c r="G131" s="24"/>
      <c r="H131" s="24"/>
      <c r="I131" s="24" t="e">
        <v>#N/A</v>
      </c>
      <c r="J131" s="24"/>
      <c r="K131" s="69"/>
      <c r="L131" s="130"/>
      <c r="M131" s="130"/>
      <c r="N131" s="130"/>
      <c r="O131" s="130"/>
      <c r="P131" s="131"/>
      <c r="Q131" s="24"/>
      <c r="R131" s="24"/>
      <c r="S131" s="24" t="e">
        <v>#N/A</v>
      </c>
      <c r="T131" s="24"/>
      <c r="U131" s="69"/>
      <c r="V131" s="24"/>
      <c r="W131" s="24"/>
      <c r="X131" s="24"/>
      <c r="Y131" s="24"/>
      <c r="Z131" s="69"/>
      <c r="AA131" s="24"/>
      <c r="AB131" s="24"/>
      <c r="AC131" s="24"/>
      <c r="AD131" s="24"/>
      <c r="AE131" s="69"/>
      <c r="AF131" s="24"/>
      <c r="AG131" s="24"/>
      <c r="AH131" s="24"/>
      <c r="AI131" s="24"/>
      <c r="AJ131" s="69"/>
      <c r="AK131" s="130"/>
      <c r="AL131" s="130"/>
      <c r="AM131" s="130"/>
      <c r="AN131" s="130"/>
      <c r="AO131" s="131"/>
      <c r="AP131" s="24"/>
      <c r="AQ131" s="24"/>
      <c r="AR131" s="24"/>
      <c r="AS131" s="24"/>
      <c r="AT131" s="69"/>
      <c r="AU131" s="24"/>
      <c r="AV131" s="24"/>
      <c r="AW131" s="24" t="e">
        <v>#N/A</v>
      </c>
      <c r="AX131" s="24"/>
      <c r="AY131" s="69"/>
      <c r="AZ131" s="24"/>
      <c r="BA131" s="24"/>
      <c r="BB131" s="24" t="e">
        <v>#N/A</v>
      </c>
      <c r="BC131" s="24"/>
      <c r="BD131" s="69"/>
      <c r="BE131" s="24"/>
      <c r="BF131" s="24"/>
      <c r="BG131" s="24"/>
      <c r="BH131" s="24"/>
      <c r="BI131" s="69"/>
    </row>
    <row r="132" spans="1:61" ht="12.75">
      <c r="A132" s="142">
        <f t="shared" si="0"/>
        <v>1929</v>
      </c>
      <c r="B132" s="130"/>
      <c r="C132" s="130"/>
      <c r="D132" s="24" t="e">
        <v>#N/A</v>
      </c>
      <c r="E132" s="130"/>
      <c r="F132" s="131"/>
      <c r="G132" s="24"/>
      <c r="H132" s="24"/>
      <c r="I132" s="24" t="e">
        <v>#N/A</v>
      </c>
      <c r="J132" s="24"/>
      <c r="K132" s="69"/>
      <c r="L132" s="130"/>
      <c r="M132" s="130"/>
      <c r="N132" s="130"/>
      <c r="O132" s="130"/>
      <c r="P132" s="131"/>
      <c r="Q132" s="24"/>
      <c r="R132" s="24"/>
      <c r="S132" s="24" t="e">
        <v>#N/A</v>
      </c>
      <c r="T132" s="24"/>
      <c r="U132" s="69"/>
      <c r="V132" s="24"/>
      <c r="W132" s="24"/>
      <c r="X132" s="24"/>
      <c r="Y132" s="24"/>
      <c r="Z132" s="69"/>
      <c r="AA132" s="24"/>
      <c r="AB132" s="24"/>
      <c r="AC132" s="24"/>
      <c r="AD132" s="24"/>
      <c r="AE132" s="69"/>
      <c r="AF132" s="24"/>
      <c r="AG132" s="24"/>
      <c r="AH132" s="24"/>
      <c r="AI132" s="24"/>
      <c r="AJ132" s="69"/>
      <c r="AK132" s="130"/>
      <c r="AL132" s="130"/>
      <c r="AM132" s="130"/>
      <c r="AN132" s="130"/>
      <c r="AO132" s="131"/>
      <c r="AP132" s="24"/>
      <c r="AQ132" s="24"/>
      <c r="AR132" s="24"/>
      <c r="AS132" s="24"/>
      <c r="AT132" s="69"/>
      <c r="AU132" s="24"/>
      <c r="AV132" s="24"/>
      <c r="AW132" s="24" t="e">
        <v>#N/A</v>
      </c>
      <c r="AX132" s="24"/>
      <c r="AY132" s="69"/>
      <c r="AZ132" s="24"/>
      <c r="BA132" s="24"/>
      <c r="BB132" s="24" t="e">
        <v>#N/A</v>
      </c>
      <c r="BC132" s="24"/>
      <c r="BD132" s="69"/>
      <c r="BE132" s="24"/>
      <c r="BF132" s="24"/>
      <c r="BG132" s="24"/>
      <c r="BH132" s="24"/>
      <c r="BI132" s="69"/>
    </row>
    <row r="133" spans="1:61" ht="12.75">
      <c r="A133" s="137">
        <f t="shared" si="0"/>
        <v>1930</v>
      </c>
      <c r="B133" s="219"/>
      <c r="C133" s="219"/>
      <c r="D133" s="56" t="e">
        <v>#N/A</v>
      </c>
      <c r="E133" s="56"/>
      <c r="F133" s="139"/>
      <c r="G133" s="56"/>
      <c r="H133" s="56"/>
      <c r="I133" s="56" t="e">
        <v>#N/A</v>
      </c>
      <c r="J133" s="56"/>
      <c r="K133" s="139"/>
      <c r="L133" s="219"/>
      <c r="M133" s="219"/>
      <c r="N133" s="219"/>
      <c r="O133" s="219"/>
      <c r="P133" s="267"/>
      <c r="Q133" s="219"/>
      <c r="R133" s="219"/>
      <c r="S133" s="56" t="e">
        <v>#N/A</v>
      </c>
      <c r="T133" s="219"/>
      <c r="U133" s="267"/>
      <c r="V133" s="56"/>
      <c r="W133" s="56"/>
      <c r="X133" s="56"/>
      <c r="Y133" s="56"/>
      <c r="Z133" s="139"/>
      <c r="AA133" s="56"/>
      <c r="AB133" s="56"/>
      <c r="AC133" s="56"/>
      <c r="AD133" s="56"/>
      <c r="AE133" s="139"/>
      <c r="AF133" s="219"/>
      <c r="AG133" s="219"/>
      <c r="AH133" s="219"/>
      <c r="AI133" s="56"/>
      <c r="AJ133" s="139"/>
      <c r="AK133" s="219"/>
      <c r="AL133" s="219"/>
      <c r="AM133" s="219"/>
      <c r="AN133" s="219"/>
      <c r="AO133" s="267"/>
      <c r="AP133" s="56"/>
      <c r="AQ133" s="56"/>
      <c r="AR133" s="56"/>
      <c r="AS133" s="56"/>
      <c r="AT133" s="139"/>
      <c r="AU133" s="56"/>
      <c r="AV133" s="56"/>
      <c r="AW133" s="56" t="e">
        <v>#N/A</v>
      </c>
      <c r="AX133" s="56"/>
      <c r="AY133" s="139"/>
      <c r="AZ133" s="56"/>
      <c r="BA133" s="56"/>
      <c r="BB133" s="56" t="e">
        <v>#N/A</v>
      </c>
      <c r="BC133" s="56"/>
      <c r="BD133" s="139"/>
      <c r="BE133" s="56"/>
      <c r="BF133" s="56"/>
      <c r="BG133" s="56"/>
      <c r="BH133" s="56"/>
      <c r="BI133" s="139"/>
    </row>
    <row r="134" spans="1:61" ht="12.75">
      <c r="A134" s="142">
        <f t="shared" si="0"/>
        <v>1931</v>
      </c>
      <c r="B134" s="130"/>
      <c r="C134" s="130"/>
      <c r="D134" s="24" t="e">
        <v>#N/A</v>
      </c>
      <c r="E134" s="24"/>
      <c r="F134" s="69"/>
      <c r="G134" s="24"/>
      <c r="H134" s="24"/>
      <c r="I134" s="24" t="e">
        <v>#N/A</v>
      </c>
      <c r="J134" s="24"/>
      <c r="K134" s="69"/>
      <c r="L134" s="130"/>
      <c r="M134" s="130"/>
      <c r="N134" s="130"/>
      <c r="O134" s="130"/>
      <c r="P134" s="131"/>
      <c r="Q134" s="130"/>
      <c r="R134" s="130"/>
      <c r="S134" s="24" t="e">
        <v>#N/A</v>
      </c>
      <c r="T134" s="130"/>
      <c r="U134" s="131"/>
      <c r="V134" s="130">
        <f>CAR!$D$77</f>
        <v>86.69098293543503</v>
      </c>
      <c r="W134" s="130">
        <f>CAR!$E$77</f>
        <v>90.63973976096648</v>
      </c>
      <c r="X134" s="130">
        <f>(V134+W134)/2</f>
        <v>88.66536134820075</v>
      </c>
      <c r="Y134" s="130">
        <f>(W134-V134)/2</f>
        <v>1.9743784127657236</v>
      </c>
      <c r="Z134" s="131">
        <f>(W134-V134)/2</f>
        <v>1.9743784127657236</v>
      </c>
      <c r="AA134" s="24"/>
      <c r="AB134" s="24"/>
      <c r="AC134" s="24"/>
      <c r="AD134" s="24"/>
      <c r="AE134" s="69"/>
      <c r="AF134" s="130"/>
      <c r="AG134" s="130"/>
      <c r="AH134" s="130"/>
      <c r="AI134" s="24"/>
      <c r="AJ134" s="69"/>
      <c r="AK134" s="130">
        <f>IvoryC!$F$141</f>
        <v>15.202729044834308</v>
      </c>
      <c r="AL134" s="130">
        <f>IvoryC!$G$141</f>
        <v>38.54288499025341</v>
      </c>
      <c r="AM134" s="130">
        <f>(AK134+AL134)/2</f>
        <v>26.87280701754386</v>
      </c>
      <c r="AN134" s="130">
        <f>(AL134-AK134)/2</f>
        <v>11.670077972709553</v>
      </c>
      <c r="AO134" s="131">
        <f>(AL134-AK134)/2</f>
        <v>11.670077972709553</v>
      </c>
      <c r="AP134" s="24"/>
      <c r="AQ134" s="24"/>
      <c r="AR134" s="24"/>
      <c r="AS134" s="24"/>
      <c r="AT134" s="69"/>
      <c r="AU134" s="130">
        <f>SLeone!$D$75</f>
        <v>89.86208557630935</v>
      </c>
      <c r="AV134" s="130">
        <f>SLeone!$E$75</f>
        <v>93.25163481339644</v>
      </c>
      <c r="AW134" s="130">
        <f>(AU134+AV134)/2</f>
        <v>91.5568601948529</v>
      </c>
      <c r="AX134" s="130">
        <f>(AV134-AU134)/2</f>
        <v>1.6947746185435406</v>
      </c>
      <c r="AY134" s="131">
        <f>(AV134-AU134)/2</f>
        <v>1.6947746185435406</v>
      </c>
      <c r="AZ134" s="24"/>
      <c r="BA134" s="24"/>
      <c r="BB134" s="24" t="e">
        <v>#N/A</v>
      </c>
      <c r="BC134" s="24"/>
      <c r="BD134" s="69"/>
      <c r="BE134" s="24"/>
      <c r="BF134" s="24"/>
      <c r="BG134" s="24"/>
      <c r="BH134" s="24"/>
      <c r="BI134" s="69"/>
    </row>
    <row r="135" spans="1:61" ht="12.75">
      <c r="A135" s="142">
        <f t="shared" si="0"/>
        <v>1932</v>
      </c>
      <c r="B135" s="130"/>
      <c r="C135" s="130"/>
      <c r="D135" s="24" t="e">
        <v>#N/A</v>
      </c>
      <c r="E135" s="24"/>
      <c r="F135" s="69"/>
      <c r="G135" s="130">
        <f>CBrazza!$H$91</f>
        <v>94.94956513241475</v>
      </c>
      <c r="H135" s="130">
        <f>CBrazza!$I$91</f>
        <v>97.41057782245117</v>
      </c>
      <c r="I135" s="130">
        <f>(G135+H135)/2</f>
        <v>96.18007147743296</v>
      </c>
      <c r="J135" s="130">
        <f>(H135-G135)/2</f>
        <v>1.2305063450182132</v>
      </c>
      <c r="K135" s="131">
        <f>(H135-G135)/2</f>
        <v>1.2305063450182132</v>
      </c>
      <c r="L135" s="130"/>
      <c r="M135" s="130"/>
      <c r="N135" s="130"/>
      <c r="O135" s="130"/>
      <c r="P135" s="131"/>
      <c r="Q135" s="130"/>
      <c r="R135" s="130"/>
      <c r="S135" s="24" t="e">
        <v>#N/A</v>
      </c>
      <c r="T135" s="130"/>
      <c r="U135" s="131"/>
      <c r="X135" s="24" t="e">
        <v>#N/A</v>
      </c>
      <c r="Z135" s="47"/>
      <c r="AA135" s="24"/>
      <c r="AB135" s="24"/>
      <c r="AC135" s="24"/>
      <c r="AD135" s="24"/>
      <c r="AE135" s="69"/>
      <c r="AF135" s="130"/>
      <c r="AG135" s="130"/>
      <c r="AH135" s="130"/>
      <c r="AI135" s="24"/>
      <c r="AJ135" s="69"/>
      <c r="AM135" s="24" t="e">
        <v>#N/A</v>
      </c>
      <c r="AO135" s="47"/>
      <c r="AP135" s="24"/>
      <c r="AQ135" s="24"/>
      <c r="AR135" s="24"/>
      <c r="AS135" s="24"/>
      <c r="AT135" s="69"/>
      <c r="AW135" s="24" t="e">
        <v>#N/A</v>
      </c>
      <c r="AY135" s="47"/>
      <c r="AZ135" s="24"/>
      <c r="BA135" s="24"/>
      <c r="BB135" s="24" t="e">
        <v>#N/A</v>
      </c>
      <c r="BC135" s="24"/>
      <c r="BD135" s="69"/>
      <c r="BE135" s="24"/>
      <c r="BF135" s="24"/>
      <c r="BG135" s="24"/>
      <c r="BH135" s="24"/>
      <c r="BI135" s="69"/>
    </row>
    <row r="136" spans="1:61" ht="12.75">
      <c r="A136" s="142">
        <f t="shared" si="0"/>
        <v>1933</v>
      </c>
      <c r="B136" s="130"/>
      <c r="C136" s="130"/>
      <c r="D136" s="24" t="e">
        <v>#N/A</v>
      </c>
      <c r="E136" s="24"/>
      <c r="F136" s="69"/>
      <c r="G136" s="130"/>
      <c r="H136" s="130"/>
      <c r="I136" s="24" t="e">
        <v>#N/A</v>
      </c>
      <c r="J136" s="130"/>
      <c r="K136" s="131"/>
      <c r="L136" s="130"/>
      <c r="M136" s="130"/>
      <c r="N136" s="130"/>
      <c r="O136" s="130"/>
      <c r="P136" s="131"/>
      <c r="Q136" s="130"/>
      <c r="R136" s="130"/>
      <c r="S136" s="24" t="e">
        <v>#N/A</v>
      </c>
      <c r="T136" s="130"/>
      <c r="U136" s="131"/>
      <c r="V136" s="130"/>
      <c r="W136" s="130"/>
      <c r="X136" s="24" t="e">
        <v>#N/A</v>
      </c>
      <c r="Y136" s="130"/>
      <c r="Z136" s="131"/>
      <c r="AA136" s="24"/>
      <c r="AB136" s="24"/>
      <c r="AC136" s="24"/>
      <c r="AD136" s="24"/>
      <c r="AE136" s="69"/>
      <c r="AF136" s="130"/>
      <c r="AG136" s="130"/>
      <c r="AH136" s="130"/>
      <c r="AI136" s="24"/>
      <c r="AJ136" s="69"/>
      <c r="AK136" s="130"/>
      <c r="AL136" s="130"/>
      <c r="AM136" s="24" t="e">
        <v>#N/A</v>
      </c>
      <c r="AN136" s="130"/>
      <c r="AO136" s="131"/>
      <c r="AP136" s="24"/>
      <c r="AQ136" s="24"/>
      <c r="AR136" s="24"/>
      <c r="AS136" s="24"/>
      <c r="AT136" s="69"/>
      <c r="AU136" s="130"/>
      <c r="AV136" s="130"/>
      <c r="AW136" s="24" t="e">
        <v>#N/A</v>
      </c>
      <c r="AX136" s="130"/>
      <c r="AY136" s="131"/>
      <c r="AZ136" s="24"/>
      <c r="BA136" s="24"/>
      <c r="BB136" s="24" t="e">
        <v>#N/A</v>
      </c>
      <c r="BC136" s="24"/>
      <c r="BD136" s="69"/>
      <c r="BE136" s="24"/>
      <c r="BF136" s="24"/>
      <c r="BG136" s="24"/>
      <c r="BH136" s="24"/>
      <c r="BI136" s="69"/>
    </row>
    <row r="137" spans="1:61" ht="12.75">
      <c r="A137" s="142">
        <f t="shared" si="0"/>
        <v>1934</v>
      </c>
      <c r="B137" s="130"/>
      <c r="C137" s="130"/>
      <c r="D137" s="24" t="e">
        <v>#N/A</v>
      </c>
      <c r="E137" s="24"/>
      <c r="F137" s="69"/>
      <c r="G137" s="24"/>
      <c r="H137" s="24"/>
      <c r="I137" s="24" t="e">
        <v>#N/A</v>
      </c>
      <c r="J137" s="24"/>
      <c r="K137" s="69"/>
      <c r="L137" s="130">
        <f>Gabon!$D$72</f>
        <v>92.75511340497498</v>
      </c>
      <c r="M137" s="130">
        <f>Gabon!$E$72</f>
        <v>96.27552131381883</v>
      </c>
      <c r="N137" s="130">
        <f>(L137+M137)/2</f>
        <v>94.5153173593969</v>
      </c>
      <c r="O137" s="130">
        <f>(M137-L137)/2</f>
        <v>1.7602039544219252</v>
      </c>
      <c r="P137" s="131">
        <f>(M137-L137)/2</f>
        <v>1.7602039544219252</v>
      </c>
      <c r="Q137" s="130"/>
      <c r="R137" s="130"/>
      <c r="S137" s="24" t="e">
        <v>#N/A</v>
      </c>
      <c r="T137" s="130"/>
      <c r="U137" s="131"/>
      <c r="V137" s="24"/>
      <c r="W137" s="24"/>
      <c r="X137" s="24" t="e">
        <v>#N/A</v>
      </c>
      <c r="Y137" s="24"/>
      <c r="Z137" s="69"/>
      <c r="AA137" s="24"/>
      <c r="AB137" s="24"/>
      <c r="AC137" s="24"/>
      <c r="AD137" s="24"/>
      <c r="AE137" s="69"/>
      <c r="AF137" s="130"/>
      <c r="AG137" s="130"/>
      <c r="AH137" s="130"/>
      <c r="AI137" s="24"/>
      <c r="AJ137" s="69"/>
      <c r="AK137" s="130"/>
      <c r="AL137" s="130"/>
      <c r="AM137" s="24" t="e">
        <v>#N/A</v>
      </c>
      <c r="AN137" s="130"/>
      <c r="AO137" s="131"/>
      <c r="AP137" s="24"/>
      <c r="AQ137" s="24"/>
      <c r="AR137" s="24"/>
      <c r="AS137" s="24"/>
      <c r="AT137" s="69"/>
      <c r="AU137" s="24"/>
      <c r="AV137" s="24"/>
      <c r="AW137" s="24" t="e">
        <v>#N/A</v>
      </c>
      <c r="AX137" s="24"/>
      <c r="AY137" s="69"/>
      <c r="AZ137" s="24"/>
      <c r="BA137" s="24"/>
      <c r="BB137" s="24" t="e">
        <v>#N/A</v>
      </c>
      <c r="BC137" s="24"/>
      <c r="BD137" s="69"/>
      <c r="BE137" s="24"/>
      <c r="BF137" s="24"/>
      <c r="BG137" s="24"/>
      <c r="BH137" s="24"/>
      <c r="BI137" s="69"/>
    </row>
    <row r="138" spans="1:61" ht="12.75">
      <c r="A138" s="142">
        <f t="shared" si="0"/>
        <v>1935</v>
      </c>
      <c r="B138" s="130"/>
      <c r="C138" s="130"/>
      <c r="D138" s="24" t="e">
        <v>#N/A</v>
      </c>
      <c r="E138" s="24"/>
      <c r="F138" s="69"/>
      <c r="G138" s="24"/>
      <c r="H138" s="24"/>
      <c r="I138" s="24" t="e">
        <v>#N/A</v>
      </c>
      <c r="J138" s="24"/>
      <c r="K138" s="69"/>
      <c r="L138" s="130"/>
      <c r="M138" s="130"/>
      <c r="N138" s="24" t="e">
        <v>#N/A</v>
      </c>
      <c r="O138" s="130"/>
      <c r="P138" s="131"/>
      <c r="Q138" s="130">
        <f>Cameroon!$D$75</f>
        <v>87.39274694876354</v>
      </c>
      <c r="R138" s="130">
        <f>Cameroon!$E$75</f>
        <v>94.3327405651057</v>
      </c>
      <c r="S138" s="130">
        <f>(Q138+R138)/2</f>
        <v>90.86274375693462</v>
      </c>
      <c r="T138" s="130">
        <f>(R138-Q138)/2</f>
        <v>3.469996808171075</v>
      </c>
      <c r="U138" s="131">
        <f>(R138-Q138)/2</f>
        <v>3.469996808171075</v>
      </c>
      <c r="V138" s="24"/>
      <c r="W138" s="24"/>
      <c r="X138" s="24" t="e">
        <v>#N/A</v>
      </c>
      <c r="Y138" s="24"/>
      <c r="Z138" s="69"/>
      <c r="AA138" s="24"/>
      <c r="AB138" s="24"/>
      <c r="AC138" s="24"/>
      <c r="AD138" s="24"/>
      <c r="AE138" s="69"/>
      <c r="AF138" s="130"/>
      <c r="AG138" s="130"/>
      <c r="AH138" s="130"/>
      <c r="AI138" s="24"/>
      <c r="AJ138" s="69"/>
      <c r="AK138" s="130"/>
      <c r="AL138" s="130"/>
      <c r="AM138" s="24" t="e">
        <v>#N/A</v>
      </c>
      <c r="AN138" s="130"/>
      <c r="AO138" s="131"/>
      <c r="AP138" s="24"/>
      <c r="AQ138" s="24"/>
      <c r="AR138" s="24"/>
      <c r="AS138" s="24"/>
      <c r="AT138" s="69"/>
      <c r="AU138" s="24"/>
      <c r="AV138" s="24"/>
      <c r="AW138" s="24" t="e">
        <v>#N/A</v>
      </c>
      <c r="AX138" s="24"/>
      <c r="AY138" s="69"/>
      <c r="AZ138" s="24"/>
      <c r="BA138" s="24"/>
      <c r="BB138" s="24" t="e">
        <v>#N/A</v>
      </c>
      <c r="BC138" s="24"/>
      <c r="BD138" s="69"/>
      <c r="BE138" s="24"/>
      <c r="BF138" s="24"/>
      <c r="BG138" s="24"/>
      <c r="BH138" s="24"/>
      <c r="BI138" s="69"/>
    </row>
    <row r="139" spans="1:61" ht="12.75">
      <c r="A139" s="142">
        <f t="shared" si="0"/>
        <v>1936</v>
      </c>
      <c r="B139" s="130"/>
      <c r="C139" s="130"/>
      <c r="D139" s="24" t="e">
        <v>#N/A</v>
      </c>
      <c r="E139" s="24"/>
      <c r="F139" s="69"/>
      <c r="G139" s="24"/>
      <c r="H139" s="24"/>
      <c r="I139" s="24" t="e">
        <v>#N/A</v>
      </c>
      <c r="J139" s="24"/>
      <c r="K139" s="69"/>
      <c r="L139" s="130"/>
      <c r="M139" s="130"/>
      <c r="N139" s="24" t="e">
        <v>#N/A</v>
      </c>
      <c r="O139" s="130"/>
      <c r="P139" s="131"/>
      <c r="S139" s="24" t="e">
        <v>#N/A</v>
      </c>
      <c r="U139" s="47"/>
      <c r="V139" s="24"/>
      <c r="W139" s="24"/>
      <c r="X139" s="24" t="e">
        <v>#N/A</v>
      </c>
      <c r="Y139" s="24"/>
      <c r="Z139" s="69"/>
      <c r="AA139" s="24"/>
      <c r="AB139" s="24"/>
      <c r="AC139" s="24"/>
      <c r="AD139" s="24"/>
      <c r="AE139" s="69"/>
      <c r="AF139" s="130">
        <f>IvoryC!$F$86</f>
        <v>19.193089896534705</v>
      </c>
      <c r="AG139" s="130">
        <f>IvoryC!$G$86</f>
        <v>33.63781745033945</v>
      </c>
      <c r="AH139" s="130">
        <f>(AF139+AG139)/2</f>
        <v>26.415453673437078</v>
      </c>
      <c r="AI139" s="130">
        <f>(AG139-AF139)/2</f>
        <v>7.222363776902371</v>
      </c>
      <c r="AJ139" s="131">
        <f>(AG139-AF139)/2</f>
        <v>7.222363776902371</v>
      </c>
      <c r="AK139" s="130"/>
      <c r="AL139" s="130"/>
      <c r="AM139" s="24" t="e">
        <v>#N/A</v>
      </c>
      <c r="AN139" s="130"/>
      <c r="AO139" s="131"/>
      <c r="AP139" s="130"/>
      <c r="AQ139" s="130"/>
      <c r="AR139" s="130"/>
      <c r="AS139" s="130"/>
      <c r="AT139" s="131"/>
      <c r="AU139" s="24"/>
      <c r="AV139" s="24"/>
      <c r="AW139" s="24" t="e">
        <v>#N/A</v>
      </c>
      <c r="AX139" s="24"/>
      <c r="AY139" s="69"/>
      <c r="AZ139" s="130">
        <f>Guinea!$D$58</f>
        <v>90.7897263108116</v>
      </c>
      <c r="BA139" s="130">
        <f>Guinea!$E$58</f>
        <v>95.06570905006798</v>
      </c>
      <c r="BB139" s="130">
        <f>(AZ139+BA139)/2</f>
        <v>92.9277176804398</v>
      </c>
      <c r="BC139" s="130">
        <f>(BA139-AZ139)/2</f>
        <v>2.137991369628189</v>
      </c>
      <c r="BD139" s="131">
        <f>(BA139-AZ139)/2</f>
        <v>2.137991369628189</v>
      </c>
      <c r="BE139" s="24"/>
      <c r="BF139" s="24"/>
      <c r="BG139" s="24"/>
      <c r="BH139" s="24"/>
      <c r="BI139" s="69"/>
    </row>
    <row r="140" spans="1:61" ht="12.75">
      <c r="A140" s="142">
        <f t="shared" si="0"/>
        <v>1937</v>
      </c>
      <c r="B140" s="130"/>
      <c r="C140" s="130"/>
      <c r="D140" s="24" t="e">
        <v>#N/A</v>
      </c>
      <c r="E140" s="24"/>
      <c r="F140" s="69"/>
      <c r="G140" s="24"/>
      <c r="H140" s="24"/>
      <c r="I140" s="24" t="e">
        <v>#N/A</v>
      </c>
      <c r="J140" s="24"/>
      <c r="K140" s="69"/>
      <c r="L140" s="130"/>
      <c r="M140" s="130"/>
      <c r="N140" s="24" t="e">
        <v>#N/A</v>
      </c>
      <c r="O140" s="130"/>
      <c r="P140" s="131"/>
      <c r="Q140" s="130"/>
      <c r="R140" s="130"/>
      <c r="S140" s="24" t="e">
        <v>#N/A</v>
      </c>
      <c r="T140" s="130"/>
      <c r="U140" s="131"/>
      <c r="V140" s="24"/>
      <c r="W140" s="24"/>
      <c r="X140" s="24" t="e">
        <v>#N/A</v>
      </c>
      <c r="Y140" s="24"/>
      <c r="Z140" s="69"/>
      <c r="AA140" s="24"/>
      <c r="AB140" s="24"/>
      <c r="AC140" s="24"/>
      <c r="AD140" s="24"/>
      <c r="AE140" s="69"/>
      <c r="AF140" s="130"/>
      <c r="AG140" s="130"/>
      <c r="AH140" s="24" t="e">
        <v>#N/A</v>
      </c>
      <c r="AI140" s="130"/>
      <c r="AJ140" s="131"/>
      <c r="AK140" s="130"/>
      <c r="AL140" s="130"/>
      <c r="AM140" s="24" t="e">
        <v>#N/A</v>
      </c>
      <c r="AN140" s="130"/>
      <c r="AO140" s="131"/>
      <c r="AP140" s="130"/>
      <c r="AQ140" s="130"/>
      <c r="AR140" s="130"/>
      <c r="AS140" s="130"/>
      <c r="AT140" s="131"/>
      <c r="AU140" s="24"/>
      <c r="AV140" s="24"/>
      <c r="AW140" s="24" t="e">
        <v>#N/A</v>
      </c>
      <c r="AX140" s="24"/>
      <c r="AY140" s="69"/>
      <c r="AZ140" s="130"/>
      <c r="BA140" s="130"/>
      <c r="BB140" s="24" t="e">
        <v>#N/A</v>
      </c>
      <c r="BC140" s="130"/>
      <c r="BD140" s="131"/>
      <c r="BE140" s="24"/>
      <c r="BF140" s="24"/>
      <c r="BG140" s="24"/>
      <c r="BH140" s="24"/>
      <c r="BI140" s="69"/>
    </row>
    <row r="141" spans="1:61" ht="12.75">
      <c r="A141" s="142">
        <f t="shared" si="0"/>
        <v>1938</v>
      </c>
      <c r="B141" s="130"/>
      <c r="C141" s="130"/>
      <c r="D141" s="24" t="e">
        <v>#N/A</v>
      </c>
      <c r="E141" s="24"/>
      <c r="F141" s="69"/>
      <c r="G141" s="24"/>
      <c r="H141" s="24"/>
      <c r="I141" s="24" t="e">
        <v>#N/A</v>
      </c>
      <c r="J141" s="24"/>
      <c r="K141" s="69"/>
      <c r="L141" s="130"/>
      <c r="M141" s="130"/>
      <c r="N141" s="24" t="e">
        <v>#N/A</v>
      </c>
      <c r="O141" s="130"/>
      <c r="P141" s="131"/>
      <c r="Q141" s="130"/>
      <c r="R141" s="130"/>
      <c r="S141" s="24" t="e">
        <v>#N/A</v>
      </c>
      <c r="T141" s="130"/>
      <c r="U141" s="131"/>
      <c r="V141" s="24"/>
      <c r="W141" s="24"/>
      <c r="X141" s="24" t="e">
        <v>#N/A</v>
      </c>
      <c r="Y141" s="24"/>
      <c r="Z141" s="69"/>
      <c r="AA141" s="24"/>
      <c r="AB141" s="24"/>
      <c r="AC141" s="24"/>
      <c r="AD141" s="24"/>
      <c r="AE141" s="69"/>
      <c r="AF141" s="130"/>
      <c r="AG141" s="130"/>
      <c r="AH141" s="24" t="e">
        <v>#N/A</v>
      </c>
      <c r="AI141" s="24"/>
      <c r="AJ141" s="69"/>
      <c r="AK141" s="130"/>
      <c r="AL141" s="130"/>
      <c r="AM141" s="24" t="e">
        <v>#N/A</v>
      </c>
      <c r="AN141" s="130"/>
      <c r="AO141" s="131"/>
      <c r="AP141" s="24"/>
      <c r="AQ141" s="24"/>
      <c r="AR141" s="24"/>
      <c r="AS141" s="24"/>
      <c r="AT141" s="69"/>
      <c r="AU141" s="24"/>
      <c r="AV141" s="24"/>
      <c r="AW141" s="24" t="e">
        <v>#N/A</v>
      </c>
      <c r="AX141" s="24"/>
      <c r="AY141" s="69"/>
      <c r="AZ141" s="24"/>
      <c r="BA141" s="24"/>
      <c r="BB141" s="24" t="e">
        <v>#N/A</v>
      </c>
      <c r="BC141" s="24"/>
      <c r="BD141" s="69"/>
      <c r="BE141" s="130"/>
      <c r="BF141" s="130"/>
      <c r="BG141" s="130"/>
      <c r="BH141" s="130"/>
      <c r="BI141" s="131"/>
    </row>
    <row r="142" spans="1:61" ht="12.75">
      <c r="A142" s="142">
        <f t="shared" si="0"/>
        <v>1939</v>
      </c>
      <c r="B142" s="130"/>
      <c r="C142" s="130"/>
      <c r="D142" s="24" t="e">
        <v>#N/A</v>
      </c>
      <c r="E142" s="24"/>
      <c r="F142" s="69"/>
      <c r="G142" s="24"/>
      <c r="H142" s="24"/>
      <c r="I142" s="24" t="e">
        <v>#N/A</v>
      </c>
      <c r="J142" s="24"/>
      <c r="K142" s="69"/>
      <c r="L142" s="130"/>
      <c r="M142" s="130"/>
      <c r="N142" s="24" t="e">
        <v>#N/A</v>
      </c>
      <c r="O142" s="130"/>
      <c r="P142" s="131"/>
      <c r="Q142" s="130"/>
      <c r="R142" s="130"/>
      <c r="S142" s="24" t="e">
        <v>#N/A</v>
      </c>
      <c r="T142" s="130"/>
      <c r="U142" s="131"/>
      <c r="V142" s="24"/>
      <c r="W142" s="24"/>
      <c r="X142" s="24" t="e">
        <v>#N/A</v>
      </c>
      <c r="Y142" s="24"/>
      <c r="Z142" s="69"/>
      <c r="AA142" s="24"/>
      <c r="AB142" s="24"/>
      <c r="AC142" s="24"/>
      <c r="AD142" s="24"/>
      <c r="AE142" s="69"/>
      <c r="AF142" s="130"/>
      <c r="AG142" s="130"/>
      <c r="AH142" s="24" t="e">
        <v>#N/A</v>
      </c>
      <c r="AI142" s="24"/>
      <c r="AJ142" s="69"/>
      <c r="AK142" s="130"/>
      <c r="AL142" s="130"/>
      <c r="AM142" s="24" t="e">
        <v>#N/A</v>
      </c>
      <c r="AN142" s="130"/>
      <c r="AO142" s="131"/>
      <c r="AP142" s="130">
        <f>Liberia!$D$56</f>
        <v>84.08103703703704</v>
      </c>
      <c r="AQ142" s="130">
        <f>Liberia!$E$56</f>
        <v>88.47837037037037</v>
      </c>
      <c r="AR142" s="130">
        <f>(AP142+AQ142)/2</f>
        <v>86.2797037037037</v>
      </c>
      <c r="AS142" s="130">
        <f>(AQ142-AP142)/2</f>
        <v>2.198666666666668</v>
      </c>
      <c r="AT142" s="131">
        <f>(AQ142-AP142)/2</f>
        <v>2.198666666666668</v>
      </c>
      <c r="AU142" s="24"/>
      <c r="AV142" s="24"/>
      <c r="AW142" s="24" t="e">
        <v>#N/A</v>
      </c>
      <c r="AX142" s="24"/>
      <c r="AY142" s="69"/>
      <c r="AZ142" s="24"/>
      <c r="BA142" s="24"/>
      <c r="BB142" s="24" t="e">
        <v>#N/A</v>
      </c>
      <c r="BC142" s="24"/>
      <c r="BD142" s="69"/>
      <c r="BE142" s="130"/>
      <c r="BF142" s="130"/>
      <c r="BG142" s="130"/>
      <c r="BH142" s="130"/>
      <c r="BI142" s="131"/>
    </row>
    <row r="143" spans="1:61" ht="12.75">
      <c r="A143" s="137">
        <f t="shared" si="0"/>
        <v>1940</v>
      </c>
      <c r="B143" s="219"/>
      <c r="C143" s="219"/>
      <c r="D143" s="56" t="e">
        <v>#N/A</v>
      </c>
      <c r="E143" s="56"/>
      <c r="F143" s="139"/>
      <c r="G143" s="56"/>
      <c r="H143" s="56"/>
      <c r="I143" s="56" t="e">
        <v>#N/A</v>
      </c>
      <c r="J143" s="56"/>
      <c r="K143" s="139"/>
      <c r="L143" s="219"/>
      <c r="M143" s="219"/>
      <c r="N143" s="56" t="e">
        <v>#N/A</v>
      </c>
      <c r="O143" s="219"/>
      <c r="P143" s="267"/>
      <c r="Q143" s="219"/>
      <c r="R143" s="219"/>
      <c r="S143" s="56" t="e">
        <v>#N/A</v>
      </c>
      <c r="T143" s="219"/>
      <c r="U143" s="267"/>
      <c r="V143" s="56"/>
      <c r="W143" s="56"/>
      <c r="X143" s="56" t="e">
        <v>#N/A</v>
      </c>
      <c r="Y143" s="56"/>
      <c r="Z143" s="139"/>
      <c r="AA143" s="56"/>
      <c r="AB143" s="56"/>
      <c r="AC143" s="56"/>
      <c r="AD143" s="56"/>
      <c r="AE143" s="139"/>
      <c r="AF143" s="219"/>
      <c r="AG143" s="219"/>
      <c r="AH143" s="56" t="e">
        <v>#N/A</v>
      </c>
      <c r="AI143" s="56"/>
      <c r="AJ143" s="139"/>
      <c r="AK143" s="219"/>
      <c r="AL143" s="219"/>
      <c r="AM143" s="56" t="e">
        <v>#N/A</v>
      </c>
      <c r="AN143" s="219"/>
      <c r="AO143" s="267"/>
      <c r="AP143" s="37"/>
      <c r="AQ143" s="37"/>
      <c r="AR143" s="56" t="e">
        <v>#N/A</v>
      </c>
      <c r="AS143" s="37"/>
      <c r="AT143" s="46"/>
      <c r="AU143" s="56"/>
      <c r="AV143" s="56"/>
      <c r="AW143" s="56" t="e">
        <v>#N/A</v>
      </c>
      <c r="AX143" s="56"/>
      <c r="AY143" s="139"/>
      <c r="AZ143" s="56"/>
      <c r="BA143" s="56"/>
      <c r="BB143" s="56" t="e">
        <v>#N/A</v>
      </c>
      <c r="BC143" s="56"/>
      <c r="BD143" s="139"/>
      <c r="BE143" s="219">
        <f>GBissau!$F$61</f>
        <v>49.3595</v>
      </c>
      <c r="BF143" s="219">
        <f>GBissau!$G$61</f>
        <v>70.0518</v>
      </c>
      <c r="BG143" s="219">
        <f>(BE143+BF143)/2</f>
        <v>59.70565</v>
      </c>
      <c r="BH143" s="219">
        <f>(BF143-BE143)/2</f>
        <v>10.346150000000002</v>
      </c>
      <c r="BI143" s="267">
        <f>(BF143-BE143)/2</f>
        <v>10.346150000000002</v>
      </c>
    </row>
    <row r="144" spans="1:61" ht="12.75">
      <c r="A144" s="142">
        <f t="shared" si="0"/>
        <v>1941</v>
      </c>
      <c r="B144" s="130"/>
      <c r="C144" s="130"/>
      <c r="D144" s="24" t="e">
        <v>#N/A</v>
      </c>
      <c r="E144" s="24"/>
      <c r="F144" s="69"/>
      <c r="G144" s="24"/>
      <c r="H144" s="24"/>
      <c r="I144" s="24" t="e">
        <v>#N/A</v>
      </c>
      <c r="J144" s="24"/>
      <c r="K144" s="69"/>
      <c r="L144" s="130"/>
      <c r="M144" s="130"/>
      <c r="N144" s="24" t="e">
        <v>#N/A</v>
      </c>
      <c r="O144" s="130"/>
      <c r="P144" s="131"/>
      <c r="Q144" s="130"/>
      <c r="R144" s="130"/>
      <c r="S144" s="24" t="e">
        <v>#N/A</v>
      </c>
      <c r="T144" s="130"/>
      <c r="U144" s="131"/>
      <c r="V144" s="24"/>
      <c r="W144" s="24"/>
      <c r="X144" s="24" t="e">
        <v>#N/A</v>
      </c>
      <c r="Y144" s="24"/>
      <c r="Z144" s="69"/>
      <c r="AA144" s="24"/>
      <c r="AB144" s="24"/>
      <c r="AC144" s="24"/>
      <c r="AD144" s="24"/>
      <c r="AE144" s="69"/>
      <c r="AF144" s="130"/>
      <c r="AG144" s="130"/>
      <c r="AH144" s="24" t="e">
        <v>#N/A</v>
      </c>
      <c r="AI144" s="24"/>
      <c r="AJ144" s="69"/>
      <c r="AK144" s="130"/>
      <c r="AL144" s="130"/>
      <c r="AM144" s="24" t="e">
        <v>#N/A</v>
      </c>
      <c r="AN144" s="130"/>
      <c r="AO144" s="131"/>
      <c r="AP144" s="130"/>
      <c r="AQ144" s="130"/>
      <c r="AR144" s="24" t="e">
        <v>#N/A</v>
      </c>
      <c r="AS144" s="130"/>
      <c r="AT144" s="131"/>
      <c r="AU144" s="24"/>
      <c r="AV144" s="24"/>
      <c r="AW144" s="24" t="e">
        <v>#N/A</v>
      </c>
      <c r="AX144" s="24"/>
      <c r="AY144" s="69"/>
      <c r="AZ144" s="24"/>
      <c r="BA144" s="24"/>
      <c r="BB144" s="24" t="e">
        <v>#N/A</v>
      </c>
      <c r="BC144" s="24"/>
      <c r="BD144" s="69"/>
      <c r="BE144" s="130"/>
      <c r="BF144" s="130"/>
      <c r="BG144" s="24" t="e">
        <v>#N/A</v>
      </c>
      <c r="BH144" s="130"/>
      <c r="BI144" s="131"/>
    </row>
    <row r="145" spans="1:61" ht="12.75">
      <c r="A145" s="142">
        <f t="shared" si="0"/>
        <v>1942</v>
      </c>
      <c r="B145" s="130"/>
      <c r="C145" s="130"/>
      <c r="D145" s="24" t="e">
        <v>#N/A</v>
      </c>
      <c r="E145" s="24"/>
      <c r="F145" s="69"/>
      <c r="G145" s="24"/>
      <c r="H145" s="24"/>
      <c r="I145" s="24" t="e">
        <v>#N/A</v>
      </c>
      <c r="J145" s="24"/>
      <c r="K145" s="69"/>
      <c r="L145" s="130"/>
      <c r="M145" s="130"/>
      <c r="N145" s="24" t="e">
        <v>#N/A</v>
      </c>
      <c r="O145" s="130"/>
      <c r="P145" s="131"/>
      <c r="Q145" s="130"/>
      <c r="R145" s="130"/>
      <c r="S145" s="24" t="e">
        <v>#N/A</v>
      </c>
      <c r="T145" s="130"/>
      <c r="U145" s="131"/>
      <c r="V145" s="24"/>
      <c r="W145" s="24"/>
      <c r="X145" s="24" t="e">
        <v>#N/A</v>
      </c>
      <c r="Y145" s="24"/>
      <c r="Z145" s="69"/>
      <c r="AA145" s="24"/>
      <c r="AB145" s="24"/>
      <c r="AC145" s="24"/>
      <c r="AD145" s="24"/>
      <c r="AE145" s="69"/>
      <c r="AF145" s="130"/>
      <c r="AG145" s="130"/>
      <c r="AH145" s="24" t="e">
        <v>#N/A</v>
      </c>
      <c r="AI145" s="130"/>
      <c r="AJ145" s="131"/>
      <c r="AK145" s="24"/>
      <c r="AL145" s="24"/>
      <c r="AM145" s="24" t="e">
        <v>#N/A</v>
      </c>
      <c r="AN145" s="24"/>
      <c r="AO145" s="69"/>
      <c r="AP145" s="24"/>
      <c r="AQ145" s="24"/>
      <c r="AR145" s="24" t="e">
        <v>#N/A</v>
      </c>
      <c r="AS145" s="24"/>
      <c r="AT145" s="69"/>
      <c r="AU145" s="24"/>
      <c r="AV145" s="24"/>
      <c r="AW145" s="24" t="e">
        <v>#N/A</v>
      </c>
      <c r="AX145" s="24"/>
      <c r="AY145" s="69"/>
      <c r="AZ145" s="24"/>
      <c r="BA145" s="24"/>
      <c r="BB145" s="24" t="e">
        <v>#N/A</v>
      </c>
      <c r="BC145" s="24"/>
      <c r="BD145" s="69"/>
      <c r="BE145" s="24"/>
      <c r="BF145" s="24"/>
      <c r="BG145" s="24" t="e">
        <v>#N/A</v>
      </c>
      <c r="BH145" s="24"/>
      <c r="BI145" s="69"/>
    </row>
    <row r="146" spans="1:61" ht="12.75">
      <c r="A146" s="142">
        <f t="shared" si="0"/>
        <v>1943</v>
      </c>
      <c r="B146" s="130"/>
      <c r="C146" s="130"/>
      <c r="D146" s="24" t="e">
        <v>#N/A</v>
      </c>
      <c r="E146" s="24"/>
      <c r="F146" s="69"/>
      <c r="G146" s="24"/>
      <c r="H146" s="24"/>
      <c r="I146" s="24" t="e">
        <v>#N/A</v>
      </c>
      <c r="J146" s="24"/>
      <c r="K146" s="69"/>
      <c r="L146" s="130"/>
      <c r="M146" s="130"/>
      <c r="N146" s="24" t="e">
        <v>#N/A</v>
      </c>
      <c r="O146" s="130"/>
      <c r="P146" s="131"/>
      <c r="Q146" s="130"/>
      <c r="R146" s="130"/>
      <c r="S146" s="24" t="e">
        <v>#N/A</v>
      </c>
      <c r="T146" s="130"/>
      <c r="U146" s="131"/>
      <c r="V146" s="24"/>
      <c r="W146" s="24"/>
      <c r="X146" s="24" t="e">
        <v>#N/A</v>
      </c>
      <c r="Y146" s="24"/>
      <c r="Z146" s="69"/>
      <c r="AA146" s="24"/>
      <c r="AB146" s="24"/>
      <c r="AC146" s="24"/>
      <c r="AD146" s="24"/>
      <c r="AE146" s="69"/>
      <c r="AF146" s="130"/>
      <c r="AG146" s="130"/>
      <c r="AH146" s="24" t="e">
        <v>#N/A</v>
      </c>
      <c r="AI146" s="130"/>
      <c r="AJ146" s="131"/>
      <c r="AK146" s="24"/>
      <c r="AL146" s="24"/>
      <c r="AM146" s="24" t="e">
        <v>#N/A</v>
      </c>
      <c r="AN146" s="24"/>
      <c r="AO146" s="69"/>
      <c r="AP146" s="24"/>
      <c r="AQ146" s="24"/>
      <c r="AR146" s="24" t="e">
        <v>#N/A</v>
      </c>
      <c r="AS146" s="24"/>
      <c r="AT146" s="69"/>
      <c r="AU146" s="24"/>
      <c r="AV146" s="24"/>
      <c r="AW146" s="24" t="e">
        <v>#N/A</v>
      </c>
      <c r="AX146" s="24"/>
      <c r="AY146" s="69"/>
      <c r="AZ146" s="24"/>
      <c r="BA146" s="24"/>
      <c r="BB146" s="24" t="e">
        <v>#N/A</v>
      </c>
      <c r="BC146" s="24"/>
      <c r="BD146" s="69"/>
      <c r="BE146" s="24"/>
      <c r="BF146" s="24"/>
      <c r="BG146" s="24" t="e">
        <v>#N/A</v>
      </c>
      <c r="BH146" s="24"/>
      <c r="BI146" s="69"/>
    </row>
    <row r="147" spans="1:61" ht="12.75">
      <c r="A147" s="142">
        <f t="shared" si="0"/>
        <v>1944</v>
      </c>
      <c r="B147" s="130"/>
      <c r="C147" s="130"/>
      <c r="D147" s="24" t="e">
        <v>#N/A</v>
      </c>
      <c r="E147" s="130"/>
      <c r="F147" s="131"/>
      <c r="G147" s="24"/>
      <c r="H147" s="24"/>
      <c r="I147" s="24" t="e">
        <v>#N/A</v>
      </c>
      <c r="J147" s="24"/>
      <c r="K147" s="69"/>
      <c r="L147" s="130"/>
      <c r="M147" s="130"/>
      <c r="N147" s="24" t="e">
        <v>#N/A</v>
      </c>
      <c r="O147" s="130"/>
      <c r="P147" s="131"/>
      <c r="Q147" s="130"/>
      <c r="R147" s="130"/>
      <c r="S147" s="24" t="e">
        <v>#N/A</v>
      </c>
      <c r="T147" s="130"/>
      <c r="U147" s="131"/>
      <c r="V147" s="24"/>
      <c r="W147" s="24"/>
      <c r="X147" s="24" t="e">
        <v>#N/A</v>
      </c>
      <c r="Y147" s="24"/>
      <c r="Z147" s="69"/>
      <c r="AA147" s="24"/>
      <c r="AB147" s="24"/>
      <c r="AC147" s="24"/>
      <c r="AD147" s="24"/>
      <c r="AE147" s="69"/>
      <c r="AF147" s="130"/>
      <c r="AG147" s="130"/>
      <c r="AH147" s="24" t="e">
        <v>#N/A</v>
      </c>
      <c r="AI147" s="24"/>
      <c r="AJ147" s="69"/>
      <c r="AK147" s="130"/>
      <c r="AL147" s="130"/>
      <c r="AM147" s="24" t="e">
        <v>#N/A</v>
      </c>
      <c r="AN147" s="130"/>
      <c r="AO147" s="131"/>
      <c r="AP147" s="130"/>
      <c r="AQ147" s="130"/>
      <c r="AR147" s="24" t="e">
        <v>#N/A</v>
      </c>
      <c r="AS147" s="130"/>
      <c r="AT147" s="131"/>
      <c r="AU147" s="24"/>
      <c r="AV147" s="24"/>
      <c r="AW147" s="24" t="e">
        <v>#N/A</v>
      </c>
      <c r="AX147" s="24"/>
      <c r="AY147" s="69"/>
      <c r="AZ147" s="24"/>
      <c r="BA147" s="24"/>
      <c r="BB147" s="24" t="e">
        <v>#N/A</v>
      </c>
      <c r="BC147" s="24"/>
      <c r="BD147" s="69"/>
      <c r="BE147" s="24"/>
      <c r="BF147" s="24"/>
      <c r="BG147" s="24" t="e">
        <v>#N/A</v>
      </c>
      <c r="BH147" s="24"/>
      <c r="BI147" s="69"/>
    </row>
    <row r="148" spans="1:61" ht="12.75">
      <c r="A148" s="142">
        <f t="shared" si="0"/>
        <v>1945</v>
      </c>
      <c r="B148" s="130"/>
      <c r="C148" s="130"/>
      <c r="D148" s="24" t="e">
        <v>#N/A</v>
      </c>
      <c r="E148" s="130"/>
      <c r="F148" s="131"/>
      <c r="G148" s="24"/>
      <c r="H148" s="24"/>
      <c r="I148" s="24" t="e">
        <v>#N/A</v>
      </c>
      <c r="J148" s="24"/>
      <c r="K148" s="69"/>
      <c r="L148" s="130"/>
      <c r="M148" s="130"/>
      <c r="N148" s="24" t="e">
        <v>#N/A</v>
      </c>
      <c r="O148" s="130"/>
      <c r="P148" s="131"/>
      <c r="Q148" s="130"/>
      <c r="R148" s="130"/>
      <c r="S148" s="24" t="e">
        <v>#N/A</v>
      </c>
      <c r="T148" s="130"/>
      <c r="U148" s="131"/>
      <c r="V148" s="24"/>
      <c r="W148" s="24"/>
      <c r="X148" s="24" t="e">
        <v>#N/A</v>
      </c>
      <c r="Y148" s="24"/>
      <c r="Z148" s="69"/>
      <c r="AA148" s="24"/>
      <c r="AB148" s="24"/>
      <c r="AC148" s="24"/>
      <c r="AD148" s="24"/>
      <c r="AE148" s="69"/>
      <c r="AF148" s="130"/>
      <c r="AG148" s="130"/>
      <c r="AH148" s="24" t="e">
        <v>#N/A</v>
      </c>
      <c r="AI148" s="24"/>
      <c r="AJ148" s="69"/>
      <c r="AK148" s="130"/>
      <c r="AL148" s="130"/>
      <c r="AM148" s="24" t="e">
        <v>#N/A</v>
      </c>
      <c r="AN148" s="130"/>
      <c r="AO148" s="131"/>
      <c r="AP148" s="130"/>
      <c r="AQ148" s="130"/>
      <c r="AR148" s="24" t="e">
        <v>#N/A</v>
      </c>
      <c r="AS148" s="130"/>
      <c r="AT148" s="131"/>
      <c r="AU148" s="24"/>
      <c r="AV148" s="24"/>
      <c r="AW148" s="24" t="e">
        <v>#N/A</v>
      </c>
      <c r="AX148" s="24"/>
      <c r="AY148" s="69"/>
      <c r="AZ148" s="24"/>
      <c r="BA148" s="24"/>
      <c r="BB148" s="24" t="e">
        <v>#N/A</v>
      </c>
      <c r="BC148" s="24"/>
      <c r="BD148" s="69"/>
      <c r="BE148" s="24"/>
      <c r="BF148" s="24"/>
      <c r="BG148" s="24" t="e">
        <v>#N/A</v>
      </c>
      <c r="BH148" s="24"/>
      <c r="BI148" s="69"/>
    </row>
    <row r="149" spans="1:61" ht="12.75">
      <c r="A149" s="142">
        <f t="shared" si="0"/>
        <v>1946</v>
      </c>
      <c r="B149" s="130"/>
      <c r="C149" s="130"/>
      <c r="D149" s="24" t="e">
        <v>#N/A</v>
      </c>
      <c r="E149" s="24"/>
      <c r="F149" s="69"/>
      <c r="G149" s="24"/>
      <c r="H149" s="24"/>
      <c r="I149" s="24" t="e">
        <v>#N/A</v>
      </c>
      <c r="J149" s="24"/>
      <c r="K149" s="69"/>
      <c r="L149" s="130"/>
      <c r="M149" s="130"/>
      <c r="N149" s="24" t="e">
        <v>#N/A</v>
      </c>
      <c r="O149" s="130"/>
      <c r="P149" s="131"/>
      <c r="Q149" s="130"/>
      <c r="R149" s="130"/>
      <c r="S149" s="24" t="e">
        <v>#N/A</v>
      </c>
      <c r="T149" s="130"/>
      <c r="U149" s="131"/>
      <c r="V149" s="24"/>
      <c r="W149" s="24"/>
      <c r="X149" s="24" t="e">
        <v>#N/A</v>
      </c>
      <c r="Y149" s="24"/>
      <c r="Z149" s="69"/>
      <c r="AA149" s="24"/>
      <c r="AB149" s="24"/>
      <c r="AC149" s="24"/>
      <c r="AD149" s="24"/>
      <c r="AE149" s="69"/>
      <c r="AF149" s="130"/>
      <c r="AG149" s="130"/>
      <c r="AH149" s="24" t="e">
        <v>#N/A</v>
      </c>
      <c r="AI149" s="24"/>
      <c r="AJ149" s="69"/>
      <c r="AK149" s="130"/>
      <c r="AL149" s="130"/>
      <c r="AM149" s="24" t="e">
        <v>#N/A</v>
      </c>
      <c r="AN149" s="130"/>
      <c r="AO149" s="131"/>
      <c r="AP149" s="24"/>
      <c r="AQ149" s="24"/>
      <c r="AR149" s="24" t="e">
        <v>#N/A</v>
      </c>
      <c r="AS149" s="24"/>
      <c r="AT149" s="69"/>
      <c r="AU149" s="24"/>
      <c r="AV149" s="24"/>
      <c r="AW149" s="24" t="e">
        <v>#N/A</v>
      </c>
      <c r="AX149" s="24"/>
      <c r="AY149" s="69"/>
      <c r="AZ149" s="24"/>
      <c r="BA149" s="24"/>
      <c r="BB149" s="24" t="e">
        <v>#N/A</v>
      </c>
      <c r="BC149" s="24"/>
      <c r="BD149" s="69"/>
      <c r="BE149" s="24"/>
      <c r="BF149" s="24"/>
      <c r="BG149" s="24" t="e">
        <v>#N/A</v>
      </c>
      <c r="BH149" s="24"/>
      <c r="BI149" s="69"/>
    </row>
    <row r="150" spans="1:61" ht="12.75">
      <c r="A150" s="142">
        <f t="shared" si="0"/>
        <v>1947</v>
      </c>
      <c r="B150" s="130"/>
      <c r="C150" s="130"/>
      <c r="D150" s="24" t="e">
        <v>#N/A</v>
      </c>
      <c r="E150" s="24"/>
      <c r="F150" s="69"/>
      <c r="G150" s="24"/>
      <c r="H150" s="24"/>
      <c r="I150" s="24" t="e">
        <v>#N/A</v>
      </c>
      <c r="J150" s="24"/>
      <c r="K150" s="69"/>
      <c r="L150" s="130"/>
      <c r="M150" s="130"/>
      <c r="N150" s="24" t="e">
        <v>#N/A</v>
      </c>
      <c r="O150" s="130"/>
      <c r="P150" s="131"/>
      <c r="Q150" s="130"/>
      <c r="R150" s="130"/>
      <c r="S150" s="24" t="e">
        <v>#N/A</v>
      </c>
      <c r="T150" s="130"/>
      <c r="U150" s="131"/>
      <c r="V150" s="24"/>
      <c r="W150" s="24"/>
      <c r="X150" s="24" t="e">
        <v>#N/A</v>
      </c>
      <c r="Y150" s="24"/>
      <c r="Z150" s="69"/>
      <c r="AA150" s="24"/>
      <c r="AB150" s="24"/>
      <c r="AC150" s="24"/>
      <c r="AD150" s="24"/>
      <c r="AE150" s="69"/>
      <c r="AF150" s="130"/>
      <c r="AG150" s="130"/>
      <c r="AH150" s="24" t="e">
        <v>#N/A</v>
      </c>
      <c r="AI150" s="24"/>
      <c r="AJ150" s="69"/>
      <c r="AK150" s="130"/>
      <c r="AL150" s="130"/>
      <c r="AM150" s="24" t="e">
        <v>#N/A</v>
      </c>
      <c r="AN150" s="130"/>
      <c r="AO150" s="131"/>
      <c r="AP150" s="24"/>
      <c r="AQ150" s="24"/>
      <c r="AR150" s="24" t="e">
        <v>#N/A</v>
      </c>
      <c r="AS150" s="24"/>
      <c r="AT150" s="69"/>
      <c r="AU150" s="24"/>
      <c r="AV150" s="24"/>
      <c r="AW150" s="24" t="e">
        <v>#N/A</v>
      </c>
      <c r="AX150" s="24"/>
      <c r="AY150" s="69"/>
      <c r="AZ150" s="24"/>
      <c r="BA150" s="24"/>
      <c r="BB150" s="24" t="e">
        <v>#N/A</v>
      </c>
      <c r="BC150" s="24"/>
      <c r="BD150" s="69"/>
      <c r="BE150" s="24"/>
      <c r="BF150" s="24"/>
      <c r="BG150" s="24" t="e">
        <v>#N/A</v>
      </c>
      <c r="BH150" s="24"/>
      <c r="BI150" s="69"/>
    </row>
    <row r="151" spans="1:61" ht="12.75">
      <c r="A151" s="142">
        <f t="shared" si="0"/>
        <v>1948</v>
      </c>
      <c r="B151" s="130"/>
      <c r="C151" s="130"/>
      <c r="D151" s="24" t="e">
        <v>#N/A</v>
      </c>
      <c r="E151" s="24"/>
      <c r="F151" s="69"/>
      <c r="G151" s="24"/>
      <c r="H151" s="24"/>
      <c r="I151" s="24" t="e">
        <v>#N/A</v>
      </c>
      <c r="J151" s="24"/>
      <c r="K151" s="69"/>
      <c r="L151" s="130"/>
      <c r="M151" s="130"/>
      <c r="N151" s="24" t="e">
        <v>#N/A</v>
      </c>
      <c r="O151" s="130"/>
      <c r="P151" s="131"/>
      <c r="Q151" s="130"/>
      <c r="R151" s="130"/>
      <c r="S151" s="24" t="e">
        <v>#N/A</v>
      </c>
      <c r="T151" s="130"/>
      <c r="U151" s="131"/>
      <c r="X151" s="24" t="e">
        <v>#N/A</v>
      </c>
      <c r="Z151" s="47"/>
      <c r="AA151" s="24"/>
      <c r="AB151" s="24"/>
      <c r="AC151" s="24"/>
      <c r="AD151" s="24"/>
      <c r="AE151" s="69"/>
      <c r="AF151" s="130"/>
      <c r="AG151" s="130"/>
      <c r="AH151" s="24" t="e">
        <v>#N/A</v>
      </c>
      <c r="AI151" s="24"/>
      <c r="AJ151" s="69"/>
      <c r="AK151" s="130"/>
      <c r="AL151" s="130"/>
      <c r="AM151" s="24" t="e">
        <v>#N/A</v>
      </c>
      <c r="AN151" s="130"/>
      <c r="AO151" s="131"/>
      <c r="AP151" s="24"/>
      <c r="AQ151" s="24"/>
      <c r="AR151" s="24" t="e">
        <v>#N/A</v>
      </c>
      <c r="AS151" s="24"/>
      <c r="AT151" s="69"/>
      <c r="AU151" s="24"/>
      <c r="AV151" s="24"/>
      <c r="AW151" s="24" t="e">
        <v>#N/A</v>
      </c>
      <c r="AX151" s="24"/>
      <c r="AY151" s="69"/>
      <c r="AZ151" s="24"/>
      <c r="BA151" s="24"/>
      <c r="BB151" s="24" t="e">
        <v>#N/A</v>
      </c>
      <c r="BC151" s="24"/>
      <c r="BD151" s="69"/>
      <c r="BE151" s="24"/>
      <c r="BF151" s="24"/>
      <c r="BG151" s="24" t="e">
        <v>#N/A</v>
      </c>
      <c r="BH151" s="24"/>
      <c r="BI151" s="69"/>
    </row>
    <row r="152" spans="1:61" ht="12.75">
      <c r="A152" s="142">
        <f t="shared" si="0"/>
        <v>1949</v>
      </c>
      <c r="B152" s="130"/>
      <c r="C152" s="130"/>
      <c r="D152" s="24" t="e">
        <v>#N/A</v>
      </c>
      <c r="E152" s="24"/>
      <c r="F152" s="69"/>
      <c r="G152" s="24"/>
      <c r="H152" s="24"/>
      <c r="I152" s="24" t="e">
        <v>#N/A</v>
      </c>
      <c r="J152" s="24"/>
      <c r="K152" s="69"/>
      <c r="L152" s="130"/>
      <c r="M152" s="130"/>
      <c r="N152" s="24" t="e">
        <v>#N/A</v>
      </c>
      <c r="O152" s="130"/>
      <c r="P152" s="131"/>
      <c r="Q152" s="130"/>
      <c r="R152" s="130"/>
      <c r="S152" s="24" t="e">
        <v>#N/A</v>
      </c>
      <c r="T152" s="130"/>
      <c r="U152" s="131"/>
      <c r="V152" s="130">
        <f>CAR!$H$77</f>
        <v>93.81187804461408</v>
      </c>
      <c r="W152" s="130">
        <f>CAR!$I$77</f>
        <v>96.41821849947281</v>
      </c>
      <c r="X152" s="130">
        <f>(V152+W152)/2</f>
        <v>95.11504827204345</v>
      </c>
      <c r="Y152" s="130">
        <f>(W152-V152)/2</f>
        <v>1.3031702274293693</v>
      </c>
      <c r="Z152" s="131">
        <f>(W152-V152)/2</f>
        <v>1.3031702274293693</v>
      </c>
      <c r="AA152" s="24"/>
      <c r="AB152" s="24"/>
      <c r="AC152" s="24"/>
      <c r="AD152" s="24"/>
      <c r="AE152" s="69"/>
      <c r="AF152" s="130"/>
      <c r="AG152" s="130"/>
      <c r="AH152" s="24" t="e">
        <v>#N/A</v>
      </c>
      <c r="AI152" s="24"/>
      <c r="AJ152" s="69"/>
      <c r="AK152" s="130"/>
      <c r="AL152" s="130"/>
      <c r="AM152" s="24" t="e">
        <v>#N/A</v>
      </c>
      <c r="AN152" s="130"/>
      <c r="AO152" s="131"/>
      <c r="AP152" s="24"/>
      <c r="AQ152" s="24"/>
      <c r="AR152" s="24" t="e">
        <v>#N/A</v>
      </c>
      <c r="AS152" s="24"/>
      <c r="AT152" s="69"/>
      <c r="AU152" s="24"/>
      <c r="AV152" s="24"/>
      <c r="AW152" s="24" t="e">
        <v>#N/A</v>
      </c>
      <c r="AX152" s="24"/>
      <c r="AY152" s="69"/>
      <c r="AZ152" s="24"/>
      <c r="BA152" s="24"/>
      <c r="BB152" s="24" t="e">
        <v>#N/A</v>
      </c>
      <c r="BC152" s="24"/>
      <c r="BD152" s="69"/>
      <c r="BE152" s="24"/>
      <c r="BF152" s="24"/>
      <c r="BG152" s="24" t="e">
        <v>#N/A</v>
      </c>
      <c r="BH152" s="24"/>
      <c r="BI152" s="69"/>
    </row>
    <row r="153" spans="1:61" ht="12.75">
      <c r="A153" s="137">
        <f t="shared" si="0"/>
        <v>1950</v>
      </c>
      <c r="B153" s="219"/>
      <c r="C153" s="219"/>
      <c r="D153" s="56" t="e">
        <v>#N/A</v>
      </c>
      <c r="E153" s="56"/>
      <c r="F153" s="139"/>
      <c r="G153" s="219">
        <f>CBrazza!$D$34</f>
        <v>95.65530000000001</v>
      </c>
      <c r="H153" s="219">
        <f>CBrazza!$E$34</f>
        <v>98.3333</v>
      </c>
      <c r="I153" s="219">
        <f>(G153+H153)/2</f>
        <v>96.99430000000001</v>
      </c>
      <c r="J153" s="219">
        <f>(H153-G153)/2</f>
        <v>1.3389999999999915</v>
      </c>
      <c r="K153" s="267">
        <f>(H153-G153)/2</f>
        <v>1.3389999999999915</v>
      </c>
      <c r="L153" s="219"/>
      <c r="M153" s="219"/>
      <c r="N153" s="56" t="e">
        <v>#N/A</v>
      </c>
      <c r="O153" s="219"/>
      <c r="P153" s="267"/>
      <c r="Q153" s="219"/>
      <c r="R153" s="219"/>
      <c r="S153" s="56" t="e">
        <v>#N/A</v>
      </c>
      <c r="T153" s="219"/>
      <c r="U153" s="267"/>
      <c r="V153" s="56"/>
      <c r="W153" s="56"/>
      <c r="X153" s="56" t="e">
        <v>#N/A</v>
      </c>
      <c r="Y153" s="56"/>
      <c r="Z153" s="139"/>
      <c r="AA153" s="56"/>
      <c r="AB153" s="56"/>
      <c r="AC153" s="56"/>
      <c r="AD153" s="56"/>
      <c r="AE153" s="139"/>
      <c r="AF153" s="219"/>
      <c r="AG153" s="219"/>
      <c r="AH153" s="56" t="e">
        <v>#N/A</v>
      </c>
      <c r="AI153" s="56"/>
      <c r="AJ153" s="139"/>
      <c r="AK153" s="219"/>
      <c r="AL153" s="219"/>
      <c r="AM153" s="56" t="e">
        <v>#N/A</v>
      </c>
      <c r="AN153" s="219"/>
      <c r="AO153" s="267"/>
      <c r="AP153" s="56"/>
      <c r="AQ153" s="56"/>
      <c r="AR153" s="56" t="e">
        <v>#N/A</v>
      </c>
      <c r="AS153" s="56"/>
      <c r="AT153" s="139"/>
      <c r="AU153" s="56"/>
      <c r="AV153" s="56"/>
      <c r="AW153" s="56" t="e">
        <v>#N/A</v>
      </c>
      <c r="AX153" s="56"/>
      <c r="AY153" s="139"/>
      <c r="AZ153" s="219">
        <f>Guinea!$D$30</f>
        <v>95.09565217391304</v>
      </c>
      <c r="BA153" s="219">
        <f>Guinea!$E$30</f>
        <v>98.36521739130434</v>
      </c>
      <c r="BB153" s="219">
        <f>(AZ153+BA153)/2</f>
        <v>96.73043478260868</v>
      </c>
      <c r="BC153" s="219">
        <f>(BA153-AZ153)/2</f>
        <v>1.6347826086956516</v>
      </c>
      <c r="BD153" s="267">
        <f>(BA153-AZ153)/2</f>
        <v>1.6347826086956516</v>
      </c>
      <c r="BE153" s="219">
        <f>GBissau!$D$30</f>
        <v>60.64359970597501</v>
      </c>
      <c r="BF153" s="219">
        <f>GBissau!$E$30</f>
        <v>74.77087052399455</v>
      </c>
      <c r="BG153" s="219">
        <f>(BE153+BF153)/2</f>
        <v>67.70723511498477</v>
      </c>
      <c r="BH153" s="219">
        <f>(BF153-BE153)/2</f>
        <v>7.06363540900977</v>
      </c>
      <c r="BI153" s="267">
        <f>(BF153-BE153)/2</f>
        <v>7.06363540900977</v>
      </c>
    </row>
    <row r="154" spans="1:61" ht="12.75">
      <c r="A154" s="142">
        <f t="shared" si="0"/>
        <v>1951</v>
      </c>
      <c r="B154" s="130"/>
      <c r="C154" s="130"/>
      <c r="D154" s="24" t="e">
        <v>#N/A</v>
      </c>
      <c r="E154" s="24"/>
      <c r="F154" s="69"/>
      <c r="G154" s="130"/>
      <c r="H154" s="130"/>
      <c r="I154" s="24" t="e">
        <v>#N/A</v>
      </c>
      <c r="J154" s="130"/>
      <c r="K154" s="131"/>
      <c r="L154" s="130"/>
      <c r="M154" s="130"/>
      <c r="N154" s="24" t="e">
        <v>#N/A</v>
      </c>
      <c r="O154" s="130"/>
      <c r="P154" s="131"/>
      <c r="Q154" s="130"/>
      <c r="R154" s="130"/>
      <c r="S154" s="24" t="e">
        <v>#N/A</v>
      </c>
      <c r="T154" s="130"/>
      <c r="U154" s="131"/>
      <c r="V154" s="24"/>
      <c r="W154" s="24"/>
      <c r="X154" s="24" t="e">
        <v>#N/A</v>
      </c>
      <c r="Y154" s="24"/>
      <c r="Z154" s="69"/>
      <c r="AA154" s="24"/>
      <c r="AB154" s="24"/>
      <c r="AC154" s="24"/>
      <c r="AD154" s="24"/>
      <c r="AE154" s="69"/>
      <c r="AF154" s="130"/>
      <c r="AG154" s="130"/>
      <c r="AH154" s="24" t="e">
        <v>#N/A</v>
      </c>
      <c r="AI154" s="24"/>
      <c r="AJ154" s="69"/>
      <c r="AK154" s="130"/>
      <c r="AL154" s="130"/>
      <c r="AM154" s="24" t="e">
        <v>#N/A</v>
      </c>
      <c r="AN154" s="130"/>
      <c r="AO154" s="131"/>
      <c r="AP154" s="24"/>
      <c r="AQ154" s="24"/>
      <c r="AR154" s="24" t="e">
        <v>#N/A</v>
      </c>
      <c r="AS154" s="24"/>
      <c r="AT154" s="69"/>
      <c r="AU154" s="24"/>
      <c r="AV154" s="24"/>
      <c r="AW154" s="24" t="e">
        <v>#N/A</v>
      </c>
      <c r="AX154" s="24"/>
      <c r="AY154" s="69"/>
      <c r="AZ154" s="130"/>
      <c r="BA154" s="130"/>
      <c r="BB154" s="24" t="e">
        <v>#N/A</v>
      </c>
      <c r="BC154" s="130"/>
      <c r="BD154" s="131"/>
      <c r="BE154" s="130"/>
      <c r="BF154" s="130"/>
      <c r="BG154" s="24" t="e">
        <v>#N/A</v>
      </c>
      <c r="BH154" s="130"/>
      <c r="BI154" s="131"/>
    </row>
    <row r="155" spans="1:61" ht="12.75">
      <c r="A155" s="142">
        <f t="shared" si="0"/>
        <v>1952</v>
      </c>
      <c r="B155" s="130"/>
      <c r="C155" s="130"/>
      <c r="D155" s="24" t="e">
        <v>#N/A</v>
      </c>
      <c r="E155" s="24"/>
      <c r="F155" s="69"/>
      <c r="G155" s="24"/>
      <c r="H155" s="24"/>
      <c r="I155" s="24" t="e">
        <v>#N/A</v>
      </c>
      <c r="J155" s="24"/>
      <c r="K155" s="69"/>
      <c r="L155" s="130"/>
      <c r="M155" s="130"/>
      <c r="N155" s="24" t="e">
        <v>#N/A</v>
      </c>
      <c r="O155" s="130"/>
      <c r="P155" s="131"/>
      <c r="Q155" s="130"/>
      <c r="R155" s="130"/>
      <c r="S155" s="24" t="e">
        <v>#N/A</v>
      </c>
      <c r="T155" s="130"/>
      <c r="U155" s="131"/>
      <c r="V155" s="24"/>
      <c r="W155" s="24"/>
      <c r="X155" s="24" t="e">
        <v>#N/A</v>
      </c>
      <c r="Y155" s="24"/>
      <c r="Z155" s="69"/>
      <c r="AA155" s="24"/>
      <c r="AB155" s="24"/>
      <c r="AC155" s="24"/>
      <c r="AD155" s="24"/>
      <c r="AE155" s="69"/>
      <c r="AF155" s="130"/>
      <c r="AG155" s="130"/>
      <c r="AH155" s="24" t="e">
        <v>#N/A</v>
      </c>
      <c r="AI155" s="24"/>
      <c r="AJ155" s="69"/>
      <c r="AK155" s="130"/>
      <c r="AL155" s="130"/>
      <c r="AM155" s="24" t="e">
        <v>#N/A</v>
      </c>
      <c r="AN155" s="130"/>
      <c r="AO155" s="131"/>
      <c r="AP155" s="24"/>
      <c r="AQ155" s="24"/>
      <c r="AR155" s="24" t="e">
        <v>#N/A</v>
      </c>
      <c r="AS155" s="24"/>
      <c r="AT155" s="69"/>
      <c r="AU155" s="24"/>
      <c r="AV155" s="24"/>
      <c r="AW155" s="24" t="e">
        <v>#N/A</v>
      </c>
      <c r="AX155" s="24"/>
      <c r="AY155" s="69"/>
      <c r="AZ155" s="24"/>
      <c r="BA155" s="24"/>
      <c r="BB155" s="24" t="e">
        <v>#N/A</v>
      </c>
      <c r="BC155" s="24"/>
      <c r="BD155" s="69"/>
      <c r="BE155" s="24"/>
      <c r="BF155" s="24"/>
      <c r="BG155" s="24" t="e">
        <v>#N/A</v>
      </c>
      <c r="BH155" s="24"/>
      <c r="BI155" s="69"/>
    </row>
    <row r="156" spans="1:61" ht="12.75">
      <c r="A156" s="142">
        <f t="shared" si="0"/>
        <v>1953</v>
      </c>
      <c r="B156" s="130"/>
      <c r="C156" s="130"/>
      <c r="D156" s="24" t="e">
        <v>#N/A</v>
      </c>
      <c r="E156" s="24"/>
      <c r="F156" s="69"/>
      <c r="G156" s="24"/>
      <c r="H156" s="24"/>
      <c r="I156" s="24" t="e">
        <v>#N/A</v>
      </c>
      <c r="J156" s="24"/>
      <c r="K156" s="69"/>
      <c r="L156" s="130">
        <f>Gabon!$H$72</f>
        <v>95.96395807880585</v>
      </c>
      <c r="M156" s="130">
        <f>Gabon!$I$72</f>
        <v>98.45289517208134</v>
      </c>
      <c r="N156" s="130">
        <f>(L156+M156)/2</f>
        <v>97.2084266254436</v>
      </c>
      <c r="O156" s="130">
        <f>(M156-L156)/2</f>
        <v>1.2444685466377479</v>
      </c>
      <c r="P156" s="131">
        <f>(M156-L156)/2</f>
        <v>1.2444685466377479</v>
      </c>
      <c r="Q156" s="130"/>
      <c r="R156" s="130"/>
      <c r="S156" s="24" t="e">
        <v>#N/A</v>
      </c>
      <c r="T156" s="130"/>
      <c r="U156" s="131"/>
      <c r="V156" s="24"/>
      <c r="W156" s="24"/>
      <c r="X156" s="24" t="e">
        <v>#N/A</v>
      </c>
      <c r="Y156" s="24"/>
      <c r="Z156" s="69"/>
      <c r="AA156" s="24"/>
      <c r="AB156" s="24"/>
      <c r="AC156" s="24"/>
      <c r="AD156" s="24"/>
      <c r="AE156" s="69"/>
      <c r="AF156" s="130"/>
      <c r="AG156" s="130"/>
      <c r="AH156" s="24" t="e">
        <v>#N/A</v>
      </c>
      <c r="AI156" s="24"/>
      <c r="AJ156" s="69"/>
      <c r="AK156" s="130"/>
      <c r="AL156" s="130"/>
      <c r="AM156" s="24" t="e">
        <v>#N/A</v>
      </c>
      <c r="AN156" s="130"/>
      <c r="AO156" s="131"/>
      <c r="AP156" s="24"/>
      <c r="AQ156" s="24"/>
      <c r="AR156" s="24" t="e">
        <v>#N/A</v>
      </c>
      <c r="AS156" s="24"/>
      <c r="AT156" s="69"/>
      <c r="AU156" s="130">
        <f>SLeone!$H$75</f>
        <v>93.98222222222222</v>
      </c>
      <c r="AV156" s="130">
        <f>SLeone!$I$75</f>
        <v>96.54222222222222</v>
      </c>
      <c r="AW156" s="130">
        <f>(AU156+AV156)/2</f>
        <v>95.26222222222222</v>
      </c>
      <c r="AX156" s="130">
        <f>(AV156-AU156)/2</f>
        <v>1.2800000000000011</v>
      </c>
      <c r="AY156" s="131">
        <f>(AV156-AU156)/2</f>
        <v>1.2800000000000011</v>
      </c>
      <c r="AZ156" s="24"/>
      <c r="BA156" s="24"/>
      <c r="BB156" s="24" t="e">
        <v>#N/A</v>
      </c>
      <c r="BC156" s="24"/>
      <c r="BD156" s="69"/>
      <c r="BE156" s="24"/>
      <c r="BF156" s="24"/>
      <c r="BG156" s="24" t="e">
        <v>#N/A</v>
      </c>
      <c r="BH156" s="24"/>
      <c r="BI156" s="69"/>
    </row>
    <row r="157" spans="1:61" ht="12.75">
      <c r="A157" s="142">
        <f t="shared" si="0"/>
        <v>1954</v>
      </c>
      <c r="B157" s="130"/>
      <c r="C157" s="130"/>
      <c r="D157" s="24" t="e">
        <v>#N/A</v>
      </c>
      <c r="E157" s="24"/>
      <c r="F157" s="69"/>
      <c r="G157" s="24"/>
      <c r="H157" s="24"/>
      <c r="I157" s="24" t="e">
        <v>#N/A</v>
      </c>
      <c r="J157" s="24"/>
      <c r="K157" s="69"/>
      <c r="N157" s="24" t="e">
        <v>#N/A</v>
      </c>
      <c r="P157" s="47"/>
      <c r="Q157" s="130"/>
      <c r="R157" s="130"/>
      <c r="S157" s="24" t="e">
        <v>#N/A</v>
      </c>
      <c r="T157" s="130"/>
      <c r="U157" s="131"/>
      <c r="V157" s="24"/>
      <c r="W157" s="24"/>
      <c r="X157" s="24" t="e">
        <v>#N/A</v>
      </c>
      <c r="Y157" s="24"/>
      <c r="Z157" s="69"/>
      <c r="AA157" s="24"/>
      <c r="AB157" s="24"/>
      <c r="AC157" s="24"/>
      <c r="AD157" s="24"/>
      <c r="AE157" s="69"/>
      <c r="AF157" s="130"/>
      <c r="AG157" s="130"/>
      <c r="AH157" s="24" t="e">
        <v>#N/A</v>
      </c>
      <c r="AI157" s="24"/>
      <c r="AJ157" s="69"/>
      <c r="AK157" s="130"/>
      <c r="AL157" s="130"/>
      <c r="AM157" s="24" t="e">
        <v>#N/A</v>
      </c>
      <c r="AN157" s="130"/>
      <c r="AO157" s="131"/>
      <c r="AP157" s="24"/>
      <c r="AQ157" s="24"/>
      <c r="AR157" s="24" t="e">
        <v>#N/A</v>
      </c>
      <c r="AS157" s="24"/>
      <c r="AT157" s="69"/>
      <c r="AW157" s="24" t="e">
        <v>#N/A</v>
      </c>
      <c r="AY157" s="47"/>
      <c r="AZ157" s="24"/>
      <c r="BA157" s="24"/>
      <c r="BB157" s="24" t="e">
        <v>#N/A</v>
      </c>
      <c r="BC157" s="24"/>
      <c r="BD157" s="69"/>
      <c r="BE157" s="24"/>
      <c r="BF157" s="24"/>
      <c r="BG157" s="24" t="e">
        <v>#N/A</v>
      </c>
      <c r="BH157" s="24"/>
      <c r="BI157" s="69"/>
    </row>
    <row r="158" spans="1:61" ht="12.75">
      <c r="A158" s="142">
        <f t="shared" si="0"/>
        <v>1955</v>
      </c>
      <c r="B158" s="130"/>
      <c r="C158" s="130"/>
      <c r="D158" s="24" t="e">
        <v>#N/A</v>
      </c>
      <c r="E158" s="24"/>
      <c r="F158" s="69"/>
      <c r="G158" s="24"/>
      <c r="H158" s="24"/>
      <c r="I158" s="24" t="e">
        <v>#N/A</v>
      </c>
      <c r="J158" s="24"/>
      <c r="K158" s="69"/>
      <c r="L158" s="130"/>
      <c r="M158" s="130"/>
      <c r="N158" s="24" t="e">
        <v>#N/A</v>
      </c>
      <c r="O158" s="130"/>
      <c r="P158" s="131"/>
      <c r="Q158" s="130"/>
      <c r="R158" s="130"/>
      <c r="S158" s="24" t="e">
        <v>#N/A</v>
      </c>
      <c r="T158" s="130"/>
      <c r="U158" s="131"/>
      <c r="V158" s="24"/>
      <c r="W158" s="24"/>
      <c r="X158" s="24" t="e">
        <v>#N/A</v>
      </c>
      <c r="Y158" s="24"/>
      <c r="Z158" s="69"/>
      <c r="AA158" s="24"/>
      <c r="AB158" s="24"/>
      <c r="AC158" s="24"/>
      <c r="AD158" s="24"/>
      <c r="AE158" s="69"/>
      <c r="AF158" s="130">
        <f>IvoryC!$D$47</f>
        <v>49.65968335017157</v>
      </c>
      <c r="AG158" s="130">
        <f>IvoryC!$E$47</f>
        <v>61.95957837667282</v>
      </c>
      <c r="AH158" s="130">
        <f>(AF158+AG158)/2</f>
        <v>55.8096308634222</v>
      </c>
      <c r="AI158" s="130">
        <f>(AG158-AF158)/2</f>
        <v>6.149947513250627</v>
      </c>
      <c r="AJ158" s="131">
        <f>(AG158-AF158)/2</f>
        <v>6.149947513250627</v>
      </c>
      <c r="AK158" s="130"/>
      <c r="AL158" s="130"/>
      <c r="AM158" s="24" t="e">
        <v>#N/A</v>
      </c>
      <c r="AN158" s="130"/>
      <c r="AO158" s="131"/>
      <c r="AP158" s="24"/>
      <c r="AQ158" s="24"/>
      <c r="AR158" s="24" t="e">
        <v>#N/A</v>
      </c>
      <c r="AS158" s="24"/>
      <c r="AT158" s="69"/>
      <c r="AU158" s="130"/>
      <c r="AV158" s="130"/>
      <c r="AW158" s="24" t="e">
        <v>#N/A</v>
      </c>
      <c r="AX158" s="130"/>
      <c r="AY158" s="131"/>
      <c r="AZ158" s="24"/>
      <c r="BA158" s="24"/>
      <c r="BB158" s="24" t="e">
        <v>#N/A</v>
      </c>
      <c r="BC158" s="24"/>
      <c r="BD158" s="69"/>
      <c r="BE158" s="24"/>
      <c r="BF158" s="24"/>
      <c r="BG158" s="24" t="e">
        <v>#N/A</v>
      </c>
      <c r="BH158" s="24"/>
      <c r="BI158" s="69"/>
    </row>
    <row r="159" spans="1:61" ht="12.75">
      <c r="A159" s="142">
        <f t="shared" si="0"/>
        <v>1956</v>
      </c>
      <c r="B159" s="130"/>
      <c r="C159" s="130"/>
      <c r="D159" s="24" t="e">
        <v>#N/A</v>
      </c>
      <c r="E159" s="24"/>
      <c r="F159" s="69"/>
      <c r="G159" s="24"/>
      <c r="H159" s="24"/>
      <c r="I159" s="24" t="e">
        <v>#N/A</v>
      </c>
      <c r="J159" s="24"/>
      <c r="K159" s="69"/>
      <c r="L159" s="130"/>
      <c r="M159" s="130"/>
      <c r="N159" s="24" t="e">
        <v>#N/A</v>
      </c>
      <c r="O159" s="130"/>
      <c r="P159" s="131"/>
      <c r="Q159" s="130"/>
      <c r="R159" s="130"/>
      <c r="S159" s="24" t="e">
        <v>#N/A</v>
      </c>
      <c r="T159" s="130"/>
      <c r="U159" s="131"/>
      <c r="V159" s="24"/>
      <c r="W159" s="24"/>
      <c r="X159" s="24" t="e">
        <v>#N/A</v>
      </c>
      <c r="Y159" s="24"/>
      <c r="Z159" s="69"/>
      <c r="AA159" s="24"/>
      <c r="AB159" s="24"/>
      <c r="AC159" s="24"/>
      <c r="AD159" s="24"/>
      <c r="AE159" s="69"/>
      <c r="AH159" s="24" t="e">
        <v>#N/A</v>
      </c>
      <c r="AJ159" s="47"/>
      <c r="AK159" s="130"/>
      <c r="AL159" s="130"/>
      <c r="AM159" s="24" t="e">
        <v>#N/A</v>
      </c>
      <c r="AN159" s="130"/>
      <c r="AO159" s="131"/>
      <c r="AP159" s="24"/>
      <c r="AQ159" s="24"/>
      <c r="AR159" s="24" t="e">
        <v>#N/A</v>
      </c>
      <c r="AS159" s="24"/>
      <c r="AT159" s="69"/>
      <c r="AU159" s="24"/>
      <c r="AV159" s="24"/>
      <c r="AW159" s="24" t="e">
        <v>#N/A</v>
      </c>
      <c r="AX159" s="24"/>
      <c r="AY159" s="69"/>
      <c r="AZ159" s="24"/>
      <c r="BA159" s="24"/>
      <c r="BB159" s="24" t="e">
        <v>#N/A</v>
      </c>
      <c r="BC159" s="24"/>
      <c r="BD159" s="69"/>
      <c r="BE159" s="24"/>
      <c r="BF159" s="24"/>
      <c r="BG159" s="24" t="e">
        <v>#N/A</v>
      </c>
      <c r="BH159" s="24"/>
      <c r="BI159" s="69"/>
    </row>
    <row r="160" spans="1:61" ht="12.75">
      <c r="A160" s="142">
        <f t="shared" si="0"/>
        <v>1957</v>
      </c>
      <c r="B160" s="130"/>
      <c r="C160" s="130"/>
      <c r="D160" s="24" t="e">
        <v>#N/A</v>
      </c>
      <c r="E160" s="24"/>
      <c r="F160" s="69"/>
      <c r="G160" s="24"/>
      <c r="H160" s="24"/>
      <c r="I160" s="24" t="e">
        <v>#N/A</v>
      </c>
      <c r="J160" s="24"/>
      <c r="K160" s="69"/>
      <c r="L160" s="130"/>
      <c r="M160" s="130"/>
      <c r="N160" s="24" t="e">
        <v>#N/A</v>
      </c>
      <c r="O160" s="130"/>
      <c r="P160" s="131"/>
      <c r="Q160" s="130"/>
      <c r="R160" s="130"/>
      <c r="S160" s="24" t="e">
        <v>#N/A</v>
      </c>
      <c r="T160" s="130"/>
      <c r="U160" s="131"/>
      <c r="V160" s="24"/>
      <c r="W160" s="24"/>
      <c r="X160" s="24" t="e">
        <v>#N/A</v>
      </c>
      <c r="Y160" s="24"/>
      <c r="Z160" s="69"/>
      <c r="AA160" s="130">
        <f>Cameroon!$D$146</f>
        <v>95.64516129032258</v>
      </c>
      <c r="AB160" s="130">
        <f>Cameroon!$E$146</f>
        <v>98.28273244781784</v>
      </c>
      <c r="AC160" s="130">
        <f>(AA160+AB160)/2</f>
        <v>96.96394686907021</v>
      </c>
      <c r="AD160" s="130">
        <f>(AB160-AA160)/2</f>
        <v>1.3187855787476295</v>
      </c>
      <c r="AE160" s="131">
        <f>(AB160-AA160)/2</f>
        <v>1.3187855787476295</v>
      </c>
      <c r="AF160" s="130"/>
      <c r="AG160" s="130"/>
      <c r="AH160" s="24" t="e">
        <v>#N/A</v>
      </c>
      <c r="AI160" s="130"/>
      <c r="AJ160" s="131"/>
      <c r="AK160" s="130"/>
      <c r="AL160" s="130"/>
      <c r="AM160" s="24" t="e">
        <v>#N/A</v>
      </c>
      <c r="AN160" s="130"/>
      <c r="AO160" s="131"/>
      <c r="AP160" s="24"/>
      <c r="AQ160" s="24"/>
      <c r="AR160" s="24" t="e">
        <v>#N/A</v>
      </c>
      <c r="AS160" s="24"/>
      <c r="AT160" s="69"/>
      <c r="AU160" s="24"/>
      <c r="AV160" s="24"/>
      <c r="AW160" s="24" t="e">
        <v>#N/A</v>
      </c>
      <c r="AX160" s="24"/>
      <c r="AY160" s="69"/>
      <c r="AZ160" s="24"/>
      <c r="BA160" s="24"/>
      <c r="BB160" s="24" t="e">
        <v>#N/A</v>
      </c>
      <c r="BC160" s="24"/>
      <c r="BD160" s="69"/>
      <c r="BE160" s="24"/>
      <c r="BF160" s="24"/>
      <c r="BG160" s="24" t="e">
        <v>#N/A</v>
      </c>
      <c r="BH160" s="24"/>
      <c r="BI160" s="69"/>
    </row>
    <row r="161" spans="1:61" ht="12.75">
      <c r="A161" s="142">
        <f t="shared" si="0"/>
        <v>1958</v>
      </c>
      <c r="B161" s="130">
        <f>DRC!$D$360</f>
        <v>96.28481388106924</v>
      </c>
      <c r="C161" s="130">
        <f>DRC!$E$360</f>
        <v>98.3740813133704</v>
      </c>
      <c r="D161" s="130">
        <f>(B161+C161)/2</f>
        <v>97.32944759721983</v>
      </c>
      <c r="E161" s="130">
        <f>(C161-B161)/2</f>
        <v>1.044633716150578</v>
      </c>
      <c r="F161" s="131">
        <f>(C161-B161)/2</f>
        <v>1.044633716150578</v>
      </c>
      <c r="G161" s="24"/>
      <c r="H161" s="24"/>
      <c r="I161" s="24" t="e">
        <v>#N/A</v>
      </c>
      <c r="J161" s="24"/>
      <c r="K161" s="69"/>
      <c r="L161" s="130"/>
      <c r="M161" s="130"/>
      <c r="N161" s="24" t="e">
        <v>#N/A</v>
      </c>
      <c r="O161" s="130"/>
      <c r="P161" s="131"/>
      <c r="Q161" s="130"/>
      <c r="R161" s="130"/>
      <c r="S161" s="24" t="e">
        <v>#N/A</v>
      </c>
      <c r="T161" s="130"/>
      <c r="U161" s="131"/>
      <c r="V161" s="24"/>
      <c r="W161" s="24"/>
      <c r="X161" s="24" t="e">
        <v>#N/A</v>
      </c>
      <c r="Y161" s="24"/>
      <c r="Z161" s="69"/>
      <c r="AC161" s="24" t="e">
        <v>#N/A</v>
      </c>
      <c r="AE161" s="47"/>
      <c r="AF161" s="130"/>
      <c r="AG161" s="130"/>
      <c r="AH161" s="24" t="e">
        <v>#N/A</v>
      </c>
      <c r="AI161" s="24"/>
      <c r="AJ161" s="69"/>
      <c r="AK161" s="130">
        <f>IvoryC!$D$113</f>
        <v>68.97359735973596</v>
      </c>
      <c r="AL161" s="130">
        <f>IvoryC!$E$113</f>
        <v>76.85478547854785</v>
      </c>
      <c r="AM161" s="130">
        <f>(AK161+AL161)/2</f>
        <v>72.9141914191419</v>
      </c>
      <c r="AN161" s="130">
        <f>(AL161-AK161)/2</f>
        <v>3.940594059405946</v>
      </c>
      <c r="AO161" s="131">
        <f>(AL161-AK161)/2</f>
        <v>3.940594059405946</v>
      </c>
      <c r="AP161" s="130">
        <f>Liberia!$D$31</f>
        <v>90.53333333333335</v>
      </c>
      <c r="AQ161" s="130">
        <f>Liberia!$E$31</f>
        <v>93.73333333333333</v>
      </c>
      <c r="AR161" s="130">
        <f>(AP161+AQ161)/2</f>
        <v>92.13333333333334</v>
      </c>
      <c r="AS161" s="130">
        <f>(AQ161-AP161)/2</f>
        <v>1.5999999999999943</v>
      </c>
      <c r="AT161" s="131">
        <f>(AQ161-AP161)/2</f>
        <v>1.5999999999999943</v>
      </c>
      <c r="AU161" s="24"/>
      <c r="AV161" s="24"/>
      <c r="AW161" s="24" t="e">
        <v>#N/A</v>
      </c>
      <c r="AX161" s="24"/>
      <c r="AY161" s="69"/>
      <c r="AZ161" s="24"/>
      <c r="BA161" s="24"/>
      <c r="BB161" s="24" t="e">
        <v>#N/A</v>
      </c>
      <c r="BC161" s="24"/>
      <c r="BD161" s="69"/>
      <c r="BE161" s="24"/>
      <c r="BF161" s="24"/>
      <c r="BG161" s="24" t="e">
        <v>#N/A</v>
      </c>
      <c r="BH161" s="24"/>
      <c r="BI161" s="69"/>
    </row>
    <row r="162" spans="1:61" ht="12.75">
      <c r="A162" s="142">
        <f t="shared" si="0"/>
        <v>1959</v>
      </c>
      <c r="B162" s="130"/>
      <c r="C162" s="130"/>
      <c r="D162" s="24" t="e">
        <v>#N/A</v>
      </c>
      <c r="E162" s="130"/>
      <c r="F162" s="131"/>
      <c r="G162" s="24"/>
      <c r="H162" s="24"/>
      <c r="I162" s="24" t="e">
        <v>#N/A</v>
      </c>
      <c r="J162" s="24"/>
      <c r="K162" s="69"/>
      <c r="L162" s="130"/>
      <c r="M162" s="130"/>
      <c r="N162" s="24" t="e">
        <v>#N/A</v>
      </c>
      <c r="O162" s="130"/>
      <c r="P162" s="131"/>
      <c r="Q162" s="130"/>
      <c r="R162" s="130"/>
      <c r="S162" s="24" t="e">
        <v>#N/A</v>
      </c>
      <c r="T162" s="130"/>
      <c r="U162" s="131"/>
      <c r="V162" s="24"/>
      <c r="W162" s="24"/>
      <c r="X162" s="24" t="e">
        <v>#N/A</v>
      </c>
      <c r="Y162" s="24"/>
      <c r="Z162" s="69"/>
      <c r="AA162" s="130"/>
      <c r="AB162" s="130"/>
      <c r="AC162" s="24" t="e">
        <v>#N/A</v>
      </c>
      <c r="AD162" s="130"/>
      <c r="AE162" s="131"/>
      <c r="AF162" s="130"/>
      <c r="AG162" s="130"/>
      <c r="AH162" s="24" t="e">
        <v>#N/A</v>
      </c>
      <c r="AI162" s="24"/>
      <c r="AJ162" s="69"/>
      <c r="AK162" s="130"/>
      <c r="AL162" s="130"/>
      <c r="AM162" s="24" t="e">
        <v>#N/A</v>
      </c>
      <c r="AN162" s="130"/>
      <c r="AO162" s="131"/>
      <c r="AP162" s="130"/>
      <c r="AQ162" s="130"/>
      <c r="AR162" s="24" t="e">
        <v>#N/A</v>
      </c>
      <c r="AS162" s="130"/>
      <c r="AT162" s="131"/>
      <c r="AU162" s="24"/>
      <c r="AV162" s="24"/>
      <c r="AW162" s="24" t="e">
        <v>#N/A</v>
      </c>
      <c r="AX162" s="24"/>
      <c r="AY162" s="69"/>
      <c r="AZ162" s="24"/>
      <c r="BA162" s="24"/>
      <c r="BB162" s="24" t="e">
        <v>#N/A</v>
      </c>
      <c r="BC162" s="24"/>
      <c r="BD162" s="69"/>
      <c r="BE162" s="24"/>
      <c r="BF162" s="24"/>
      <c r="BG162" s="24" t="e">
        <v>#N/A</v>
      </c>
      <c r="BH162" s="24"/>
      <c r="BI162" s="69"/>
    </row>
    <row r="163" spans="1:61" ht="12.75">
      <c r="A163" s="137">
        <f t="shared" si="0"/>
        <v>1960</v>
      </c>
      <c r="B163" s="193"/>
      <c r="C163" s="37"/>
      <c r="D163" s="56" t="e">
        <v>#N/A</v>
      </c>
      <c r="E163" s="37"/>
      <c r="F163" s="46"/>
      <c r="G163" s="56"/>
      <c r="H163" s="56"/>
      <c r="I163" s="56" t="e">
        <v>#N/A</v>
      </c>
      <c r="J163" s="56"/>
      <c r="K163" s="139"/>
      <c r="L163" s="219"/>
      <c r="M163" s="219"/>
      <c r="N163" s="56" t="e">
        <v>#N/A</v>
      </c>
      <c r="O163" s="219"/>
      <c r="P163" s="267"/>
      <c r="Q163" s="219"/>
      <c r="R163" s="219"/>
      <c r="S163" s="56" t="e">
        <v>#N/A</v>
      </c>
      <c r="T163" s="219"/>
      <c r="U163" s="267"/>
      <c r="V163" s="219">
        <f>CAR!$D$37</f>
        <v>94.83</v>
      </c>
      <c r="W163" s="219">
        <f>CAR!$E$37</f>
        <v>98.17</v>
      </c>
      <c r="X163" s="219">
        <f>(V163+W163)/2</f>
        <v>96.5</v>
      </c>
      <c r="Y163" s="219">
        <f>(W163-V163)/2</f>
        <v>1.6700000000000017</v>
      </c>
      <c r="Z163" s="267">
        <f>(W163-V163)/2</f>
        <v>1.6700000000000017</v>
      </c>
      <c r="AA163" s="56"/>
      <c r="AB163" s="56"/>
      <c r="AC163" s="56" t="e">
        <v>#N/A</v>
      </c>
      <c r="AD163" s="56"/>
      <c r="AE163" s="139"/>
      <c r="AF163" s="219"/>
      <c r="AG163" s="219"/>
      <c r="AH163" s="56" t="e">
        <v>#N/A</v>
      </c>
      <c r="AI163" s="56"/>
      <c r="AJ163" s="139"/>
      <c r="AK163" s="219"/>
      <c r="AL163" s="219"/>
      <c r="AM163" s="56" t="e">
        <v>#N/A</v>
      </c>
      <c r="AN163" s="219"/>
      <c r="AO163" s="267"/>
      <c r="AP163" s="56"/>
      <c r="AQ163" s="56"/>
      <c r="AR163" s="56" t="e">
        <v>#N/A</v>
      </c>
      <c r="AS163" s="56"/>
      <c r="AT163" s="139"/>
      <c r="AU163" s="56"/>
      <c r="AV163" s="56"/>
      <c r="AW163" s="56" t="e">
        <v>#N/A</v>
      </c>
      <c r="AX163" s="56"/>
      <c r="AY163" s="139"/>
      <c r="AZ163" s="56"/>
      <c r="BA163" s="56"/>
      <c r="BB163" s="56" t="e">
        <v>#N/A</v>
      </c>
      <c r="BC163" s="56"/>
      <c r="BD163" s="139"/>
      <c r="BE163" s="56"/>
      <c r="BF163" s="56"/>
      <c r="BG163" s="56" t="e">
        <v>#N/A</v>
      </c>
      <c r="BH163" s="56"/>
      <c r="BI163" s="139"/>
    </row>
    <row r="164" spans="1:61" ht="12.75">
      <c r="A164" s="142">
        <f t="shared" si="0"/>
        <v>1961</v>
      </c>
      <c r="B164" s="36"/>
      <c r="C164" s="36"/>
      <c r="D164" s="24" t="e">
        <v>#N/A</v>
      </c>
      <c r="E164" s="36"/>
      <c r="F164" s="47"/>
      <c r="G164" s="24"/>
      <c r="H164" s="24"/>
      <c r="I164" s="24" t="e">
        <v>#N/A</v>
      </c>
      <c r="J164" s="24"/>
      <c r="K164" s="69"/>
      <c r="L164" s="130"/>
      <c r="M164" s="130"/>
      <c r="N164" s="24" t="e">
        <v>#N/A</v>
      </c>
      <c r="O164" s="130"/>
      <c r="P164" s="131"/>
      <c r="Q164" s="130"/>
      <c r="R164" s="130"/>
      <c r="S164" s="24" t="e">
        <v>#N/A</v>
      </c>
      <c r="T164" s="130"/>
      <c r="U164" s="131"/>
      <c r="V164" s="130"/>
      <c r="W164" s="130"/>
      <c r="X164" s="24" t="e">
        <v>#N/A</v>
      </c>
      <c r="Y164" s="130"/>
      <c r="Z164" s="131"/>
      <c r="AA164" s="24"/>
      <c r="AB164" s="24"/>
      <c r="AC164" s="24" t="e">
        <v>#N/A</v>
      </c>
      <c r="AD164" s="24"/>
      <c r="AE164" s="69"/>
      <c r="AF164" s="130"/>
      <c r="AG164" s="130"/>
      <c r="AH164" s="24" t="e">
        <v>#N/A</v>
      </c>
      <c r="AI164" s="24"/>
      <c r="AJ164" s="69"/>
      <c r="AK164" s="130"/>
      <c r="AL164" s="130"/>
      <c r="AM164" s="24" t="e">
        <v>#N/A</v>
      </c>
      <c r="AN164" s="130"/>
      <c r="AO164" s="131"/>
      <c r="AP164" s="24"/>
      <c r="AQ164" s="24"/>
      <c r="AR164" s="24" t="e">
        <v>#N/A</v>
      </c>
      <c r="AS164" s="24"/>
      <c r="AT164" s="69"/>
      <c r="AU164" s="24"/>
      <c r="AV164" s="24"/>
      <c r="AW164" s="24" t="e">
        <v>#N/A</v>
      </c>
      <c r="AX164" s="24"/>
      <c r="AY164" s="69"/>
      <c r="AZ164" s="24"/>
      <c r="BA164" s="24"/>
      <c r="BB164" s="24" t="e">
        <v>#N/A</v>
      </c>
      <c r="BC164" s="24"/>
      <c r="BD164" s="69"/>
      <c r="BE164" s="24"/>
      <c r="BF164" s="24"/>
      <c r="BG164" s="24" t="e">
        <v>#N/A</v>
      </c>
      <c r="BH164" s="24"/>
      <c r="BI164" s="69"/>
    </row>
    <row r="165" spans="1:61" ht="12.75">
      <c r="A165" s="142">
        <f t="shared" si="0"/>
        <v>1962</v>
      </c>
      <c r="B165" s="130"/>
      <c r="C165" s="130"/>
      <c r="D165" s="24" t="e">
        <v>#N/A</v>
      </c>
      <c r="E165" s="24"/>
      <c r="F165" s="69"/>
      <c r="G165" s="24"/>
      <c r="H165" s="24"/>
      <c r="I165" s="24" t="e">
        <v>#N/A</v>
      </c>
      <c r="J165" s="24"/>
      <c r="K165" s="69"/>
      <c r="L165" s="130"/>
      <c r="M165" s="130"/>
      <c r="N165" s="24" t="e">
        <v>#N/A</v>
      </c>
      <c r="O165" s="130"/>
      <c r="P165" s="131"/>
      <c r="Q165" s="130"/>
      <c r="R165" s="130"/>
      <c r="S165" s="24" t="e">
        <v>#N/A</v>
      </c>
      <c r="T165" s="130"/>
      <c r="U165" s="131"/>
      <c r="V165" s="24"/>
      <c r="W165" s="24"/>
      <c r="X165" s="24" t="e">
        <v>#N/A</v>
      </c>
      <c r="Y165" s="24"/>
      <c r="Z165" s="69"/>
      <c r="AA165" s="24"/>
      <c r="AB165" s="24"/>
      <c r="AC165" s="24" t="e">
        <v>#N/A</v>
      </c>
      <c r="AD165" s="24"/>
      <c r="AE165" s="69"/>
      <c r="AF165" s="130"/>
      <c r="AG165" s="130"/>
      <c r="AH165" s="24" t="e">
        <v>#N/A</v>
      </c>
      <c r="AI165" s="24"/>
      <c r="AJ165" s="69"/>
      <c r="AK165" s="130"/>
      <c r="AL165" s="130"/>
      <c r="AM165" s="24" t="e">
        <v>#N/A</v>
      </c>
      <c r="AN165" s="130"/>
      <c r="AO165" s="131"/>
      <c r="AP165" s="24"/>
      <c r="AQ165" s="24"/>
      <c r="AR165" s="24" t="e">
        <v>#N/A</v>
      </c>
      <c r="AS165" s="24"/>
      <c r="AT165" s="69"/>
      <c r="AU165" s="24"/>
      <c r="AV165" s="24"/>
      <c r="AW165" s="24" t="e">
        <v>#N/A</v>
      </c>
      <c r="AX165" s="24"/>
      <c r="AY165" s="69"/>
      <c r="AZ165" s="24"/>
      <c r="BA165" s="24"/>
      <c r="BB165" s="24" t="e">
        <v>#N/A</v>
      </c>
      <c r="BC165" s="24"/>
      <c r="BD165" s="69"/>
      <c r="BE165" s="24"/>
      <c r="BF165" s="24"/>
      <c r="BG165" s="24" t="e">
        <v>#N/A</v>
      </c>
      <c r="BH165" s="24"/>
      <c r="BI165" s="69"/>
    </row>
    <row r="166" spans="1:61" ht="12.75">
      <c r="A166" s="142">
        <f t="shared" si="0"/>
        <v>1963</v>
      </c>
      <c r="B166" s="130"/>
      <c r="C166" s="130"/>
      <c r="D166" s="24" t="e">
        <v>#N/A</v>
      </c>
      <c r="E166" s="24"/>
      <c r="F166" s="69"/>
      <c r="G166" s="24"/>
      <c r="H166" s="24"/>
      <c r="I166" s="24" t="e">
        <v>#N/A</v>
      </c>
      <c r="J166" s="24"/>
      <c r="K166" s="69"/>
      <c r="L166" s="130"/>
      <c r="M166" s="130"/>
      <c r="N166" s="24" t="e">
        <v>#N/A</v>
      </c>
      <c r="O166" s="130"/>
      <c r="P166" s="131"/>
      <c r="Q166" s="130"/>
      <c r="R166" s="130"/>
      <c r="S166" s="24" t="e">
        <v>#N/A</v>
      </c>
      <c r="T166" s="130"/>
      <c r="U166" s="131"/>
      <c r="V166" s="24"/>
      <c r="W166" s="24"/>
      <c r="X166" s="24" t="e">
        <v>#N/A</v>
      </c>
      <c r="Y166" s="24"/>
      <c r="Z166" s="69"/>
      <c r="AA166" s="24"/>
      <c r="AB166" s="24"/>
      <c r="AC166" s="24" t="e">
        <v>#N/A</v>
      </c>
      <c r="AD166" s="24"/>
      <c r="AE166" s="69"/>
      <c r="AF166" s="130"/>
      <c r="AG166" s="130"/>
      <c r="AH166" s="24" t="e">
        <v>#N/A</v>
      </c>
      <c r="AI166" s="24"/>
      <c r="AJ166" s="69"/>
      <c r="AK166" s="130"/>
      <c r="AL166" s="130"/>
      <c r="AM166" s="24" t="e">
        <v>#N/A</v>
      </c>
      <c r="AN166" s="130"/>
      <c r="AO166" s="131"/>
      <c r="AP166" s="24"/>
      <c r="AQ166" s="24"/>
      <c r="AR166" s="24" t="e">
        <v>#N/A</v>
      </c>
      <c r="AS166" s="24"/>
      <c r="AT166" s="69"/>
      <c r="AU166" s="130">
        <f>SLeone!$D$43</f>
        <v>96.47378742986989</v>
      </c>
      <c r="AV166" s="130">
        <f>SLeone!$E$43</f>
        <v>98.57143512329608</v>
      </c>
      <c r="AW166" s="130">
        <f>(AU166+AV166)/2</f>
        <v>97.52261127658298</v>
      </c>
      <c r="AX166" s="130">
        <f>(AV166-AU166)/2</f>
        <v>1.0488238467130984</v>
      </c>
      <c r="AY166" s="131">
        <f>(AV166-AU166)/2</f>
        <v>1.0488238467130984</v>
      </c>
      <c r="AZ166" s="24"/>
      <c r="BA166" s="24"/>
      <c r="BB166" s="24" t="e">
        <v>#N/A</v>
      </c>
      <c r="BC166" s="24"/>
      <c r="BD166" s="69"/>
      <c r="BE166" s="24"/>
      <c r="BF166" s="24"/>
      <c r="BG166" s="24" t="e">
        <v>#N/A</v>
      </c>
      <c r="BH166" s="24"/>
      <c r="BI166" s="69"/>
    </row>
    <row r="167" spans="1:61" ht="12.75">
      <c r="A167" s="142">
        <f t="shared" si="0"/>
        <v>1964</v>
      </c>
      <c r="B167" s="130"/>
      <c r="C167" s="130"/>
      <c r="D167" s="24" t="e">
        <v>#N/A</v>
      </c>
      <c r="E167" s="24"/>
      <c r="F167" s="69"/>
      <c r="G167" s="24"/>
      <c r="H167" s="24"/>
      <c r="I167" s="24" t="e">
        <v>#N/A</v>
      </c>
      <c r="J167" s="24"/>
      <c r="K167" s="69"/>
      <c r="L167" s="130"/>
      <c r="M167" s="130"/>
      <c r="N167" s="24" t="e">
        <v>#N/A</v>
      </c>
      <c r="O167" s="130"/>
      <c r="P167" s="131"/>
      <c r="Q167" s="130"/>
      <c r="R167" s="130"/>
      <c r="S167" s="24" t="e">
        <v>#N/A</v>
      </c>
      <c r="T167" s="130"/>
      <c r="U167" s="131"/>
      <c r="V167" s="24"/>
      <c r="W167" s="24"/>
      <c r="X167" s="24" t="e">
        <v>#N/A</v>
      </c>
      <c r="Y167" s="24"/>
      <c r="Z167" s="69"/>
      <c r="AA167" s="24"/>
      <c r="AB167" s="24"/>
      <c r="AC167" s="24" t="e">
        <v>#N/A</v>
      </c>
      <c r="AD167" s="24"/>
      <c r="AE167" s="69"/>
      <c r="AF167" s="130"/>
      <c r="AG167" s="130"/>
      <c r="AH167" s="24" t="e">
        <v>#N/A</v>
      </c>
      <c r="AI167" s="24"/>
      <c r="AJ167" s="69"/>
      <c r="AK167" s="130"/>
      <c r="AL167" s="130"/>
      <c r="AM167" s="24" t="e">
        <v>#N/A</v>
      </c>
      <c r="AN167" s="130"/>
      <c r="AO167" s="131"/>
      <c r="AP167" s="24"/>
      <c r="AQ167" s="24"/>
      <c r="AR167" s="24" t="e">
        <v>#N/A</v>
      </c>
      <c r="AS167" s="24"/>
      <c r="AT167" s="69"/>
      <c r="AW167" s="24" t="e">
        <v>#N/A</v>
      </c>
      <c r="AY167" s="47"/>
      <c r="AZ167" s="24"/>
      <c r="BA167" s="24"/>
      <c r="BB167" s="24" t="e">
        <v>#N/A</v>
      </c>
      <c r="BC167" s="24"/>
      <c r="BD167" s="69"/>
      <c r="BE167" s="24"/>
      <c r="BF167" s="24"/>
      <c r="BG167" s="24" t="e">
        <v>#N/A</v>
      </c>
      <c r="BH167" s="24"/>
      <c r="BI167" s="69"/>
    </row>
    <row r="168" spans="1:61" ht="12.75">
      <c r="A168" s="142">
        <f t="shared" si="0"/>
        <v>1965</v>
      </c>
      <c r="B168" s="130"/>
      <c r="C168" s="130"/>
      <c r="D168" s="24" t="e">
        <v>#N/A</v>
      </c>
      <c r="E168" s="24"/>
      <c r="F168" s="69"/>
      <c r="G168" s="24"/>
      <c r="H168" s="24"/>
      <c r="I168" s="24" t="e">
        <v>#N/A</v>
      </c>
      <c r="J168" s="24"/>
      <c r="K168" s="69"/>
      <c r="L168" s="130"/>
      <c r="M168" s="130"/>
      <c r="N168" s="24" t="e">
        <v>#N/A</v>
      </c>
      <c r="O168" s="130"/>
      <c r="P168" s="131"/>
      <c r="Q168" s="130">
        <f>Cameroon!$D$34</f>
        <v>95.66300000000001</v>
      </c>
      <c r="R168" s="130">
        <f>Cameroon!$E$34</f>
        <v>98.191</v>
      </c>
      <c r="S168" s="130">
        <f>(Q168+R168)/2</f>
        <v>96.927</v>
      </c>
      <c r="T168" s="130">
        <f>(R168-Q168)/2</f>
        <v>1.2639999999999958</v>
      </c>
      <c r="U168" s="131">
        <f>(R168-Q168)/2</f>
        <v>1.2639999999999958</v>
      </c>
      <c r="V168" s="24"/>
      <c r="W168" s="24"/>
      <c r="X168" s="24" t="e">
        <v>#N/A</v>
      </c>
      <c r="Y168" s="24"/>
      <c r="Z168" s="69"/>
      <c r="AA168" s="24"/>
      <c r="AB168" s="24"/>
      <c r="AC168" s="24" t="e">
        <v>#N/A</v>
      </c>
      <c r="AD168" s="24"/>
      <c r="AE168" s="69"/>
      <c r="AF168" s="130"/>
      <c r="AG168" s="130"/>
      <c r="AH168" s="24" t="e">
        <v>#N/A</v>
      </c>
      <c r="AI168" s="24"/>
      <c r="AJ168" s="69"/>
      <c r="AK168" s="130"/>
      <c r="AL168" s="130"/>
      <c r="AM168" s="24" t="e">
        <v>#N/A</v>
      </c>
      <c r="AN168" s="130"/>
      <c r="AO168" s="131"/>
      <c r="AP168" s="24"/>
      <c r="AQ168" s="24"/>
      <c r="AR168" s="24" t="e">
        <v>#N/A</v>
      </c>
      <c r="AS168" s="24"/>
      <c r="AT168" s="69"/>
      <c r="AU168" s="130"/>
      <c r="AV168" s="130"/>
      <c r="AW168" s="24" t="e">
        <v>#N/A</v>
      </c>
      <c r="AX168" s="130"/>
      <c r="AY168" s="131"/>
      <c r="AZ168" s="24"/>
      <c r="BA168" s="24"/>
      <c r="BB168" s="24" t="e">
        <v>#N/A</v>
      </c>
      <c r="BC168" s="24"/>
      <c r="BD168" s="69"/>
      <c r="BE168" s="24"/>
      <c r="BF168" s="24"/>
      <c r="BG168" s="24" t="e">
        <v>#N/A</v>
      </c>
      <c r="BH168" s="24"/>
      <c r="BI168" s="69"/>
    </row>
    <row r="169" spans="1:61" ht="12.75">
      <c r="A169" s="142">
        <f t="shared" si="0"/>
        <v>1966</v>
      </c>
      <c r="B169" s="130"/>
      <c r="C169" s="130"/>
      <c r="D169" s="24" t="e">
        <v>#N/A</v>
      </c>
      <c r="E169" s="24"/>
      <c r="F169" s="69"/>
      <c r="G169" s="24"/>
      <c r="H169" s="24"/>
      <c r="I169" s="24" t="e">
        <v>#N/A</v>
      </c>
      <c r="J169" s="24"/>
      <c r="K169" s="69"/>
      <c r="L169" s="130"/>
      <c r="M169" s="130"/>
      <c r="N169" s="24" t="e">
        <v>#N/A</v>
      </c>
      <c r="O169" s="130"/>
      <c r="P169" s="131"/>
      <c r="S169" s="24" t="e">
        <v>#N/A</v>
      </c>
      <c r="U169" s="47"/>
      <c r="V169" s="24"/>
      <c r="W169" s="24"/>
      <c r="X169" s="24" t="e">
        <v>#N/A</v>
      </c>
      <c r="Y169" s="24"/>
      <c r="Z169" s="69"/>
      <c r="AA169" s="24"/>
      <c r="AB169" s="24"/>
      <c r="AC169" s="24" t="e">
        <v>#N/A</v>
      </c>
      <c r="AD169" s="24"/>
      <c r="AE169" s="69"/>
      <c r="AF169" s="130"/>
      <c r="AG169" s="130"/>
      <c r="AH169" s="24" t="e">
        <v>#N/A</v>
      </c>
      <c r="AI169" s="24"/>
      <c r="AJ169" s="69"/>
      <c r="AK169" s="130"/>
      <c r="AL169" s="130"/>
      <c r="AM169" s="24" t="e">
        <v>#N/A</v>
      </c>
      <c r="AN169" s="130"/>
      <c r="AO169" s="131"/>
      <c r="AP169" s="24"/>
      <c r="AQ169" s="24"/>
      <c r="AR169" s="24" t="e">
        <v>#N/A</v>
      </c>
      <c r="AS169" s="24"/>
      <c r="AT169" s="69"/>
      <c r="AU169" s="24"/>
      <c r="AV169" s="24"/>
      <c r="AW169" s="24" t="e">
        <v>#N/A</v>
      </c>
      <c r="AX169" s="24"/>
      <c r="AY169" s="69"/>
      <c r="AZ169" s="24"/>
      <c r="BA169" s="24"/>
      <c r="BB169" s="24" t="e">
        <v>#N/A</v>
      </c>
      <c r="BC169" s="24"/>
      <c r="BD169" s="69"/>
      <c r="BE169" s="24"/>
      <c r="BF169" s="24"/>
      <c r="BG169" s="24" t="e">
        <v>#N/A</v>
      </c>
      <c r="BH169" s="24"/>
      <c r="BI169" s="69"/>
    </row>
    <row r="170" spans="1:61" ht="12.75">
      <c r="A170" s="142">
        <f t="shared" si="0"/>
        <v>1967</v>
      </c>
      <c r="B170" s="130"/>
      <c r="C170" s="130"/>
      <c r="D170" s="24" t="e">
        <v>#N/A</v>
      </c>
      <c r="E170" s="24"/>
      <c r="F170" s="69"/>
      <c r="G170" s="24"/>
      <c r="H170" s="24"/>
      <c r="I170" s="24" t="e">
        <v>#N/A</v>
      </c>
      <c r="J170" s="24"/>
      <c r="K170" s="69"/>
      <c r="L170" s="130"/>
      <c r="M170" s="130"/>
      <c r="N170" s="24" t="e">
        <v>#N/A</v>
      </c>
      <c r="O170" s="130"/>
      <c r="P170" s="131"/>
      <c r="Q170" s="130"/>
      <c r="R170" s="130"/>
      <c r="S170" s="24" t="e">
        <v>#N/A</v>
      </c>
      <c r="T170" s="130"/>
      <c r="U170" s="131"/>
      <c r="V170" s="24"/>
      <c r="W170" s="24"/>
      <c r="X170" s="24" t="e">
        <v>#N/A</v>
      </c>
      <c r="Y170" s="24"/>
      <c r="Z170" s="69"/>
      <c r="AA170" s="24"/>
      <c r="AB170" s="24"/>
      <c r="AC170" s="24" t="e">
        <v>#N/A</v>
      </c>
      <c r="AD170" s="24"/>
      <c r="AE170" s="69"/>
      <c r="AF170" s="130"/>
      <c r="AG170" s="130"/>
      <c r="AH170" s="24" t="e">
        <v>#N/A</v>
      </c>
      <c r="AI170" s="24"/>
      <c r="AJ170" s="69"/>
      <c r="AK170" s="130"/>
      <c r="AL170" s="130"/>
      <c r="AM170" s="24" t="e">
        <v>#N/A</v>
      </c>
      <c r="AN170" s="130"/>
      <c r="AO170" s="131"/>
      <c r="AP170" s="24"/>
      <c r="AQ170" s="24"/>
      <c r="AR170" s="24" t="e">
        <v>#N/A</v>
      </c>
      <c r="AS170" s="24"/>
      <c r="AT170" s="69"/>
      <c r="AU170" s="24"/>
      <c r="AV170" s="24"/>
      <c r="AW170" s="24" t="e">
        <v>#N/A</v>
      </c>
      <c r="AX170" s="24"/>
      <c r="AY170" s="69"/>
      <c r="AZ170" s="24"/>
      <c r="BA170" s="24"/>
      <c r="BB170" s="24" t="e">
        <v>#N/A</v>
      </c>
      <c r="BC170" s="24"/>
      <c r="BD170" s="69"/>
      <c r="BE170" s="24"/>
      <c r="BF170" s="24"/>
      <c r="BG170" s="24" t="e">
        <v>#N/A</v>
      </c>
      <c r="BH170" s="24"/>
      <c r="BI170" s="69"/>
    </row>
    <row r="171" spans="1:61" ht="12.75">
      <c r="A171" s="142">
        <f t="shared" si="0"/>
        <v>1968</v>
      </c>
      <c r="B171" s="130"/>
      <c r="C171" s="130"/>
      <c r="D171" s="24" t="e">
        <v>#N/A</v>
      </c>
      <c r="E171" s="24"/>
      <c r="F171" s="69"/>
      <c r="G171" s="24"/>
      <c r="H171" s="24"/>
      <c r="I171" s="24" t="e">
        <v>#N/A</v>
      </c>
      <c r="J171" s="24"/>
      <c r="K171" s="69"/>
      <c r="L171" s="130"/>
      <c r="M171" s="130"/>
      <c r="N171" s="24" t="e">
        <v>#N/A</v>
      </c>
      <c r="O171" s="130"/>
      <c r="P171" s="131"/>
      <c r="Q171" s="130"/>
      <c r="R171" s="130"/>
      <c r="S171" s="24" t="e">
        <v>#N/A</v>
      </c>
      <c r="T171" s="130"/>
      <c r="U171" s="131"/>
      <c r="V171" s="24"/>
      <c r="W171" s="24"/>
      <c r="X171" s="24" t="e">
        <v>#N/A</v>
      </c>
      <c r="Y171" s="24"/>
      <c r="Z171" s="69"/>
      <c r="AA171" s="24"/>
      <c r="AB171" s="24"/>
      <c r="AC171" s="24" t="e">
        <v>#N/A</v>
      </c>
      <c r="AD171" s="24"/>
      <c r="AE171" s="69"/>
      <c r="AF171" s="130"/>
      <c r="AG171" s="130"/>
      <c r="AH171" s="24" t="e">
        <v>#N/A</v>
      </c>
      <c r="AI171" s="24"/>
      <c r="AJ171" s="69"/>
      <c r="AK171" s="130"/>
      <c r="AL171" s="130"/>
      <c r="AM171" s="24" t="e">
        <v>#N/A</v>
      </c>
      <c r="AN171" s="130"/>
      <c r="AO171" s="131"/>
      <c r="AP171" s="24"/>
      <c r="AQ171" s="24"/>
      <c r="AR171" s="24" t="e">
        <v>#N/A</v>
      </c>
      <c r="AS171" s="24"/>
      <c r="AT171" s="69"/>
      <c r="AU171" s="24"/>
      <c r="AV171" s="24"/>
      <c r="AW171" s="24" t="e">
        <v>#N/A</v>
      </c>
      <c r="AX171" s="24"/>
      <c r="AY171" s="69"/>
      <c r="AZ171" s="24"/>
      <c r="BA171" s="24"/>
      <c r="BB171" s="24" t="e">
        <v>#N/A</v>
      </c>
      <c r="BC171" s="24"/>
      <c r="BD171" s="69"/>
      <c r="BE171" s="24"/>
      <c r="BF171" s="24"/>
      <c r="BG171" s="24" t="e">
        <v>#N/A</v>
      </c>
      <c r="BH171" s="24"/>
      <c r="BI171" s="69"/>
    </row>
    <row r="172" spans="1:61" ht="12.75">
      <c r="A172" s="142">
        <f t="shared" si="0"/>
        <v>1969</v>
      </c>
      <c r="B172" s="130"/>
      <c r="C172" s="130"/>
      <c r="D172" s="24" t="e">
        <v>#N/A</v>
      </c>
      <c r="E172" s="24"/>
      <c r="F172" s="69"/>
      <c r="G172" s="24"/>
      <c r="H172" s="24"/>
      <c r="I172" s="24" t="e">
        <v>#N/A</v>
      </c>
      <c r="J172" s="24"/>
      <c r="K172" s="69"/>
      <c r="L172" s="130"/>
      <c r="M172" s="130"/>
      <c r="N172" s="24" t="e">
        <v>#N/A</v>
      </c>
      <c r="O172" s="130"/>
      <c r="P172" s="131"/>
      <c r="Q172" s="130"/>
      <c r="R172" s="130"/>
      <c r="S172" s="24" t="e">
        <v>#N/A</v>
      </c>
      <c r="T172" s="130"/>
      <c r="U172" s="131"/>
      <c r="V172" s="24"/>
      <c r="W172" s="24"/>
      <c r="X172" s="24" t="e">
        <v>#N/A</v>
      </c>
      <c r="Y172" s="24"/>
      <c r="Z172" s="69"/>
      <c r="AA172" s="24"/>
      <c r="AB172" s="24"/>
      <c r="AC172" s="24" t="e">
        <v>#N/A</v>
      </c>
      <c r="AD172" s="24"/>
      <c r="AE172" s="69"/>
      <c r="AF172" s="130"/>
      <c r="AG172" s="130"/>
      <c r="AH172" s="24" t="e">
        <v>#N/A</v>
      </c>
      <c r="AI172" s="24"/>
      <c r="AJ172" s="69"/>
      <c r="AK172" s="130">
        <f>IvoryC!$H$113</f>
        <v>77.69893676241372</v>
      </c>
      <c r="AL172" s="130">
        <f>IvoryC!$I$113</f>
        <v>84.17779447784457</v>
      </c>
      <c r="AM172" s="130">
        <f>(AK172+AL172)/2</f>
        <v>80.93836562012915</v>
      </c>
      <c r="AN172" s="130">
        <f>(AL172-AK172)/2</f>
        <v>3.239428857715424</v>
      </c>
      <c r="AO172" s="131">
        <f>(AL172-AK172)/2</f>
        <v>3.239428857715424</v>
      </c>
      <c r="AP172" s="24"/>
      <c r="AQ172" s="24"/>
      <c r="AR172" s="24" t="e">
        <v>#N/A</v>
      </c>
      <c r="AS172" s="24"/>
      <c r="AT172" s="69"/>
      <c r="AU172" s="24"/>
      <c r="AV172" s="24"/>
      <c r="AW172" s="24" t="e">
        <v>#N/A</v>
      </c>
      <c r="AX172" s="24"/>
      <c r="AY172" s="69"/>
      <c r="AZ172" s="24"/>
      <c r="BA172" s="24"/>
      <c r="BB172" s="24" t="e">
        <v>#N/A</v>
      </c>
      <c r="BC172" s="24"/>
      <c r="BD172" s="69"/>
      <c r="BE172" s="24"/>
      <c r="BF172" s="24"/>
      <c r="BG172" s="24" t="e">
        <v>#N/A</v>
      </c>
      <c r="BH172" s="24"/>
      <c r="BI172" s="69"/>
    </row>
    <row r="173" spans="1:61" ht="12.75">
      <c r="A173" s="137">
        <f t="shared" si="0"/>
        <v>1970</v>
      </c>
      <c r="B173" s="219"/>
      <c r="C173" s="219"/>
      <c r="D173" s="56" t="e">
        <v>#N/A</v>
      </c>
      <c r="E173" s="56"/>
      <c r="F173" s="139"/>
      <c r="G173" s="56"/>
      <c r="H173" s="56"/>
      <c r="I173" s="56" t="e">
        <v>#N/A</v>
      </c>
      <c r="J173" s="56"/>
      <c r="K173" s="139"/>
      <c r="L173" s="219"/>
      <c r="M173" s="219"/>
      <c r="N173" s="56" t="e">
        <v>#N/A</v>
      </c>
      <c r="O173" s="219"/>
      <c r="P173" s="267"/>
      <c r="Q173" s="219"/>
      <c r="R173" s="219"/>
      <c r="S173" s="56" t="e">
        <v>#N/A</v>
      </c>
      <c r="T173" s="219"/>
      <c r="U173" s="267"/>
      <c r="V173" s="56"/>
      <c r="W173" s="56"/>
      <c r="X173" s="56" t="e">
        <v>#N/A</v>
      </c>
      <c r="Y173" s="56"/>
      <c r="Z173" s="139"/>
      <c r="AA173" s="56"/>
      <c r="AB173" s="56"/>
      <c r="AC173" s="56" t="e">
        <v>#N/A</v>
      </c>
      <c r="AD173" s="56"/>
      <c r="AE173" s="139"/>
      <c r="AF173" s="219"/>
      <c r="AG173" s="219"/>
      <c r="AH173" s="56" t="e">
        <v>#N/A</v>
      </c>
      <c r="AI173" s="56"/>
      <c r="AJ173" s="139"/>
      <c r="AK173" s="37"/>
      <c r="AL173" s="37"/>
      <c r="AM173" s="56" t="e">
        <v>#N/A</v>
      </c>
      <c r="AN173" s="37"/>
      <c r="AO173" s="46"/>
      <c r="AP173" s="56"/>
      <c r="AQ173" s="56"/>
      <c r="AR173" s="56" t="e">
        <v>#N/A</v>
      </c>
      <c r="AS173" s="56"/>
      <c r="AT173" s="139"/>
      <c r="AU173" s="56"/>
      <c r="AV173" s="56"/>
      <c r="AW173" s="56" t="e">
        <v>#N/A</v>
      </c>
      <c r="AX173" s="56"/>
      <c r="AY173" s="139"/>
      <c r="AZ173" s="56"/>
      <c r="BA173" s="56"/>
      <c r="BB173" s="56" t="e">
        <v>#N/A</v>
      </c>
      <c r="BC173" s="56"/>
      <c r="BD173" s="139"/>
      <c r="BE173" s="56"/>
      <c r="BF173" s="56"/>
      <c r="BG173" s="56" t="e">
        <v>#N/A</v>
      </c>
      <c r="BH173" s="56"/>
      <c r="BI173" s="139"/>
    </row>
    <row r="174" spans="1:61" ht="12.75">
      <c r="A174" s="142">
        <f t="shared" si="0"/>
        <v>1971</v>
      </c>
      <c r="B174" s="130"/>
      <c r="C174" s="130"/>
      <c r="D174" s="24" t="e">
        <v>#N/A</v>
      </c>
      <c r="E174" s="24"/>
      <c r="F174" s="69"/>
      <c r="G174" s="24"/>
      <c r="H174" s="24"/>
      <c r="I174" s="24" t="e">
        <v>#N/A</v>
      </c>
      <c r="J174" s="24"/>
      <c r="K174" s="69"/>
      <c r="L174" s="130"/>
      <c r="M174" s="130"/>
      <c r="N174" s="24" t="e">
        <v>#N/A</v>
      </c>
      <c r="O174" s="130"/>
      <c r="P174" s="131"/>
      <c r="Q174" s="130"/>
      <c r="R174" s="130"/>
      <c r="S174" s="24" t="e">
        <v>#N/A</v>
      </c>
      <c r="T174" s="130"/>
      <c r="U174" s="131"/>
      <c r="V174" s="24"/>
      <c r="W174" s="24"/>
      <c r="X174" s="24" t="e">
        <v>#N/A</v>
      </c>
      <c r="Y174" s="24"/>
      <c r="Z174" s="69"/>
      <c r="AA174" s="24"/>
      <c r="AB174" s="24"/>
      <c r="AC174" s="24" t="e">
        <v>#N/A</v>
      </c>
      <c r="AD174" s="24"/>
      <c r="AE174" s="69"/>
      <c r="AF174" s="130"/>
      <c r="AG174" s="130"/>
      <c r="AH174" s="24" t="e">
        <v>#N/A</v>
      </c>
      <c r="AI174" s="24"/>
      <c r="AJ174" s="69"/>
      <c r="AK174" s="130"/>
      <c r="AL174" s="130"/>
      <c r="AM174" s="24" t="e">
        <v>#N/A</v>
      </c>
      <c r="AN174" s="130"/>
      <c r="AO174" s="131"/>
      <c r="AP174" s="24"/>
      <c r="AQ174" s="24"/>
      <c r="AR174" s="24" t="e">
        <v>#N/A</v>
      </c>
      <c r="AS174" s="24"/>
      <c r="AT174" s="69"/>
      <c r="AU174" s="24"/>
      <c r="AV174" s="24"/>
      <c r="AW174" s="24" t="e">
        <v>#N/A</v>
      </c>
      <c r="AX174" s="24"/>
      <c r="AY174" s="69"/>
      <c r="AZ174" s="24"/>
      <c r="BA174" s="24"/>
      <c r="BB174" s="24" t="e">
        <v>#N/A</v>
      </c>
      <c r="BC174" s="24"/>
      <c r="BD174" s="69"/>
      <c r="BE174" s="24"/>
      <c r="BF174" s="24"/>
      <c r="BG174" s="24" t="e">
        <v>#N/A</v>
      </c>
      <c r="BH174" s="24"/>
      <c r="BI174" s="69"/>
    </row>
    <row r="175" spans="1:61" ht="12.75">
      <c r="A175" s="142">
        <f t="shared" si="0"/>
        <v>1972</v>
      </c>
      <c r="B175" s="130"/>
      <c r="C175" s="130"/>
      <c r="D175" s="24" t="e">
        <v>#N/A</v>
      </c>
      <c r="E175" s="24"/>
      <c r="F175" s="69"/>
      <c r="G175" s="24"/>
      <c r="H175" s="24"/>
      <c r="I175" s="24" t="e">
        <v>#N/A</v>
      </c>
      <c r="J175" s="24"/>
      <c r="K175" s="69"/>
      <c r="L175" s="130"/>
      <c r="M175" s="130"/>
      <c r="N175" s="24" t="e">
        <v>#N/A</v>
      </c>
      <c r="O175" s="130"/>
      <c r="P175" s="131"/>
      <c r="Q175" s="130"/>
      <c r="R175" s="130"/>
      <c r="S175" s="24" t="e">
        <v>#N/A</v>
      </c>
      <c r="T175" s="130"/>
      <c r="U175" s="131"/>
      <c r="V175" s="24"/>
      <c r="W175" s="24"/>
      <c r="X175" s="24" t="e">
        <v>#N/A</v>
      </c>
      <c r="Y175" s="24"/>
      <c r="Z175" s="69"/>
      <c r="AA175" s="24"/>
      <c r="AB175" s="24"/>
      <c r="AC175" s="24" t="e">
        <v>#N/A</v>
      </c>
      <c r="AD175" s="24"/>
      <c r="AE175" s="69"/>
      <c r="AF175" s="130"/>
      <c r="AG175" s="130"/>
      <c r="AH175" s="24" t="e">
        <v>#N/A</v>
      </c>
      <c r="AI175" s="24"/>
      <c r="AJ175" s="69"/>
      <c r="AK175" s="130"/>
      <c r="AL175" s="130"/>
      <c r="AM175" s="24" t="e">
        <v>#N/A</v>
      </c>
      <c r="AN175" s="130"/>
      <c r="AO175" s="131"/>
      <c r="AP175" s="24"/>
      <c r="AQ175" s="24"/>
      <c r="AR175" s="24" t="e">
        <v>#N/A</v>
      </c>
      <c r="AS175" s="24"/>
      <c r="AT175" s="69"/>
      <c r="AU175" s="24"/>
      <c r="AV175" s="24"/>
      <c r="AW175" s="24" t="e">
        <v>#N/A</v>
      </c>
      <c r="AX175" s="24"/>
      <c r="AY175" s="69"/>
      <c r="AZ175" s="24"/>
      <c r="BA175" s="24"/>
      <c r="BB175" s="24" t="e">
        <v>#N/A</v>
      </c>
      <c r="BC175" s="24"/>
      <c r="BD175" s="69"/>
      <c r="BE175" s="24"/>
      <c r="BF175" s="24"/>
      <c r="BG175" s="24" t="e">
        <v>#N/A</v>
      </c>
      <c r="BH175" s="24"/>
      <c r="BI175" s="69"/>
    </row>
    <row r="176" spans="1:61" ht="12.75">
      <c r="A176" s="142">
        <f t="shared" si="0"/>
        <v>1973</v>
      </c>
      <c r="B176" s="130"/>
      <c r="C176" s="130"/>
      <c r="D176" s="24" t="e">
        <v>#N/A</v>
      </c>
      <c r="E176" s="24"/>
      <c r="F176" s="69"/>
      <c r="G176" s="24"/>
      <c r="H176" s="24"/>
      <c r="I176" s="24" t="e">
        <v>#N/A</v>
      </c>
      <c r="J176" s="24"/>
      <c r="K176" s="69"/>
      <c r="L176" s="130"/>
      <c r="M176" s="130"/>
      <c r="N176" s="24" t="e">
        <v>#N/A</v>
      </c>
      <c r="O176" s="130"/>
      <c r="P176" s="131"/>
      <c r="Q176" s="130"/>
      <c r="R176" s="130"/>
      <c r="S176" s="24" t="e">
        <v>#N/A</v>
      </c>
      <c r="T176" s="130"/>
      <c r="U176" s="131"/>
      <c r="V176" s="24"/>
      <c r="W176" s="24"/>
      <c r="X176" s="24" t="e">
        <v>#N/A</v>
      </c>
      <c r="Y176" s="24"/>
      <c r="Z176" s="69"/>
      <c r="AA176" s="24"/>
      <c r="AB176" s="24"/>
      <c r="AC176" s="24" t="e">
        <v>#N/A</v>
      </c>
      <c r="AD176" s="24"/>
      <c r="AE176" s="69"/>
      <c r="AF176" s="130"/>
      <c r="AG176" s="130"/>
      <c r="AH176" s="24" t="e">
        <v>#N/A</v>
      </c>
      <c r="AI176" s="24"/>
      <c r="AJ176" s="69"/>
      <c r="AK176" s="130"/>
      <c r="AL176" s="130"/>
      <c r="AM176" s="24" t="e">
        <v>#N/A</v>
      </c>
      <c r="AN176" s="130"/>
      <c r="AO176" s="131"/>
      <c r="AP176" s="24"/>
      <c r="AQ176" s="24"/>
      <c r="AR176" s="24" t="e">
        <v>#N/A</v>
      </c>
      <c r="AS176" s="24"/>
      <c r="AT176" s="69"/>
      <c r="AU176" s="24"/>
      <c r="AV176" s="24"/>
      <c r="AW176" s="24" t="e">
        <v>#N/A</v>
      </c>
      <c r="AX176" s="24"/>
      <c r="AY176" s="69"/>
      <c r="AZ176" s="24"/>
      <c r="BA176" s="24"/>
      <c r="BB176" s="24" t="e">
        <v>#N/A</v>
      </c>
      <c r="BC176" s="24"/>
      <c r="BD176" s="69"/>
      <c r="BE176" s="24"/>
      <c r="BF176" s="24"/>
      <c r="BG176" s="24" t="e">
        <v>#N/A</v>
      </c>
      <c r="BH176" s="24"/>
      <c r="BI176" s="69"/>
    </row>
    <row r="177" spans="1:61" ht="12.75">
      <c r="A177" s="142">
        <f t="shared" si="0"/>
        <v>1974</v>
      </c>
      <c r="B177" s="24"/>
      <c r="C177" s="24"/>
      <c r="D177" s="24" t="e">
        <v>#N/A</v>
      </c>
      <c r="E177" s="24"/>
      <c r="F177" s="69"/>
      <c r="G177" s="24"/>
      <c r="H177" s="24"/>
      <c r="I177" s="24" t="e">
        <v>#N/A</v>
      </c>
      <c r="J177" s="24"/>
      <c r="K177" s="69"/>
      <c r="L177" s="24"/>
      <c r="M177" s="24"/>
      <c r="N177" s="24" t="e">
        <v>#N/A</v>
      </c>
      <c r="O177" s="24"/>
      <c r="P177" s="69"/>
      <c r="Q177" s="24"/>
      <c r="R177" s="24"/>
      <c r="S177" s="24" t="e">
        <v>#N/A</v>
      </c>
      <c r="T177" s="24"/>
      <c r="U177" s="69"/>
      <c r="V177" s="24"/>
      <c r="W177" s="24"/>
      <c r="X177" s="24" t="e">
        <v>#N/A</v>
      </c>
      <c r="Y177" s="24"/>
      <c r="Z177" s="69"/>
      <c r="AA177" s="24"/>
      <c r="AB177" s="24"/>
      <c r="AC177" s="24" t="e">
        <v>#N/A</v>
      </c>
      <c r="AD177" s="24"/>
      <c r="AE177" s="69"/>
      <c r="AF177" s="24"/>
      <c r="AG177" s="24"/>
      <c r="AH177" s="24" t="e">
        <v>#N/A</v>
      </c>
      <c r="AI177" s="24"/>
      <c r="AJ177" s="69"/>
      <c r="AK177" s="24"/>
      <c r="AL177" s="24"/>
      <c r="AM177" s="24" t="e">
        <v>#N/A</v>
      </c>
      <c r="AN177" s="24"/>
      <c r="AO177" s="69"/>
      <c r="AP177" s="24"/>
      <c r="AQ177" s="24"/>
      <c r="AR177" s="24" t="e">
        <v>#N/A</v>
      </c>
      <c r="AS177" s="24"/>
      <c r="AT177" s="69"/>
      <c r="AU177" s="24"/>
      <c r="AV177" s="24"/>
      <c r="AW177" s="24" t="e">
        <v>#N/A</v>
      </c>
      <c r="AX177" s="24"/>
      <c r="AY177" s="69"/>
      <c r="AZ177" s="24"/>
      <c r="BA177" s="24"/>
      <c r="BB177" s="24" t="e">
        <v>#N/A</v>
      </c>
      <c r="BC177" s="24"/>
      <c r="BD177" s="69"/>
      <c r="BE177" s="24"/>
      <c r="BF177" s="24"/>
      <c r="BG177" s="24" t="e">
        <v>#N/A</v>
      </c>
      <c r="BH177" s="24"/>
      <c r="BI177" s="69"/>
    </row>
    <row r="178" spans="1:61" ht="12.75">
      <c r="A178" s="142">
        <f t="shared" si="0"/>
        <v>1975</v>
      </c>
      <c r="B178" s="24"/>
      <c r="C178" s="24"/>
      <c r="D178" s="24" t="e">
        <v>#N/A</v>
      </c>
      <c r="E178" s="24"/>
      <c r="F178" s="69"/>
      <c r="G178" s="24"/>
      <c r="H178" s="24"/>
      <c r="I178" s="24" t="e">
        <v>#N/A</v>
      </c>
      <c r="J178" s="24"/>
      <c r="K178" s="69"/>
      <c r="L178" s="24"/>
      <c r="M178" s="24"/>
      <c r="N178" s="24" t="e">
        <v>#N/A</v>
      </c>
      <c r="O178" s="24"/>
      <c r="P178" s="69"/>
      <c r="Q178" s="24"/>
      <c r="R178" s="24"/>
      <c r="S178" s="24" t="e">
        <v>#N/A</v>
      </c>
      <c r="T178" s="24"/>
      <c r="U178" s="69"/>
      <c r="V178" s="24"/>
      <c r="W178" s="24"/>
      <c r="X178" s="24" t="e">
        <v>#N/A</v>
      </c>
      <c r="Y178" s="24"/>
      <c r="Z178" s="69"/>
      <c r="AA178" s="24"/>
      <c r="AB178" s="24"/>
      <c r="AC178" s="24" t="e">
        <v>#N/A</v>
      </c>
      <c r="AD178" s="24"/>
      <c r="AE178" s="69"/>
      <c r="AF178" s="130">
        <f>IvoryC!$H$47</f>
        <v>67.58239819870373</v>
      </c>
      <c r="AG178" s="130">
        <f>IvoryC!$I$47</f>
        <v>76.88943805782903</v>
      </c>
      <c r="AH178" s="130">
        <f>(AF178+AG178)/2</f>
        <v>72.23591812826638</v>
      </c>
      <c r="AI178" s="130">
        <f>(AG178-AF178)/2</f>
        <v>4.653519929562648</v>
      </c>
      <c r="AJ178" s="131">
        <f>(AG178-AF178)/2</f>
        <v>4.653519929562648</v>
      </c>
      <c r="AK178" s="24"/>
      <c r="AL178" s="24"/>
      <c r="AM178" s="24" t="e">
        <v>#N/A</v>
      </c>
      <c r="AN178" s="24"/>
      <c r="AO178" s="69"/>
      <c r="AP178" s="24"/>
      <c r="AQ178" s="24"/>
      <c r="AR178" s="24" t="e">
        <v>#N/A</v>
      </c>
      <c r="AS178" s="24"/>
      <c r="AT178" s="69"/>
      <c r="AU178" s="24"/>
      <c r="AV178" s="24"/>
      <c r="AW178" s="24" t="e">
        <v>#N/A</v>
      </c>
      <c r="AX178" s="24"/>
      <c r="AY178" s="69"/>
      <c r="AZ178" s="24"/>
      <c r="BA178" s="24"/>
      <c r="BB178" s="24" t="e">
        <v>#N/A</v>
      </c>
      <c r="BC178" s="24"/>
      <c r="BD178" s="69"/>
      <c r="BE178" s="24"/>
      <c r="BF178" s="24"/>
      <c r="BG178" s="24" t="e">
        <v>#N/A</v>
      </c>
      <c r="BH178" s="24"/>
      <c r="BI178" s="69"/>
    </row>
    <row r="179" spans="1:61" ht="12.75">
      <c r="A179" s="142">
        <f aca="true" t="shared" si="1" ref="A179:A213">A178+1</f>
        <v>1976</v>
      </c>
      <c r="B179" s="24"/>
      <c r="C179" s="24"/>
      <c r="D179" s="24" t="e">
        <v>#N/A</v>
      </c>
      <c r="E179" s="24"/>
      <c r="F179" s="69"/>
      <c r="G179" s="24"/>
      <c r="H179" s="24"/>
      <c r="I179" s="24" t="e">
        <v>#N/A</v>
      </c>
      <c r="J179" s="24"/>
      <c r="K179" s="69"/>
      <c r="L179" s="24"/>
      <c r="M179" s="24"/>
      <c r="N179" s="24" t="e">
        <v>#N/A</v>
      </c>
      <c r="O179" s="24"/>
      <c r="P179" s="69"/>
      <c r="Q179" s="24"/>
      <c r="R179" s="24"/>
      <c r="S179" s="24" t="e">
        <v>#N/A</v>
      </c>
      <c r="T179" s="24"/>
      <c r="U179" s="69"/>
      <c r="V179" s="24"/>
      <c r="W179" s="24"/>
      <c r="X179" s="24" t="e">
        <v>#N/A</v>
      </c>
      <c r="Y179" s="24"/>
      <c r="Z179" s="69"/>
      <c r="AA179" s="24"/>
      <c r="AB179" s="24"/>
      <c r="AC179" s="24" t="e">
        <v>#N/A</v>
      </c>
      <c r="AD179" s="24"/>
      <c r="AE179" s="69"/>
      <c r="AH179" s="24" t="e">
        <v>#N/A</v>
      </c>
      <c r="AJ179" s="47"/>
      <c r="AK179" s="24"/>
      <c r="AL179" s="24"/>
      <c r="AM179" s="24" t="e">
        <v>#N/A</v>
      </c>
      <c r="AN179" s="24"/>
      <c r="AO179" s="69"/>
      <c r="AP179" s="24"/>
      <c r="AQ179" s="24"/>
      <c r="AR179" s="24" t="e">
        <v>#N/A</v>
      </c>
      <c r="AS179" s="24"/>
      <c r="AT179" s="69"/>
      <c r="AU179" s="24"/>
      <c r="AV179" s="24"/>
      <c r="AW179" s="24" t="e">
        <v>#N/A</v>
      </c>
      <c r="AX179" s="24"/>
      <c r="AY179" s="69"/>
      <c r="AZ179" s="24"/>
      <c r="BA179" s="24"/>
      <c r="BB179" s="24" t="e">
        <v>#N/A</v>
      </c>
      <c r="BC179" s="24"/>
      <c r="BD179" s="69"/>
      <c r="BE179" s="24"/>
      <c r="BF179" s="24"/>
      <c r="BG179" s="24" t="e">
        <v>#N/A</v>
      </c>
      <c r="BH179" s="24"/>
      <c r="BI179" s="69"/>
    </row>
    <row r="180" spans="1:61" ht="12.75">
      <c r="A180" s="142">
        <f t="shared" si="1"/>
        <v>1977</v>
      </c>
      <c r="B180" s="24"/>
      <c r="C180" s="24"/>
      <c r="D180" s="24" t="e">
        <v>#N/A</v>
      </c>
      <c r="E180" s="24"/>
      <c r="F180" s="69"/>
      <c r="G180" s="24"/>
      <c r="H180" s="24"/>
      <c r="I180" s="24" t="e">
        <v>#N/A</v>
      </c>
      <c r="J180" s="24"/>
      <c r="K180" s="69"/>
      <c r="L180" s="24"/>
      <c r="M180" s="24"/>
      <c r="N180" s="24" t="e">
        <v>#N/A</v>
      </c>
      <c r="O180" s="24"/>
      <c r="P180" s="69"/>
      <c r="Q180" s="24"/>
      <c r="R180" s="24"/>
      <c r="S180" s="24" t="e">
        <v>#N/A</v>
      </c>
      <c r="T180" s="24"/>
      <c r="U180" s="69"/>
      <c r="V180" s="24"/>
      <c r="W180" s="24"/>
      <c r="X180" s="24" t="e">
        <v>#N/A</v>
      </c>
      <c r="Y180" s="24"/>
      <c r="Z180" s="69"/>
      <c r="AA180" s="24"/>
      <c r="AB180" s="24"/>
      <c r="AC180" s="24" t="e">
        <v>#N/A</v>
      </c>
      <c r="AD180" s="24"/>
      <c r="AE180" s="69"/>
      <c r="AF180" s="130"/>
      <c r="AG180" s="130"/>
      <c r="AH180" s="24" t="e">
        <v>#N/A</v>
      </c>
      <c r="AI180" s="130"/>
      <c r="AJ180" s="131"/>
      <c r="AK180" s="24"/>
      <c r="AL180" s="24"/>
      <c r="AM180" s="24" t="e">
        <v>#N/A</v>
      </c>
      <c r="AN180" s="24"/>
      <c r="AO180" s="69"/>
      <c r="AP180" s="24"/>
      <c r="AQ180" s="24"/>
      <c r="AR180" s="24" t="e">
        <v>#N/A</v>
      </c>
      <c r="AS180" s="24"/>
      <c r="AT180" s="69"/>
      <c r="AU180" s="24"/>
      <c r="AV180" s="24"/>
      <c r="AW180" s="24" t="e">
        <v>#N/A</v>
      </c>
      <c r="AX180" s="24"/>
      <c r="AY180" s="69"/>
      <c r="AZ180" s="24"/>
      <c r="BA180" s="24"/>
      <c r="BB180" s="24" t="e">
        <v>#N/A</v>
      </c>
      <c r="BC180" s="24"/>
      <c r="BD180" s="69"/>
      <c r="BE180" s="24"/>
      <c r="BF180" s="24"/>
      <c r="BG180" s="24" t="e">
        <v>#N/A</v>
      </c>
      <c r="BH180" s="24"/>
      <c r="BI180" s="69"/>
    </row>
    <row r="181" spans="1:61" ht="12.75">
      <c r="A181" s="142">
        <f t="shared" si="1"/>
        <v>1978</v>
      </c>
      <c r="B181" s="24"/>
      <c r="C181" s="24"/>
      <c r="D181" s="24" t="e">
        <v>#N/A</v>
      </c>
      <c r="E181" s="24"/>
      <c r="F181" s="69"/>
      <c r="G181" s="24"/>
      <c r="H181" s="24"/>
      <c r="I181" s="24" t="e">
        <v>#N/A</v>
      </c>
      <c r="J181" s="24"/>
      <c r="K181" s="69"/>
      <c r="L181" s="24"/>
      <c r="M181" s="24"/>
      <c r="N181" s="24" t="e">
        <v>#N/A</v>
      </c>
      <c r="O181" s="24"/>
      <c r="P181" s="69"/>
      <c r="Q181" s="24"/>
      <c r="R181" s="24"/>
      <c r="S181" s="24" t="e">
        <v>#N/A</v>
      </c>
      <c r="T181" s="24"/>
      <c r="U181" s="69"/>
      <c r="V181" s="24"/>
      <c r="W181" s="24"/>
      <c r="X181" s="24" t="e">
        <v>#N/A</v>
      </c>
      <c r="Y181" s="24"/>
      <c r="Z181" s="69"/>
      <c r="AA181" s="24"/>
      <c r="AB181" s="24"/>
      <c r="AC181" s="24" t="e">
        <v>#N/A</v>
      </c>
      <c r="AD181" s="24"/>
      <c r="AE181" s="69"/>
      <c r="AF181" s="24"/>
      <c r="AG181" s="24"/>
      <c r="AH181" s="24" t="e">
        <v>#N/A</v>
      </c>
      <c r="AI181" s="24"/>
      <c r="AJ181" s="69"/>
      <c r="AK181" s="24"/>
      <c r="AL181" s="24"/>
      <c r="AM181" s="24" t="e">
        <v>#N/A</v>
      </c>
      <c r="AN181" s="24"/>
      <c r="AO181" s="69"/>
      <c r="AP181" s="24"/>
      <c r="AQ181" s="24"/>
      <c r="AR181" s="24" t="e">
        <v>#N/A</v>
      </c>
      <c r="AS181" s="24"/>
      <c r="AT181" s="69"/>
      <c r="AU181" s="24"/>
      <c r="AV181" s="24"/>
      <c r="AW181" s="24" t="e">
        <v>#N/A</v>
      </c>
      <c r="AX181" s="24"/>
      <c r="AY181" s="69"/>
      <c r="AZ181" s="24"/>
      <c r="BA181" s="24"/>
      <c r="BB181" s="24" t="e">
        <v>#N/A</v>
      </c>
      <c r="BC181" s="24"/>
      <c r="BD181" s="69"/>
      <c r="BE181" s="24"/>
      <c r="BF181" s="24"/>
      <c r="BG181" s="24" t="e">
        <v>#N/A</v>
      </c>
      <c r="BH181" s="24"/>
      <c r="BI181" s="69"/>
    </row>
    <row r="182" spans="1:61" ht="12.75">
      <c r="A182" s="142">
        <f t="shared" si="1"/>
        <v>1979</v>
      </c>
      <c r="B182" s="24"/>
      <c r="C182" s="24"/>
      <c r="D182" s="24" t="e">
        <v>#N/A</v>
      </c>
      <c r="E182" s="24"/>
      <c r="F182" s="69"/>
      <c r="G182" s="24"/>
      <c r="H182" s="24"/>
      <c r="I182" s="24" t="e">
        <v>#N/A</v>
      </c>
      <c r="J182" s="24"/>
      <c r="K182" s="69"/>
      <c r="L182" s="24"/>
      <c r="M182" s="24"/>
      <c r="N182" s="24" t="e">
        <v>#N/A</v>
      </c>
      <c r="O182" s="24"/>
      <c r="P182" s="69"/>
      <c r="Q182" s="24"/>
      <c r="R182" s="24"/>
      <c r="S182" s="24" t="e">
        <v>#N/A</v>
      </c>
      <c r="T182" s="24"/>
      <c r="U182" s="69"/>
      <c r="V182" s="24"/>
      <c r="W182" s="24"/>
      <c r="X182" s="24" t="e">
        <v>#N/A</v>
      </c>
      <c r="Y182" s="24"/>
      <c r="Z182" s="69"/>
      <c r="AA182" s="24"/>
      <c r="AB182" s="24"/>
      <c r="AC182" s="24" t="e">
        <v>#N/A</v>
      </c>
      <c r="AD182" s="24"/>
      <c r="AE182" s="69"/>
      <c r="AF182" s="24"/>
      <c r="AG182" s="24"/>
      <c r="AH182" s="24" t="e">
        <v>#N/A</v>
      </c>
      <c r="AI182" s="24"/>
      <c r="AJ182" s="69"/>
      <c r="AK182" s="24"/>
      <c r="AL182" s="24"/>
      <c r="AM182" s="24" t="e">
        <v>#N/A</v>
      </c>
      <c r="AN182" s="24"/>
      <c r="AO182" s="69"/>
      <c r="AP182" s="24"/>
      <c r="AQ182" s="24"/>
      <c r="AR182" s="24" t="e">
        <v>#N/A</v>
      </c>
      <c r="AS182" s="24"/>
      <c r="AT182" s="69"/>
      <c r="AU182" s="24"/>
      <c r="AV182" s="24"/>
      <c r="AW182" s="24" t="e">
        <v>#N/A</v>
      </c>
      <c r="AX182" s="24"/>
      <c r="AY182" s="69"/>
      <c r="AZ182" s="24"/>
      <c r="BA182" s="24"/>
      <c r="BB182" s="24" t="e">
        <v>#N/A</v>
      </c>
      <c r="BC182" s="24"/>
      <c r="BD182" s="69"/>
      <c r="BE182" s="24"/>
      <c r="BF182" s="24"/>
      <c r="BG182" s="24" t="e">
        <v>#N/A</v>
      </c>
      <c r="BH182" s="24"/>
      <c r="BI182" s="69"/>
    </row>
    <row r="183" spans="1:61" ht="12.75">
      <c r="A183" s="137">
        <f t="shared" si="1"/>
        <v>1980</v>
      </c>
      <c r="B183" s="56"/>
      <c r="C183" s="56"/>
      <c r="D183" s="56" t="e">
        <v>#N/A</v>
      </c>
      <c r="E183" s="56"/>
      <c r="F183" s="139"/>
      <c r="G183" s="56"/>
      <c r="H183" s="56"/>
      <c r="I183" s="56" t="e">
        <v>#N/A</v>
      </c>
      <c r="J183" s="56"/>
      <c r="K183" s="139"/>
      <c r="L183" s="56"/>
      <c r="M183" s="56"/>
      <c r="N183" s="56" t="e">
        <v>#N/A</v>
      </c>
      <c r="O183" s="56"/>
      <c r="P183" s="139"/>
      <c r="Q183" s="56"/>
      <c r="R183" s="56"/>
      <c r="S183" s="56" t="e">
        <v>#N/A</v>
      </c>
      <c r="T183" s="56"/>
      <c r="U183" s="139"/>
      <c r="V183" s="56"/>
      <c r="W183" s="56"/>
      <c r="X183" s="56" t="e">
        <v>#N/A</v>
      </c>
      <c r="Y183" s="56"/>
      <c r="Z183" s="139"/>
      <c r="AA183" s="56"/>
      <c r="AB183" s="56"/>
      <c r="AC183" s="56" t="e">
        <v>#N/A</v>
      </c>
      <c r="AD183" s="56"/>
      <c r="AE183" s="139"/>
      <c r="AF183" s="56"/>
      <c r="AG183" s="56"/>
      <c r="AH183" s="56" t="e">
        <v>#N/A</v>
      </c>
      <c r="AI183" s="56"/>
      <c r="AJ183" s="139"/>
      <c r="AK183" s="56"/>
      <c r="AL183" s="56"/>
      <c r="AM183" s="56" t="e">
        <v>#N/A</v>
      </c>
      <c r="AN183" s="56"/>
      <c r="AO183" s="139"/>
      <c r="AP183" s="56"/>
      <c r="AQ183" s="56"/>
      <c r="AR183" s="56" t="e">
        <v>#N/A</v>
      </c>
      <c r="AS183" s="56"/>
      <c r="AT183" s="139"/>
      <c r="AU183" s="56"/>
      <c r="AV183" s="56"/>
      <c r="AW183" s="56" t="e">
        <v>#N/A</v>
      </c>
      <c r="AX183" s="56"/>
      <c r="AY183" s="139"/>
      <c r="AZ183" s="56"/>
      <c r="BA183" s="56"/>
      <c r="BB183" s="56" t="e">
        <v>#N/A</v>
      </c>
      <c r="BC183" s="56"/>
      <c r="BD183" s="139"/>
      <c r="BE183" s="56"/>
      <c r="BF183" s="56"/>
      <c r="BG183" s="56" t="e">
        <v>#N/A</v>
      </c>
      <c r="BH183" s="56"/>
      <c r="BI183" s="139"/>
    </row>
    <row r="184" spans="1:61" ht="12.75">
      <c r="A184" s="142">
        <f t="shared" si="1"/>
        <v>1981</v>
      </c>
      <c r="B184" s="24"/>
      <c r="C184" s="24"/>
      <c r="D184" s="24" t="e">
        <v>#N/A</v>
      </c>
      <c r="E184" s="24"/>
      <c r="F184" s="69"/>
      <c r="G184" s="24"/>
      <c r="H184" s="24"/>
      <c r="I184" s="24" t="e">
        <v>#N/A</v>
      </c>
      <c r="J184" s="24"/>
      <c r="K184" s="69"/>
      <c r="L184" s="24"/>
      <c r="M184" s="24"/>
      <c r="N184" s="24" t="e">
        <v>#N/A</v>
      </c>
      <c r="O184" s="24"/>
      <c r="P184" s="69"/>
      <c r="Q184" s="24"/>
      <c r="R184" s="24"/>
      <c r="S184" s="24" t="e">
        <v>#N/A</v>
      </c>
      <c r="T184" s="24"/>
      <c r="U184" s="69"/>
      <c r="V184" s="24"/>
      <c r="W184" s="24"/>
      <c r="X184" s="24" t="e">
        <v>#N/A</v>
      </c>
      <c r="Y184" s="24"/>
      <c r="Z184" s="69"/>
      <c r="AA184" s="24"/>
      <c r="AB184" s="24"/>
      <c r="AC184" s="24" t="e">
        <v>#N/A</v>
      </c>
      <c r="AD184" s="24"/>
      <c r="AE184" s="69"/>
      <c r="AF184" s="24"/>
      <c r="AG184" s="24"/>
      <c r="AH184" s="24" t="e">
        <v>#N/A</v>
      </c>
      <c r="AI184" s="24"/>
      <c r="AJ184" s="69"/>
      <c r="AK184" s="24"/>
      <c r="AL184" s="24"/>
      <c r="AM184" s="24" t="e">
        <v>#N/A</v>
      </c>
      <c r="AN184" s="24"/>
      <c r="AO184" s="69"/>
      <c r="AP184" s="24"/>
      <c r="AQ184" s="24"/>
      <c r="AR184" s="24" t="e">
        <v>#N/A</v>
      </c>
      <c r="AS184" s="24"/>
      <c r="AT184" s="69"/>
      <c r="AU184" s="24"/>
      <c r="AV184" s="24"/>
      <c r="AW184" s="24" t="e">
        <v>#N/A</v>
      </c>
      <c r="AX184" s="24"/>
      <c r="AY184" s="69"/>
      <c r="AZ184" s="24"/>
      <c r="BA184" s="24"/>
      <c r="BB184" s="24" t="e">
        <v>#N/A</v>
      </c>
      <c r="BC184" s="24"/>
      <c r="BD184" s="69"/>
      <c r="BE184" s="24"/>
      <c r="BF184" s="24"/>
      <c r="BG184" s="24" t="e">
        <v>#N/A</v>
      </c>
      <c r="BH184" s="24"/>
      <c r="BI184" s="69"/>
    </row>
    <row r="185" spans="1:61" ht="12.75">
      <c r="A185" s="142">
        <f t="shared" si="1"/>
        <v>1982</v>
      </c>
      <c r="B185" s="24"/>
      <c r="C185" s="24"/>
      <c r="D185" s="24" t="e">
        <v>#N/A</v>
      </c>
      <c r="E185" s="24"/>
      <c r="F185" s="69"/>
      <c r="G185" s="24"/>
      <c r="H185" s="24"/>
      <c r="I185" s="24" t="e">
        <v>#N/A</v>
      </c>
      <c r="J185" s="24"/>
      <c r="K185" s="69"/>
      <c r="L185" s="24"/>
      <c r="M185" s="24"/>
      <c r="N185" s="24" t="e">
        <v>#N/A</v>
      </c>
      <c r="O185" s="24"/>
      <c r="P185" s="69"/>
      <c r="Q185" s="24"/>
      <c r="R185" s="24"/>
      <c r="S185" s="24" t="e">
        <v>#N/A</v>
      </c>
      <c r="T185" s="24"/>
      <c r="U185" s="69"/>
      <c r="V185" s="24"/>
      <c r="W185" s="24"/>
      <c r="X185" s="24" t="e">
        <v>#N/A</v>
      </c>
      <c r="Y185" s="24"/>
      <c r="Z185" s="69"/>
      <c r="AA185" s="24"/>
      <c r="AB185" s="24"/>
      <c r="AC185" s="24" t="e">
        <v>#N/A</v>
      </c>
      <c r="AD185" s="24"/>
      <c r="AE185" s="69"/>
      <c r="AF185" s="24"/>
      <c r="AG185" s="24"/>
      <c r="AH185" s="24" t="e">
        <v>#N/A</v>
      </c>
      <c r="AI185" s="24"/>
      <c r="AJ185" s="69"/>
      <c r="AK185" s="24"/>
      <c r="AL185" s="24"/>
      <c r="AM185" s="24" t="e">
        <v>#N/A</v>
      </c>
      <c r="AN185" s="24"/>
      <c r="AO185" s="69"/>
      <c r="AP185" s="24"/>
      <c r="AQ185" s="24"/>
      <c r="AR185" s="24" t="e">
        <v>#N/A</v>
      </c>
      <c r="AS185" s="24"/>
      <c r="AT185" s="69"/>
      <c r="AU185" s="24"/>
      <c r="AV185" s="24"/>
      <c r="AW185" s="24" t="e">
        <v>#N/A</v>
      </c>
      <c r="AX185" s="24"/>
      <c r="AY185" s="69"/>
      <c r="AZ185" s="24"/>
      <c r="BA185" s="24"/>
      <c r="BB185" s="24" t="e">
        <v>#N/A</v>
      </c>
      <c r="BC185" s="24"/>
      <c r="BD185" s="69"/>
      <c r="BE185" s="24"/>
      <c r="BF185" s="24"/>
      <c r="BG185" s="24" t="e">
        <v>#N/A</v>
      </c>
      <c r="BH185" s="24"/>
      <c r="BI185" s="69"/>
    </row>
    <row r="186" spans="1:61" ht="12.75">
      <c r="A186" s="142">
        <f t="shared" si="1"/>
        <v>1983</v>
      </c>
      <c r="B186" s="24"/>
      <c r="C186" s="24"/>
      <c r="D186" s="24" t="e">
        <v>#N/A</v>
      </c>
      <c r="E186" s="24"/>
      <c r="F186" s="69"/>
      <c r="G186" s="24"/>
      <c r="H186" s="24"/>
      <c r="I186" s="24" t="e">
        <v>#N/A</v>
      </c>
      <c r="J186" s="24"/>
      <c r="K186" s="69"/>
      <c r="L186" s="24"/>
      <c r="M186" s="24"/>
      <c r="N186" s="24" t="e">
        <v>#N/A</v>
      </c>
      <c r="O186" s="24"/>
      <c r="P186" s="69"/>
      <c r="Q186" s="24"/>
      <c r="R186" s="24"/>
      <c r="S186" s="24" t="e">
        <v>#N/A</v>
      </c>
      <c r="T186" s="24"/>
      <c r="U186" s="69"/>
      <c r="V186" s="24"/>
      <c r="W186" s="24"/>
      <c r="X186" s="24" t="e">
        <v>#N/A</v>
      </c>
      <c r="Y186" s="24"/>
      <c r="Z186" s="69"/>
      <c r="AA186" s="24"/>
      <c r="AB186" s="24"/>
      <c r="AC186" s="24" t="e">
        <v>#N/A</v>
      </c>
      <c r="AD186" s="24"/>
      <c r="AE186" s="69"/>
      <c r="AF186" s="24"/>
      <c r="AG186" s="24"/>
      <c r="AH186" s="24" t="e">
        <v>#N/A</v>
      </c>
      <c r="AI186" s="24"/>
      <c r="AJ186" s="69"/>
      <c r="AK186" s="24"/>
      <c r="AL186" s="24"/>
      <c r="AM186" s="24" t="e">
        <v>#N/A</v>
      </c>
      <c r="AN186" s="24"/>
      <c r="AO186" s="69"/>
      <c r="AP186" s="24"/>
      <c r="AQ186" s="24"/>
      <c r="AR186" s="24" t="e">
        <v>#N/A</v>
      </c>
      <c r="AS186" s="24"/>
      <c r="AT186" s="69"/>
      <c r="AU186" s="24"/>
      <c r="AV186" s="24"/>
      <c r="AW186" s="24" t="e">
        <v>#N/A</v>
      </c>
      <c r="AX186" s="24"/>
      <c r="AY186" s="69"/>
      <c r="AZ186" s="24"/>
      <c r="BA186" s="24"/>
      <c r="BB186" s="24" t="e">
        <v>#N/A</v>
      </c>
      <c r="BC186" s="24"/>
      <c r="BD186" s="69"/>
      <c r="BE186" s="24"/>
      <c r="BF186" s="24"/>
      <c r="BG186" s="24" t="e">
        <v>#N/A</v>
      </c>
      <c r="BH186" s="24"/>
      <c r="BI186" s="69"/>
    </row>
    <row r="187" spans="1:61" ht="12.75">
      <c r="A187" s="142">
        <f t="shared" si="1"/>
        <v>1984</v>
      </c>
      <c r="B187" s="24"/>
      <c r="C187" s="24"/>
      <c r="D187" s="24" t="e">
        <v>#N/A</v>
      </c>
      <c r="E187" s="24"/>
      <c r="F187" s="69"/>
      <c r="G187" s="24"/>
      <c r="H187" s="24"/>
      <c r="I187" s="24" t="e">
        <v>#N/A</v>
      </c>
      <c r="J187" s="24"/>
      <c r="K187" s="69"/>
      <c r="L187" s="24"/>
      <c r="M187" s="24"/>
      <c r="N187" s="24" t="e">
        <v>#N/A</v>
      </c>
      <c r="O187" s="24"/>
      <c r="P187" s="69"/>
      <c r="Q187" s="24"/>
      <c r="R187" s="24"/>
      <c r="S187" s="24" t="e">
        <v>#N/A</v>
      </c>
      <c r="T187" s="24"/>
      <c r="U187" s="69"/>
      <c r="V187" s="24"/>
      <c r="W187" s="24"/>
      <c r="X187" s="24" t="e">
        <v>#N/A</v>
      </c>
      <c r="Y187" s="24"/>
      <c r="Z187" s="69"/>
      <c r="AA187" s="24"/>
      <c r="AB187" s="24"/>
      <c r="AC187" s="24" t="e">
        <v>#N/A</v>
      </c>
      <c r="AD187" s="24"/>
      <c r="AE187" s="69"/>
      <c r="AF187" s="24"/>
      <c r="AG187" s="24"/>
      <c r="AH187" s="24" t="e">
        <v>#N/A</v>
      </c>
      <c r="AI187" s="24"/>
      <c r="AJ187" s="69"/>
      <c r="AK187" s="24"/>
      <c r="AL187" s="24"/>
      <c r="AM187" s="24" t="e">
        <v>#N/A</v>
      </c>
      <c r="AN187" s="24"/>
      <c r="AO187" s="69"/>
      <c r="AP187" s="24"/>
      <c r="AQ187" s="24"/>
      <c r="AR187" s="24" t="e">
        <v>#N/A</v>
      </c>
      <c r="AS187" s="24"/>
      <c r="AT187" s="69"/>
      <c r="AU187" s="24"/>
      <c r="AV187" s="24"/>
      <c r="AW187" s="24" t="e">
        <v>#N/A</v>
      </c>
      <c r="AX187" s="24"/>
      <c r="AY187" s="69"/>
      <c r="AZ187" s="24"/>
      <c r="BA187" s="24"/>
      <c r="BB187" s="24" t="e">
        <v>#N/A</v>
      </c>
      <c r="BC187" s="24"/>
      <c r="BD187" s="69"/>
      <c r="BE187" s="24"/>
      <c r="BF187" s="24"/>
      <c r="BG187" s="24" t="e">
        <v>#N/A</v>
      </c>
      <c r="BH187" s="24"/>
      <c r="BI187" s="69"/>
    </row>
    <row r="188" spans="1:61" ht="12.75">
      <c r="A188" s="142">
        <f t="shared" si="1"/>
        <v>1985</v>
      </c>
      <c r="B188" s="24"/>
      <c r="C188" s="24"/>
      <c r="D188" s="24" t="e">
        <v>#N/A</v>
      </c>
      <c r="E188" s="24"/>
      <c r="F188" s="69"/>
      <c r="G188" s="24"/>
      <c r="H188" s="24"/>
      <c r="I188" s="24" t="e">
        <v>#N/A</v>
      </c>
      <c r="J188" s="24"/>
      <c r="K188" s="69"/>
      <c r="L188" s="24"/>
      <c r="M188" s="24"/>
      <c r="N188" s="24" t="e">
        <v>#N/A</v>
      </c>
      <c r="O188" s="24"/>
      <c r="P188" s="69"/>
      <c r="Q188" s="24"/>
      <c r="R188" s="24"/>
      <c r="S188" s="24" t="e">
        <v>#N/A</v>
      </c>
      <c r="T188" s="24"/>
      <c r="U188" s="69"/>
      <c r="V188" s="24"/>
      <c r="W188" s="24"/>
      <c r="X188" s="24" t="e">
        <v>#N/A</v>
      </c>
      <c r="Y188" s="24"/>
      <c r="Z188" s="69"/>
      <c r="AA188" s="24"/>
      <c r="AB188" s="24"/>
      <c r="AC188" s="24" t="e">
        <v>#N/A</v>
      </c>
      <c r="AD188" s="24"/>
      <c r="AE188" s="69"/>
      <c r="AF188" s="24"/>
      <c r="AG188" s="24"/>
      <c r="AH188" s="24" t="e">
        <v>#N/A</v>
      </c>
      <c r="AI188" s="24"/>
      <c r="AJ188" s="69"/>
      <c r="AK188" s="24"/>
      <c r="AL188" s="24"/>
      <c r="AM188" s="24" t="e">
        <v>#N/A</v>
      </c>
      <c r="AN188" s="24"/>
      <c r="AO188" s="69"/>
      <c r="AP188" s="24"/>
      <c r="AQ188" s="24"/>
      <c r="AR188" s="24" t="e">
        <v>#N/A</v>
      </c>
      <c r="AS188" s="24"/>
      <c r="AT188" s="69"/>
      <c r="AU188" s="24"/>
      <c r="AV188" s="24"/>
      <c r="AW188" s="24" t="e">
        <v>#N/A</v>
      </c>
      <c r="AX188" s="24"/>
      <c r="AY188" s="69"/>
      <c r="AZ188" s="24"/>
      <c r="BA188" s="24"/>
      <c r="BB188" s="24" t="e">
        <v>#N/A</v>
      </c>
      <c r="BC188" s="24"/>
      <c r="BD188" s="69"/>
      <c r="BE188" s="24"/>
      <c r="BF188" s="24"/>
      <c r="BG188" s="24" t="e">
        <v>#N/A</v>
      </c>
      <c r="BH188" s="24"/>
      <c r="BI188" s="69"/>
    </row>
    <row r="189" spans="1:61" ht="12.75">
      <c r="A189" s="142">
        <f t="shared" si="1"/>
        <v>1986</v>
      </c>
      <c r="B189" s="24"/>
      <c r="C189" s="24"/>
      <c r="D189" s="24" t="e">
        <v>#N/A</v>
      </c>
      <c r="E189" s="24"/>
      <c r="F189" s="69"/>
      <c r="G189" s="24"/>
      <c r="H189" s="24"/>
      <c r="I189" s="24" t="e">
        <v>#N/A</v>
      </c>
      <c r="J189" s="24"/>
      <c r="K189" s="69"/>
      <c r="L189" s="24"/>
      <c r="M189" s="24"/>
      <c r="N189" s="24" t="e">
        <v>#N/A</v>
      </c>
      <c r="O189" s="24"/>
      <c r="P189" s="69"/>
      <c r="Q189" s="24"/>
      <c r="R189" s="24"/>
      <c r="S189" s="24" t="e">
        <v>#N/A</v>
      </c>
      <c r="T189" s="24"/>
      <c r="U189" s="69"/>
      <c r="V189" s="24"/>
      <c r="W189" s="24"/>
      <c r="X189" s="24" t="e">
        <v>#N/A</v>
      </c>
      <c r="Y189" s="24"/>
      <c r="Z189" s="69"/>
      <c r="AA189" s="24"/>
      <c r="AB189" s="24"/>
      <c r="AC189" s="24" t="e">
        <v>#N/A</v>
      </c>
      <c r="AD189" s="24"/>
      <c r="AE189" s="69"/>
      <c r="AF189" s="24"/>
      <c r="AG189" s="24"/>
      <c r="AH189" s="24" t="e">
        <v>#N/A</v>
      </c>
      <c r="AI189" s="24"/>
      <c r="AJ189" s="69"/>
      <c r="AK189" s="24"/>
      <c r="AL189" s="24"/>
      <c r="AM189" s="24" t="e">
        <v>#N/A</v>
      </c>
      <c r="AN189" s="24"/>
      <c r="AO189" s="69"/>
      <c r="AP189" s="24"/>
      <c r="AQ189" s="24"/>
      <c r="AR189" s="24" t="e">
        <v>#N/A</v>
      </c>
      <c r="AS189" s="24"/>
      <c r="AT189" s="69"/>
      <c r="AU189" s="24"/>
      <c r="AV189" s="24"/>
      <c r="AW189" s="24" t="e">
        <v>#N/A</v>
      </c>
      <c r="AX189" s="24"/>
      <c r="AY189" s="69"/>
      <c r="AZ189" s="24"/>
      <c r="BA189" s="24"/>
      <c r="BB189" s="24" t="e">
        <v>#N/A</v>
      </c>
      <c r="BC189" s="24"/>
      <c r="BD189" s="69"/>
      <c r="BE189" s="24"/>
      <c r="BF189" s="24"/>
      <c r="BG189" s="24" t="e">
        <v>#N/A</v>
      </c>
      <c r="BH189" s="24"/>
      <c r="BI189" s="69"/>
    </row>
    <row r="190" spans="1:61" ht="12.75">
      <c r="A190" s="142">
        <f t="shared" si="1"/>
        <v>1987</v>
      </c>
      <c r="B190" s="24"/>
      <c r="C190" s="24"/>
      <c r="D190" s="24" t="e">
        <v>#N/A</v>
      </c>
      <c r="E190" s="24"/>
      <c r="F190" s="69"/>
      <c r="G190" s="24"/>
      <c r="H190" s="24"/>
      <c r="I190" s="24" t="e">
        <v>#N/A</v>
      </c>
      <c r="J190" s="24"/>
      <c r="K190" s="69"/>
      <c r="L190" s="24"/>
      <c r="M190" s="24"/>
      <c r="N190" s="24" t="e">
        <v>#N/A</v>
      </c>
      <c r="O190" s="24"/>
      <c r="P190" s="69"/>
      <c r="Q190" s="24"/>
      <c r="R190" s="24"/>
      <c r="S190" s="24" t="e">
        <v>#N/A</v>
      </c>
      <c r="T190" s="24"/>
      <c r="U190" s="69"/>
      <c r="V190" s="24"/>
      <c r="W190" s="24"/>
      <c r="X190" s="24" t="e">
        <v>#N/A</v>
      </c>
      <c r="Y190" s="24"/>
      <c r="Z190" s="69"/>
      <c r="AA190" s="24"/>
      <c r="AB190" s="24"/>
      <c r="AC190" s="24" t="e">
        <v>#N/A</v>
      </c>
      <c r="AD190" s="24"/>
      <c r="AE190" s="69"/>
      <c r="AF190" s="24"/>
      <c r="AG190" s="24"/>
      <c r="AH190" s="24" t="e">
        <v>#N/A</v>
      </c>
      <c r="AI190" s="24"/>
      <c r="AJ190" s="69"/>
      <c r="AK190" s="24"/>
      <c r="AL190" s="24"/>
      <c r="AM190" s="24" t="e">
        <v>#N/A</v>
      </c>
      <c r="AN190" s="24"/>
      <c r="AO190" s="69"/>
      <c r="AP190" s="24"/>
      <c r="AQ190" s="24"/>
      <c r="AR190" s="24" t="e">
        <v>#N/A</v>
      </c>
      <c r="AS190" s="24"/>
      <c r="AT190" s="69"/>
      <c r="AU190" s="24"/>
      <c r="AV190" s="24"/>
      <c r="AW190" s="24" t="e">
        <v>#N/A</v>
      </c>
      <c r="AX190" s="24"/>
      <c r="AY190" s="69"/>
      <c r="AZ190" s="24"/>
      <c r="BA190" s="24"/>
      <c r="BB190" s="24" t="e">
        <v>#N/A</v>
      </c>
      <c r="BC190" s="24"/>
      <c r="BD190" s="69"/>
      <c r="BE190" s="24"/>
      <c r="BF190" s="24"/>
      <c r="BG190" s="24" t="e">
        <v>#N/A</v>
      </c>
      <c r="BH190" s="24"/>
      <c r="BI190" s="69"/>
    </row>
    <row r="191" spans="1:61" ht="12.75">
      <c r="A191" s="142">
        <f t="shared" si="1"/>
        <v>1988</v>
      </c>
      <c r="B191" s="24"/>
      <c r="C191" s="24"/>
      <c r="D191" s="24" t="e">
        <v>#N/A</v>
      </c>
      <c r="E191" s="24"/>
      <c r="F191" s="69"/>
      <c r="G191" s="24"/>
      <c r="H191" s="24"/>
      <c r="I191" s="24" t="e">
        <v>#N/A</v>
      </c>
      <c r="J191" s="24"/>
      <c r="K191" s="69"/>
      <c r="L191" s="24"/>
      <c r="M191" s="24"/>
      <c r="N191" s="24" t="e">
        <v>#N/A</v>
      </c>
      <c r="O191" s="24"/>
      <c r="P191" s="69"/>
      <c r="Q191" s="24"/>
      <c r="R191" s="24"/>
      <c r="S191" s="24" t="e">
        <v>#N/A</v>
      </c>
      <c r="T191" s="24"/>
      <c r="U191" s="69"/>
      <c r="V191" s="24"/>
      <c r="W191" s="24"/>
      <c r="X191" s="24" t="e">
        <v>#N/A</v>
      </c>
      <c r="Y191" s="24"/>
      <c r="Z191" s="69"/>
      <c r="AA191" s="24"/>
      <c r="AB191" s="24"/>
      <c r="AC191" s="24" t="e">
        <v>#N/A</v>
      </c>
      <c r="AD191" s="24"/>
      <c r="AE191" s="69"/>
      <c r="AF191" s="24"/>
      <c r="AG191" s="24"/>
      <c r="AH191" s="24" t="e">
        <v>#N/A</v>
      </c>
      <c r="AI191" s="24"/>
      <c r="AJ191" s="69"/>
      <c r="AK191" s="24"/>
      <c r="AL191" s="24"/>
      <c r="AM191" s="24" t="e">
        <v>#N/A</v>
      </c>
      <c r="AN191" s="24"/>
      <c r="AO191" s="69"/>
      <c r="AP191" s="24"/>
      <c r="AQ191" s="24"/>
      <c r="AR191" s="24" t="e">
        <v>#N/A</v>
      </c>
      <c r="AS191" s="24"/>
      <c r="AT191" s="69"/>
      <c r="AU191" s="24"/>
      <c r="AV191" s="24"/>
      <c r="AW191" s="24" t="e">
        <v>#N/A</v>
      </c>
      <c r="AX191" s="24"/>
      <c r="AY191" s="69"/>
      <c r="AZ191" s="24"/>
      <c r="BA191" s="24"/>
      <c r="BB191" s="24" t="e">
        <v>#N/A</v>
      </c>
      <c r="BC191" s="24"/>
      <c r="BD191" s="69"/>
      <c r="BE191" s="24"/>
      <c r="BF191" s="24"/>
      <c r="BG191" s="24" t="e">
        <v>#N/A</v>
      </c>
      <c r="BH191" s="24"/>
      <c r="BI191" s="69"/>
    </row>
    <row r="192" spans="1:61" ht="12.75">
      <c r="A192" s="142">
        <f t="shared" si="1"/>
        <v>1989</v>
      </c>
      <c r="B192" s="24"/>
      <c r="C192" s="24"/>
      <c r="D192" s="24" t="e">
        <v>#N/A</v>
      </c>
      <c r="E192" s="24"/>
      <c r="F192" s="69"/>
      <c r="G192" s="24"/>
      <c r="H192" s="24"/>
      <c r="I192" s="24" t="e">
        <v>#N/A</v>
      </c>
      <c r="J192" s="24"/>
      <c r="K192" s="69"/>
      <c r="L192" s="24"/>
      <c r="M192" s="24"/>
      <c r="N192" s="24" t="e">
        <v>#N/A</v>
      </c>
      <c r="O192" s="24"/>
      <c r="P192" s="69"/>
      <c r="Q192" s="24"/>
      <c r="R192" s="24"/>
      <c r="S192" s="24" t="e">
        <v>#N/A</v>
      </c>
      <c r="T192" s="24"/>
      <c r="U192" s="69"/>
      <c r="V192" s="24"/>
      <c r="W192" s="24"/>
      <c r="X192" s="24" t="e">
        <v>#N/A</v>
      </c>
      <c r="Y192" s="24"/>
      <c r="Z192" s="69"/>
      <c r="AA192" s="24"/>
      <c r="AB192" s="24"/>
      <c r="AC192" s="24" t="e">
        <v>#N/A</v>
      </c>
      <c r="AD192" s="24"/>
      <c r="AE192" s="69"/>
      <c r="AF192" s="24"/>
      <c r="AG192" s="24"/>
      <c r="AH192" s="24" t="e">
        <v>#N/A</v>
      </c>
      <c r="AI192" s="24"/>
      <c r="AJ192" s="69"/>
      <c r="AK192" s="24"/>
      <c r="AL192" s="24"/>
      <c r="AM192" s="24" t="e">
        <v>#N/A</v>
      </c>
      <c r="AN192" s="24"/>
      <c r="AO192" s="69"/>
      <c r="AP192" s="24"/>
      <c r="AQ192" s="24"/>
      <c r="AR192" s="24" t="e">
        <v>#N/A</v>
      </c>
      <c r="AS192" s="24"/>
      <c r="AT192" s="69"/>
      <c r="AU192" s="24"/>
      <c r="AV192" s="24"/>
      <c r="AW192" s="24" t="e">
        <v>#N/A</v>
      </c>
      <c r="AX192" s="24"/>
      <c r="AY192" s="69"/>
      <c r="AZ192" s="24"/>
      <c r="BA192" s="24"/>
      <c r="BB192" s="24" t="e">
        <v>#N/A</v>
      </c>
      <c r="BC192" s="24"/>
      <c r="BD192" s="69"/>
      <c r="BE192" s="24"/>
      <c r="BF192" s="24"/>
      <c r="BG192" s="24" t="e">
        <v>#N/A</v>
      </c>
      <c r="BH192" s="24"/>
      <c r="BI192" s="69"/>
    </row>
    <row r="193" spans="1:61" ht="12.75">
      <c r="A193" s="137">
        <f t="shared" si="1"/>
        <v>1990</v>
      </c>
      <c r="B193" s="56"/>
      <c r="C193" s="56"/>
      <c r="D193" s="56" t="e">
        <v>#N/A</v>
      </c>
      <c r="E193" s="56"/>
      <c r="F193" s="139"/>
      <c r="G193" s="56"/>
      <c r="H193" s="56"/>
      <c r="I193" s="56" t="e">
        <v>#N/A</v>
      </c>
      <c r="J193" s="56"/>
      <c r="K193" s="139"/>
      <c r="L193" s="56"/>
      <c r="M193" s="56"/>
      <c r="N193" s="56" t="e">
        <v>#N/A</v>
      </c>
      <c r="O193" s="56"/>
      <c r="P193" s="139"/>
      <c r="Q193" s="56"/>
      <c r="R193" s="56"/>
      <c r="S193" s="56" t="e">
        <v>#N/A</v>
      </c>
      <c r="T193" s="56"/>
      <c r="U193" s="139"/>
      <c r="V193" s="56"/>
      <c r="W193" s="56"/>
      <c r="X193" s="56" t="e">
        <v>#N/A</v>
      </c>
      <c r="Y193" s="56"/>
      <c r="Z193" s="139"/>
      <c r="AA193" s="56"/>
      <c r="AB193" s="56"/>
      <c r="AC193" s="56" t="e">
        <v>#N/A</v>
      </c>
      <c r="AD193" s="56"/>
      <c r="AE193" s="139"/>
      <c r="AF193" s="56"/>
      <c r="AG193" s="56"/>
      <c r="AH193" s="56" t="e">
        <v>#N/A</v>
      </c>
      <c r="AI193" s="56"/>
      <c r="AJ193" s="139"/>
      <c r="AK193" s="56"/>
      <c r="AL193" s="56"/>
      <c r="AM193" s="56" t="e">
        <v>#N/A</v>
      </c>
      <c r="AN193" s="56"/>
      <c r="AO193" s="139"/>
      <c r="AP193" s="56"/>
      <c r="AQ193" s="56"/>
      <c r="AR193" s="56" t="e">
        <v>#N/A</v>
      </c>
      <c r="AS193" s="56"/>
      <c r="AT193" s="139"/>
      <c r="AU193" s="56"/>
      <c r="AV193" s="56"/>
      <c r="AW193" s="56" t="e">
        <v>#N/A</v>
      </c>
      <c r="AX193" s="56"/>
      <c r="AY193" s="139"/>
      <c r="AZ193" s="56"/>
      <c r="BA193" s="56"/>
      <c r="BB193" s="56" t="e">
        <v>#N/A</v>
      </c>
      <c r="BC193" s="56"/>
      <c r="BD193" s="139"/>
      <c r="BE193" s="56"/>
      <c r="BF193" s="56"/>
      <c r="BG193" s="56" t="e">
        <v>#N/A</v>
      </c>
      <c r="BH193" s="56"/>
      <c r="BI193" s="139"/>
    </row>
    <row r="194" spans="1:61" ht="12.75">
      <c r="A194" s="142">
        <f t="shared" si="1"/>
        <v>1991</v>
      </c>
      <c r="B194" s="24"/>
      <c r="C194" s="24"/>
      <c r="D194" s="24" t="e">
        <v>#N/A</v>
      </c>
      <c r="E194" s="24"/>
      <c r="F194" s="69"/>
      <c r="G194" s="24"/>
      <c r="H194" s="24"/>
      <c r="I194" s="24" t="e">
        <v>#N/A</v>
      </c>
      <c r="J194" s="24"/>
      <c r="K194" s="69"/>
      <c r="L194" s="24"/>
      <c r="M194" s="24"/>
      <c r="N194" s="24" t="e">
        <v>#N/A</v>
      </c>
      <c r="O194" s="24"/>
      <c r="P194" s="69"/>
      <c r="Q194" s="24"/>
      <c r="R194" s="24"/>
      <c r="S194" s="24" t="e">
        <v>#N/A</v>
      </c>
      <c r="T194" s="24"/>
      <c r="U194" s="69"/>
      <c r="V194" s="24"/>
      <c r="W194" s="24"/>
      <c r="X194" s="24" t="e">
        <v>#N/A</v>
      </c>
      <c r="Y194" s="24"/>
      <c r="Z194" s="69"/>
      <c r="AA194" s="24"/>
      <c r="AB194" s="24"/>
      <c r="AC194" s="24" t="e">
        <v>#N/A</v>
      </c>
      <c r="AD194" s="24"/>
      <c r="AE194" s="69"/>
      <c r="AF194" s="24"/>
      <c r="AG194" s="24"/>
      <c r="AH194" s="24" t="e">
        <v>#N/A</v>
      </c>
      <c r="AI194" s="24"/>
      <c r="AJ194" s="69"/>
      <c r="AK194" s="24"/>
      <c r="AL194" s="24"/>
      <c r="AM194" s="24" t="e">
        <v>#N/A</v>
      </c>
      <c r="AN194" s="24"/>
      <c r="AO194" s="69"/>
      <c r="AP194" s="24"/>
      <c r="AQ194" s="24"/>
      <c r="AR194" s="24" t="e">
        <v>#N/A</v>
      </c>
      <c r="AS194" s="24"/>
      <c r="AT194" s="69"/>
      <c r="AU194" s="24"/>
      <c r="AV194" s="24"/>
      <c r="AW194" s="24" t="e">
        <v>#N/A</v>
      </c>
      <c r="AX194" s="24"/>
      <c r="AY194" s="69"/>
      <c r="AZ194" s="24"/>
      <c r="BA194" s="24"/>
      <c r="BB194" s="24" t="e">
        <v>#N/A</v>
      </c>
      <c r="BC194" s="24"/>
      <c r="BD194" s="69"/>
      <c r="BE194" s="24"/>
      <c r="BF194" s="24"/>
      <c r="BG194" s="24" t="e">
        <v>#N/A</v>
      </c>
      <c r="BH194" s="24"/>
      <c r="BI194" s="69"/>
    </row>
    <row r="195" spans="1:61" ht="12.75">
      <c r="A195" s="142">
        <f t="shared" si="1"/>
        <v>1992</v>
      </c>
      <c r="B195" s="24"/>
      <c r="C195" s="24"/>
      <c r="D195" s="24" t="e">
        <v>#N/A</v>
      </c>
      <c r="E195" s="24"/>
      <c r="F195" s="69"/>
      <c r="G195" s="24"/>
      <c r="H195" s="24"/>
      <c r="I195" s="24" t="e">
        <v>#N/A</v>
      </c>
      <c r="J195" s="24"/>
      <c r="K195" s="69"/>
      <c r="L195" s="24"/>
      <c r="M195" s="24"/>
      <c r="N195" s="24" t="e">
        <v>#N/A</v>
      </c>
      <c r="O195" s="24"/>
      <c r="P195" s="69"/>
      <c r="Q195" s="24"/>
      <c r="R195" s="24"/>
      <c r="S195" s="24" t="e">
        <v>#N/A</v>
      </c>
      <c r="T195" s="24"/>
      <c r="U195" s="69"/>
      <c r="V195" s="24"/>
      <c r="W195" s="24"/>
      <c r="X195" s="24" t="e">
        <v>#N/A</v>
      </c>
      <c r="Y195" s="24"/>
      <c r="Z195" s="69"/>
      <c r="AA195" s="24"/>
      <c r="AB195" s="24"/>
      <c r="AC195" s="24" t="e">
        <v>#N/A</v>
      </c>
      <c r="AD195" s="24"/>
      <c r="AE195" s="69"/>
      <c r="AF195" s="24"/>
      <c r="AG195" s="24"/>
      <c r="AH195" s="24" t="e">
        <v>#N/A</v>
      </c>
      <c r="AI195" s="24"/>
      <c r="AJ195" s="69"/>
      <c r="AK195" s="24"/>
      <c r="AL195" s="24"/>
      <c r="AM195" s="24" t="e">
        <v>#N/A</v>
      </c>
      <c r="AN195" s="24"/>
      <c r="AO195" s="69"/>
      <c r="AP195" s="24"/>
      <c r="AQ195" s="24"/>
      <c r="AR195" s="24" t="e">
        <v>#N/A</v>
      </c>
      <c r="AS195" s="24"/>
      <c r="AT195" s="69"/>
      <c r="AU195" s="24"/>
      <c r="AV195" s="24"/>
      <c r="AW195" s="24" t="e">
        <v>#N/A</v>
      </c>
      <c r="AX195" s="24"/>
      <c r="AY195" s="69"/>
      <c r="AZ195" s="24"/>
      <c r="BA195" s="24"/>
      <c r="BB195" s="24" t="e">
        <v>#N/A</v>
      </c>
      <c r="BC195" s="24"/>
      <c r="BD195" s="69"/>
      <c r="BE195" s="24"/>
      <c r="BF195" s="24"/>
      <c r="BG195" s="24" t="e">
        <v>#N/A</v>
      </c>
      <c r="BH195" s="24"/>
      <c r="BI195" s="69"/>
    </row>
    <row r="196" spans="1:61" ht="12.75">
      <c r="A196" s="142">
        <f t="shared" si="1"/>
        <v>1993</v>
      </c>
      <c r="B196" s="24"/>
      <c r="C196" s="24"/>
      <c r="D196" s="24" t="e">
        <v>#N/A</v>
      </c>
      <c r="E196" s="24"/>
      <c r="F196" s="69"/>
      <c r="G196" s="24"/>
      <c r="H196" s="24"/>
      <c r="I196" s="24" t="e">
        <v>#N/A</v>
      </c>
      <c r="J196" s="24"/>
      <c r="K196" s="69"/>
      <c r="L196" s="24"/>
      <c r="M196" s="24"/>
      <c r="N196" s="24" t="e">
        <v>#N/A</v>
      </c>
      <c r="O196" s="24"/>
      <c r="P196" s="69"/>
      <c r="Q196" s="24"/>
      <c r="R196" s="24"/>
      <c r="S196" s="24" t="e">
        <v>#N/A</v>
      </c>
      <c r="T196" s="24"/>
      <c r="U196" s="69"/>
      <c r="V196" s="24"/>
      <c r="W196" s="24"/>
      <c r="X196" s="24" t="e">
        <v>#N/A</v>
      </c>
      <c r="Y196" s="24"/>
      <c r="Z196" s="69"/>
      <c r="AA196" s="24"/>
      <c r="AB196" s="24"/>
      <c r="AC196" s="24" t="e">
        <v>#N/A</v>
      </c>
      <c r="AD196" s="24"/>
      <c r="AE196" s="69"/>
      <c r="AF196" s="24"/>
      <c r="AG196" s="24"/>
      <c r="AH196" s="24" t="e">
        <v>#N/A</v>
      </c>
      <c r="AI196" s="24"/>
      <c r="AJ196" s="69"/>
      <c r="AK196" s="24"/>
      <c r="AL196" s="24"/>
      <c r="AM196" s="24" t="e">
        <v>#N/A</v>
      </c>
      <c r="AN196" s="24"/>
      <c r="AO196" s="69"/>
      <c r="AP196" s="24"/>
      <c r="AQ196" s="24"/>
      <c r="AR196" s="24" t="e">
        <v>#N/A</v>
      </c>
      <c r="AS196" s="24"/>
      <c r="AT196" s="69"/>
      <c r="AU196" s="24"/>
      <c r="AV196" s="24"/>
      <c r="AW196" s="24" t="e">
        <v>#N/A</v>
      </c>
      <c r="AX196" s="24"/>
      <c r="AY196" s="69"/>
      <c r="AZ196" s="24"/>
      <c r="BA196" s="24"/>
      <c r="BB196" s="24" t="e">
        <v>#N/A</v>
      </c>
      <c r="BC196" s="24"/>
      <c r="BD196" s="69"/>
      <c r="BE196" s="24"/>
      <c r="BF196" s="24"/>
      <c r="BG196" s="24" t="e">
        <v>#N/A</v>
      </c>
      <c r="BH196" s="24"/>
      <c r="BI196" s="69"/>
    </row>
    <row r="197" spans="1:61" ht="12.75">
      <c r="A197" s="142">
        <f t="shared" si="1"/>
        <v>1994</v>
      </c>
      <c r="B197" s="24"/>
      <c r="C197" s="24"/>
      <c r="D197" s="24" t="e">
        <v>#N/A</v>
      </c>
      <c r="E197" s="24"/>
      <c r="F197" s="69"/>
      <c r="G197" s="24"/>
      <c r="H197" s="24"/>
      <c r="I197" s="24" t="e">
        <v>#N/A</v>
      </c>
      <c r="J197" s="24"/>
      <c r="K197" s="69"/>
      <c r="L197" s="24"/>
      <c r="M197" s="24"/>
      <c r="N197" s="24" t="e">
        <v>#N/A</v>
      </c>
      <c r="O197" s="24"/>
      <c r="P197" s="69"/>
      <c r="Q197" s="24"/>
      <c r="R197" s="24"/>
      <c r="S197" s="24" t="e">
        <v>#N/A</v>
      </c>
      <c r="T197" s="24"/>
      <c r="U197" s="69"/>
      <c r="V197" s="24"/>
      <c r="W197" s="24"/>
      <c r="X197" s="24" t="e">
        <v>#N/A</v>
      </c>
      <c r="Y197" s="24"/>
      <c r="Z197" s="69"/>
      <c r="AA197" s="24"/>
      <c r="AB197" s="24"/>
      <c r="AC197" s="24" t="e">
        <v>#N/A</v>
      </c>
      <c r="AD197" s="24"/>
      <c r="AE197" s="69"/>
      <c r="AF197" s="24"/>
      <c r="AG197" s="24"/>
      <c r="AH197" s="24" t="e">
        <v>#N/A</v>
      </c>
      <c r="AI197" s="24"/>
      <c r="AJ197" s="69"/>
      <c r="AK197" s="24"/>
      <c r="AL197" s="24"/>
      <c r="AM197" s="24" t="e">
        <v>#N/A</v>
      </c>
      <c r="AN197" s="24"/>
      <c r="AO197" s="69"/>
      <c r="AP197" s="24"/>
      <c r="AQ197" s="24"/>
      <c r="AR197" s="24" t="e">
        <v>#N/A</v>
      </c>
      <c r="AS197" s="24"/>
      <c r="AT197" s="69"/>
      <c r="AU197" s="24"/>
      <c r="AV197" s="24"/>
      <c r="AW197" s="24" t="e">
        <v>#N/A</v>
      </c>
      <c r="AX197" s="24"/>
      <c r="AY197" s="69"/>
      <c r="AZ197" s="24"/>
      <c r="BA197" s="24"/>
      <c r="BB197" s="24" t="e">
        <v>#N/A</v>
      </c>
      <c r="BC197" s="24"/>
      <c r="BD197" s="69"/>
      <c r="BE197" s="24"/>
      <c r="BF197" s="24"/>
      <c r="BG197" s="24" t="e">
        <v>#N/A</v>
      </c>
      <c r="BH197" s="24"/>
      <c r="BI197" s="69"/>
    </row>
    <row r="198" spans="1:61" ht="12.75">
      <c r="A198" s="142">
        <f t="shared" si="1"/>
        <v>1995</v>
      </c>
      <c r="B198" s="24"/>
      <c r="C198" s="24"/>
      <c r="D198" s="24" t="e">
        <v>#N/A</v>
      </c>
      <c r="E198" s="24"/>
      <c r="F198" s="69"/>
      <c r="G198" s="24"/>
      <c r="H198" s="24"/>
      <c r="I198" s="24" t="e">
        <v>#N/A</v>
      </c>
      <c r="J198" s="24"/>
      <c r="K198" s="69"/>
      <c r="L198" s="24"/>
      <c r="M198" s="24"/>
      <c r="N198" s="24" t="e">
        <v>#N/A</v>
      </c>
      <c r="O198" s="24"/>
      <c r="P198" s="69"/>
      <c r="Q198" s="24"/>
      <c r="R198" s="24"/>
      <c r="S198" s="24" t="e">
        <v>#N/A</v>
      </c>
      <c r="T198" s="24"/>
      <c r="U198" s="69"/>
      <c r="V198" s="24"/>
      <c r="W198" s="24"/>
      <c r="X198" s="24" t="e">
        <v>#N/A</v>
      </c>
      <c r="Y198" s="24"/>
      <c r="Z198" s="69"/>
      <c r="AA198" s="24"/>
      <c r="AB198" s="24"/>
      <c r="AC198" s="24" t="e">
        <v>#N/A</v>
      </c>
      <c r="AD198" s="24"/>
      <c r="AE198" s="69"/>
      <c r="AF198" s="24"/>
      <c r="AG198" s="24"/>
      <c r="AH198" s="24" t="e">
        <v>#N/A</v>
      </c>
      <c r="AI198" s="24"/>
      <c r="AJ198" s="69"/>
      <c r="AK198" s="24"/>
      <c r="AL198" s="24"/>
      <c r="AM198" s="24" t="e">
        <v>#N/A</v>
      </c>
      <c r="AN198" s="24"/>
      <c r="AO198" s="69"/>
      <c r="AP198" s="24"/>
      <c r="AQ198" s="24"/>
      <c r="AR198" s="24" t="e">
        <v>#N/A</v>
      </c>
      <c r="AS198" s="24"/>
      <c r="AT198" s="69"/>
      <c r="AU198" s="24"/>
      <c r="AV198" s="24"/>
      <c r="AW198" s="24" t="e">
        <v>#N/A</v>
      </c>
      <c r="AX198" s="24"/>
      <c r="AY198" s="69"/>
      <c r="AZ198" s="24"/>
      <c r="BA198" s="24"/>
      <c r="BB198" s="24" t="e">
        <v>#N/A</v>
      </c>
      <c r="BC198" s="24"/>
      <c r="BD198" s="69"/>
      <c r="BE198" s="24"/>
      <c r="BF198" s="24"/>
      <c r="BG198" s="24" t="e">
        <v>#N/A</v>
      </c>
      <c r="BH198" s="24"/>
      <c r="BI198" s="69"/>
    </row>
    <row r="199" spans="1:61" ht="12.75">
      <c r="A199" s="142">
        <f t="shared" si="1"/>
        <v>1996</v>
      </c>
      <c r="B199" s="24"/>
      <c r="C199" s="24"/>
      <c r="D199" s="24" t="e">
        <v>#N/A</v>
      </c>
      <c r="E199" s="24"/>
      <c r="F199" s="69"/>
      <c r="G199" s="24"/>
      <c r="H199" s="24"/>
      <c r="I199" s="24" t="e">
        <v>#N/A</v>
      </c>
      <c r="J199" s="24"/>
      <c r="K199" s="69"/>
      <c r="L199" s="24"/>
      <c r="M199" s="24"/>
      <c r="N199" s="24" t="e">
        <v>#N/A</v>
      </c>
      <c r="O199" s="24"/>
      <c r="P199" s="69"/>
      <c r="Q199" s="24"/>
      <c r="R199" s="24"/>
      <c r="S199" s="24" t="e">
        <v>#N/A</v>
      </c>
      <c r="T199" s="24"/>
      <c r="U199" s="69"/>
      <c r="V199" s="24"/>
      <c r="W199" s="24"/>
      <c r="X199" s="24" t="e">
        <v>#N/A</v>
      </c>
      <c r="Y199" s="24"/>
      <c r="Z199" s="69"/>
      <c r="AA199" s="24"/>
      <c r="AB199" s="24"/>
      <c r="AC199" s="24" t="e">
        <v>#N/A</v>
      </c>
      <c r="AD199" s="24"/>
      <c r="AE199" s="69"/>
      <c r="AF199" s="24"/>
      <c r="AG199" s="24"/>
      <c r="AH199" s="24" t="e">
        <v>#N/A</v>
      </c>
      <c r="AI199" s="24"/>
      <c r="AJ199" s="69"/>
      <c r="AK199" s="24"/>
      <c r="AL199" s="24"/>
      <c r="AM199" s="24" t="e">
        <v>#N/A</v>
      </c>
      <c r="AN199" s="24"/>
      <c r="AO199" s="69"/>
      <c r="AP199" s="24"/>
      <c r="AQ199" s="24"/>
      <c r="AR199" s="24" t="e">
        <v>#N/A</v>
      </c>
      <c r="AS199" s="24"/>
      <c r="AT199" s="69"/>
      <c r="AU199" s="24"/>
      <c r="AV199" s="24"/>
      <c r="AW199" s="24" t="e">
        <v>#N/A</v>
      </c>
      <c r="AX199" s="24"/>
      <c r="AY199" s="69"/>
      <c r="AZ199" s="24"/>
      <c r="BA199" s="24"/>
      <c r="BB199" s="24" t="e">
        <v>#N/A</v>
      </c>
      <c r="BC199" s="24"/>
      <c r="BD199" s="69"/>
      <c r="BE199" s="24"/>
      <c r="BF199" s="24"/>
      <c r="BG199" s="24" t="e">
        <v>#N/A</v>
      </c>
      <c r="BH199" s="24"/>
      <c r="BI199" s="69"/>
    </row>
    <row r="200" spans="1:61" ht="12.75">
      <c r="A200" s="142">
        <f t="shared" si="1"/>
        <v>1997</v>
      </c>
      <c r="B200" s="24"/>
      <c r="C200" s="24"/>
      <c r="D200" s="24" t="e">
        <v>#N/A</v>
      </c>
      <c r="E200" s="24"/>
      <c r="F200" s="69"/>
      <c r="G200" s="24"/>
      <c r="H200" s="24"/>
      <c r="I200" s="24" t="e">
        <v>#N/A</v>
      </c>
      <c r="J200" s="24"/>
      <c r="K200" s="69"/>
      <c r="L200" s="24"/>
      <c r="M200" s="24"/>
      <c r="N200" s="24" t="e">
        <v>#N/A</v>
      </c>
      <c r="O200" s="24"/>
      <c r="P200" s="69"/>
      <c r="Q200" s="24"/>
      <c r="R200" s="24"/>
      <c r="S200" s="24" t="e">
        <v>#N/A</v>
      </c>
      <c r="T200" s="24"/>
      <c r="U200" s="69"/>
      <c r="V200" s="24"/>
      <c r="W200" s="24"/>
      <c r="X200" s="24" t="e">
        <v>#N/A</v>
      </c>
      <c r="Y200" s="24"/>
      <c r="Z200" s="69"/>
      <c r="AA200" s="24"/>
      <c r="AB200" s="24"/>
      <c r="AC200" s="24" t="e">
        <v>#N/A</v>
      </c>
      <c r="AD200" s="24"/>
      <c r="AE200" s="69"/>
      <c r="AF200" s="24"/>
      <c r="AG200" s="24"/>
      <c r="AH200" s="24" t="e">
        <v>#N/A</v>
      </c>
      <c r="AI200" s="24"/>
      <c r="AJ200" s="69"/>
      <c r="AK200" s="24"/>
      <c r="AL200" s="24"/>
      <c r="AM200" s="24" t="e">
        <v>#N/A</v>
      </c>
      <c r="AN200" s="24"/>
      <c r="AO200" s="69"/>
      <c r="AP200" s="24"/>
      <c r="AQ200" s="24"/>
      <c r="AR200" s="24" t="e">
        <v>#N/A</v>
      </c>
      <c r="AS200" s="24"/>
      <c r="AT200" s="69"/>
      <c r="AU200" s="24"/>
      <c r="AV200" s="24"/>
      <c r="AW200" s="24" t="e">
        <v>#N/A</v>
      </c>
      <c r="AX200" s="24"/>
      <c r="AY200" s="69"/>
      <c r="AZ200" s="24"/>
      <c r="BA200" s="24"/>
      <c r="BB200" s="24" t="e">
        <v>#N/A</v>
      </c>
      <c r="BC200" s="24"/>
      <c r="BD200" s="69"/>
      <c r="BE200" s="24"/>
      <c r="BF200" s="24"/>
      <c r="BG200" s="24" t="e">
        <v>#N/A</v>
      </c>
      <c r="BH200" s="24"/>
      <c r="BI200" s="69"/>
    </row>
    <row r="201" spans="1:61" ht="12.75">
      <c r="A201" s="142">
        <f t="shared" si="1"/>
        <v>1998</v>
      </c>
      <c r="B201" s="24"/>
      <c r="C201" s="24"/>
      <c r="D201" s="24" t="e">
        <v>#N/A</v>
      </c>
      <c r="E201" s="24"/>
      <c r="F201" s="69"/>
      <c r="G201" s="24"/>
      <c r="H201" s="24"/>
      <c r="I201" s="24" t="e">
        <v>#N/A</v>
      </c>
      <c r="J201" s="24"/>
      <c r="K201" s="69"/>
      <c r="L201" s="24"/>
      <c r="M201" s="24"/>
      <c r="N201" s="24" t="e">
        <v>#N/A</v>
      </c>
      <c r="O201" s="24"/>
      <c r="P201" s="69"/>
      <c r="Q201" s="24"/>
      <c r="R201" s="24"/>
      <c r="S201" s="24" t="e">
        <v>#N/A</v>
      </c>
      <c r="T201" s="24"/>
      <c r="U201" s="69"/>
      <c r="V201" s="24"/>
      <c r="W201" s="24"/>
      <c r="X201" s="24" t="e">
        <v>#N/A</v>
      </c>
      <c r="Y201" s="24"/>
      <c r="Z201" s="69"/>
      <c r="AA201" s="24"/>
      <c r="AB201" s="24"/>
      <c r="AC201" s="24" t="e">
        <v>#N/A</v>
      </c>
      <c r="AD201" s="24"/>
      <c r="AE201" s="69"/>
      <c r="AF201" s="24"/>
      <c r="AG201" s="24"/>
      <c r="AH201" s="24" t="e">
        <v>#N/A</v>
      </c>
      <c r="AI201" s="24"/>
      <c r="AJ201" s="69"/>
      <c r="AK201" s="24"/>
      <c r="AL201" s="24"/>
      <c r="AM201" s="24" t="e">
        <v>#N/A</v>
      </c>
      <c r="AN201" s="24"/>
      <c r="AO201" s="69"/>
      <c r="AP201" s="24"/>
      <c r="AQ201" s="24"/>
      <c r="AR201" s="24" t="e">
        <v>#N/A</v>
      </c>
      <c r="AS201" s="24"/>
      <c r="AT201" s="69"/>
      <c r="AU201" s="24"/>
      <c r="AV201" s="24"/>
      <c r="AW201" s="24" t="e">
        <v>#N/A</v>
      </c>
      <c r="AX201" s="24"/>
      <c r="AY201" s="69"/>
      <c r="AZ201" s="24"/>
      <c r="BA201" s="24"/>
      <c r="BB201" s="24" t="e">
        <v>#N/A</v>
      </c>
      <c r="BC201" s="24"/>
      <c r="BD201" s="69"/>
      <c r="BE201" s="24"/>
      <c r="BF201" s="24"/>
      <c r="BG201" s="24" t="e">
        <v>#N/A</v>
      </c>
      <c r="BH201" s="24"/>
      <c r="BI201" s="69"/>
    </row>
    <row r="202" spans="1:61" ht="12.75">
      <c r="A202" s="142">
        <f t="shared" si="1"/>
        <v>1999</v>
      </c>
      <c r="B202" s="24"/>
      <c r="C202" s="24"/>
      <c r="D202" s="24" t="e">
        <v>#N/A</v>
      </c>
      <c r="E202" s="24"/>
      <c r="F202" s="69"/>
      <c r="G202" s="24"/>
      <c r="H202" s="24"/>
      <c r="I202" s="24" t="e">
        <v>#N/A</v>
      </c>
      <c r="J202" s="24"/>
      <c r="K202" s="69"/>
      <c r="L202" s="24"/>
      <c r="M202" s="24"/>
      <c r="N202" s="24" t="e">
        <v>#N/A</v>
      </c>
      <c r="O202" s="24"/>
      <c r="P202" s="69"/>
      <c r="Q202" s="24"/>
      <c r="R202" s="24"/>
      <c r="S202" s="24" t="e">
        <v>#N/A</v>
      </c>
      <c r="T202" s="24"/>
      <c r="U202" s="69"/>
      <c r="V202" s="24"/>
      <c r="W202" s="24"/>
      <c r="X202" s="24" t="e">
        <v>#N/A</v>
      </c>
      <c r="Y202" s="24"/>
      <c r="Z202" s="69"/>
      <c r="AA202" s="24"/>
      <c r="AB202" s="24"/>
      <c r="AC202" s="24" t="e">
        <v>#N/A</v>
      </c>
      <c r="AD202" s="24"/>
      <c r="AE202" s="69"/>
      <c r="AF202" s="24"/>
      <c r="AG202" s="24"/>
      <c r="AH202" s="24" t="e">
        <v>#N/A</v>
      </c>
      <c r="AI202" s="24"/>
      <c r="AJ202" s="69"/>
      <c r="AK202" s="24"/>
      <c r="AL202" s="24"/>
      <c r="AM202" s="24" t="e">
        <v>#N/A</v>
      </c>
      <c r="AN202" s="24"/>
      <c r="AO202" s="69"/>
      <c r="AP202" s="24"/>
      <c r="AQ202" s="24"/>
      <c r="AR202" s="24" t="e">
        <v>#N/A</v>
      </c>
      <c r="AS202" s="24"/>
      <c r="AT202" s="69"/>
      <c r="AU202" s="24"/>
      <c r="AV202" s="24"/>
      <c r="AW202" s="24" t="e">
        <v>#N/A</v>
      </c>
      <c r="AX202" s="24"/>
      <c r="AY202" s="69"/>
      <c r="AZ202" s="24"/>
      <c r="BA202" s="24"/>
      <c r="BB202" s="24" t="e">
        <v>#N/A</v>
      </c>
      <c r="BC202" s="24"/>
      <c r="BD202" s="69"/>
      <c r="BE202" s="24"/>
      <c r="BF202" s="24"/>
      <c r="BG202" s="24" t="e">
        <v>#N/A</v>
      </c>
      <c r="BH202" s="24"/>
      <c r="BI202" s="69"/>
    </row>
    <row r="203" spans="1:61" ht="12.75">
      <c r="A203" s="137">
        <f t="shared" si="1"/>
        <v>2000</v>
      </c>
      <c r="B203" s="56"/>
      <c r="C203" s="56"/>
      <c r="D203" s="56" t="e">
        <v>#N/A</v>
      </c>
      <c r="E203" s="56"/>
      <c r="F203" s="139"/>
      <c r="G203" s="56"/>
      <c r="H203" s="56"/>
      <c r="I203" s="56" t="e">
        <v>#N/A</v>
      </c>
      <c r="J203" s="56"/>
      <c r="K203" s="139"/>
      <c r="L203" s="56"/>
      <c r="M203" s="56"/>
      <c r="N203" s="56" t="e">
        <v>#N/A</v>
      </c>
      <c r="O203" s="56"/>
      <c r="P203" s="139"/>
      <c r="Q203" s="56"/>
      <c r="R203" s="56"/>
      <c r="S203" s="56" t="e">
        <v>#N/A</v>
      </c>
      <c r="T203" s="56"/>
      <c r="U203" s="139"/>
      <c r="V203" s="56"/>
      <c r="W203" s="56"/>
      <c r="X203" s="56" t="e">
        <v>#N/A</v>
      </c>
      <c r="Y203" s="56"/>
      <c r="Z203" s="139"/>
      <c r="AA203" s="56"/>
      <c r="AB203" s="56"/>
      <c r="AC203" s="56" t="e">
        <v>#N/A</v>
      </c>
      <c r="AD203" s="56"/>
      <c r="AE203" s="139"/>
      <c r="AF203" s="56"/>
      <c r="AG203" s="56"/>
      <c r="AH203" s="56" t="e">
        <v>#N/A</v>
      </c>
      <c r="AI203" s="56"/>
      <c r="AJ203" s="139"/>
      <c r="AK203" s="56"/>
      <c r="AL203" s="56"/>
      <c r="AM203" s="56" t="e">
        <v>#N/A</v>
      </c>
      <c r="AN203" s="56"/>
      <c r="AO203" s="139"/>
      <c r="AP203" s="56"/>
      <c r="AQ203" s="56"/>
      <c r="AR203" s="56" t="e">
        <v>#N/A</v>
      </c>
      <c r="AS203" s="56"/>
      <c r="AT203" s="139"/>
      <c r="AU203" s="56"/>
      <c r="AV203" s="56"/>
      <c r="AW203" s="56" t="e">
        <v>#N/A</v>
      </c>
      <c r="AX203" s="56"/>
      <c r="AY203" s="139"/>
      <c r="AZ203" s="56"/>
      <c r="BA203" s="56"/>
      <c r="BB203" s="56" t="e">
        <v>#N/A</v>
      </c>
      <c r="BC203" s="56"/>
      <c r="BD203" s="139"/>
      <c r="BE203" s="56"/>
      <c r="BF203" s="56"/>
      <c r="BG203" s="56" t="e">
        <v>#N/A</v>
      </c>
      <c r="BH203" s="56"/>
      <c r="BI203" s="139"/>
    </row>
    <row r="204" spans="1:61" ht="12.75">
      <c r="A204" s="142">
        <f t="shared" si="1"/>
        <v>2001</v>
      </c>
      <c r="B204" s="24"/>
      <c r="C204" s="24"/>
      <c r="D204" s="24" t="e">
        <v>#N/A</v>
      </c>
      <c r="E204" s="24"/>
      <c r="F204" s="69"/>
      <c r="G204" s="24"/>
      <c r="H204" s="24"/>
      <c r="I204" s="24" t="e">
        <v>#N/A</v>
      </c>
      <c r="J204" s="24"/>
      <c r="K204" s="69"/>
      <c r="L204" s="24"/>
      <c r="M204" s="24"/>
      <c r="N204" s="24" t="e">
        <v>#N/A</v>
      </c>
      <c r="O204" s="24"/>
      <c r="P204" s="69"/>
      <c r="Q204" s="24"/>
      <c r="R204" s="24"/>
      <c r="S204" s="24" t="e">
        <v>#N/A</v>
      </c>
      <c r="T204" s="24"/>
      <c r="U204" s="69"/>
      <c r="V204" s="24"/>
      <c r="W204" s="24"/>
      <c r="X204" s="24" t="e">
        <v>#N/A</v>
      </c>
      <c r="Y204" s="24"/>
      <c r="Z204" s="69"/>
      <c r="AA204" s="24"/>
      <c r="AB204" s="24"/>
      <c r="AC204" s="24" t="e">
        <v>#N/A</v>
      </c>
      <c r="AD204" s="24"/>
      <c r="AE204" s="69"/>
      <c r="AF204" s="24"/>
      <c r="AG204" s="24"/>
      <c r="AH204" s="24" t="e">
        <v>#N/A</v>
      </c>
      <c r="AI204" s="24"/>
      <c r="AJ204" s="69"/>
      <c r="AK204" s="24"/>
      <c r="AL204" s="24"/>
      <c r="AM204" s="24" t="e">
        <v>#N/A</v>
      </c>
      <c r="AN204" s="24"/>
      <c r="AO204" s="69"/>
      <c r="AP204" s="24"/>
      <c r="AQ204" s="24"/>
      <c r="AR204" s="24" t="e">
        <v>#N/A</v>
      </c>
      <c r="AS204" s="24"/>
      <c r="AT204" s="69"/>
      <c r="AU204" s="24"/>
      <c r="AV204" s="24"/>
      <c r="AW204" s="24" t="e">
        <v>#N/A</v>
      </c>
      <c r="AX204" s="24"/>
      <c r="AY204" s="69"/>
      <c r="AZ204" s="24"/>
      <c r="BA204" s="24"/>
      <c r="BB204" s="24" t="e">
        <v>#N/A</v>
      </c>
      <c r="BC204" s="24"/>
      <c r="BD204" s="69"/>
      <c r="BE204" s="24"/>
      <c r="BF204" s="24"/>
      <c r="BG204" s="24" t="e">
        <v>#N/A</v>
      </c>
      <c r="BH204" s="24"/>
      <c r="BI204" s="69"/>
    </row>
    <row r="205" spans="1:61" ht="12.75">
      <c r="A205" s="142">
        <f t="shared" si="1"/>
        <v>2002</v>
      </c>
      <c r="B205" s="24"/>
      <c r="C205" s="24"/>
      <c r="D205" s="24" t="e">
        <v>#N/A</v>
      </c>
      <c r="E205" s="24"/>
      <c r="F205" s="69"/>
      <c r="G205" s="24"/>
      <c r="H205" s="24"/>
      <c r="I205" s="24" t="e">
        <v>#N/A</v>
      </c>
      <c r="J205" s="24"/>
      <c r="K205" s="69"/>
      <c r="L205" s="24"/>
      <c r="M205" s="24"/>
      <c r="N205" s="24" t="e">
        <v>#N/A</v>
      </c>
      <c r="O205" s="24"/>
      <c r="P205" s="69"/>
      <c r="Q205" s="24"/>
      <c r="R205" s="24"/>
      <c r="S205" s="24" t="e">
        <v>#N/A</v>
      </c>
      <c r="T205" s="24"/>
      <c r="U205" s="69"/>
      <c r="V205" s="24"/>
      <c r="W205" s="24"/>
      <c r="X205" s="24" t="e">
        <v>#N/A</v>
      </c>
      <c r="Y205" s="24"/>
      <c r="Z205" s="69"/>
      <c r="AA205" s="24"/>
      <c r="AB205" s="24"/>
      <c r="AC205" s="24" t="e">
        <v>#N/A</v>
      </c>
      <c r="AD205" s="24"/>
      <c r="AE205" s="69"/>
      <c r="AF205" s="24"/>
      <c r="AG205" s="24"/>
      <c r="AH205" s="24" t="e">
        <v>#N/A</v>
      </c>
      <c r="AI205" s="24"/>
      <c r="AJ205" s="69"/>
      <c r="AK205" s="24"/>
      <c r="AL205" s="24"/>
      <c r="AM205" s="24" t="e">
        <v>#N/A</v>
      </c>
      <c r="AN205" s="24"/>
      <c r="AO205" s="69"/>
      <c r="AP205" s="24"/>
      <c r="AQ205" s="24"/>
      <c r="AR205" s="24" t="e">
        <v>#N/A</v>
      </c>
      <c r="AS205" s="24"/>
      <c r="AT205" s="69"/>
      <c r="AU205" s="24"/>
      <c r="AV205" s="24"/>
      <c r="AW205" s="24" t="e">
        <v>#N/A</v>
      </c>
      <c r="AX205" s="24"/>
      <c r="AY205" s="69"/>
      <c r="AZ205" s="24"/>
      <c r="BA205" s="24"/>
      <c r="BB205" s="24" t="e">
        <v>#N/A</v>
      </c>
      <c r="BC205" s="24"/>
      <c r="BD205" s="69"/>
      <c r="BE205" s="24"/>
      <c r="BF205" s="24"/>
      <c r="BG205" s="24" t="e">
        <v>#N/A</v>
      </c>
      <c r="BH205" s="24"/>
      <c r="BI205" s="69"/>
    </row>
    <row r="206" spans="1:61" ht="12.75">
      <c r="A206" s="142">
        <f t="shared" si="1"/>
        <v>2003</v>
      </c>
      <c r="B206" s="24"/>
      <c r="C206" s="24"/>
      <c r="D206" s="24" t="e">
        <v>#N/A</v>
      </c>
      <c r="E206" s="24"/>
      <c r="F206" s="69"/>
      <c r="G206" s="24"/>
      <c r="H206" s="24"/>
      <c r="I206" s="24" t="e">
        <v>#N/A</v>
      </c>
      <c r="J206" s="24"/>
      <c r="K206" s="69"/>
      <c r="L206" s="24"/>
      <c r="M206" s="24"/>
      <c r="N206" s="24" t="e">
        <v>#N/A</v>
      </c>
      <c r="O206" s="24"/>
      <c r="P206" s="69"/>
      <c r="Q206" s="24"/>
      <c r="R206" s="24"/>
      <c r="S206" s="24" t="e">
        <v>#N/A</v>
      </c>
      <c r="T206" s="24"/>
      <c r="U206" s="69"/>
      <c r="V206" s="24"/>
      <c r="W206" s="24"/>
      <c r="X206" s="24" t="e">
        <v>#N/A</v>
      </c>
      <c r="Y206" s="24"/>
      <c r="Z206" s="69"/>
      <c r="AA206" s="24"/>
      <c r="AB206" s="24"/>
      <c r="AC206" s="24" t="e">
        <v>#N/A</v>
      </c>
      <c r="AD206" s="24"/>
      <c r="AE206" s="69"/>
      <c r="AF206" s="24"/>
      <c r="AG206" s="24"/>
      <c r="AH206" s="24" t="e">
        <v>#N/A</v>
      </c>
      <c r="AI206" s="24"/>
      <c r="AJ206" s="69"/>
      <c r="AK206" s="24"/>
      <c r="AL206" s="24"/>
      <c r="AM206" s="24" t="e">
        <v>#N/A</v>
      </c>
      <c r="AN206" s="24"/>
      <c r="AO206" s="69"/>
      <c r="AP206" s="24"/>
      <c r="AQ206" s="24"/>
      <c r="AR206" s="24" t="e">
        <v>#N/A</v>
      </c>
      <c r="AS206" s="24"/>
      <c r="AT206" s="69"/>
      <c r="AU206" s="24"/>
      <c r="AV206" s="24"/>
      <c r="AW206" s="24" t="e">
        <v>#N/A</v>
      </c>
      <c r="AX206" s="24"/>
      <c r="AY206" s="69"/>
      <c r="AZ206" s="24"/>
      <c r="BA206" s="24"/>
      <c r="BB206" s="24" t="e">
        <v>#N/A</v>
      </c>
      <c r="BC206" s="24"/>
      <c r="BD206" s="69"/>
      <c r="BE206" s="130">
        <v>86</v>
      </c>
      <c r="BF206" s="130">
        <v>90</v>
      </c>
      <c r="BG206" s="130">
        <f>(BE206+BF206)/2</f>
        <v>88</v>
      </c>
      <c r="BH206" s="130">
        <f>(BF206-BE206)/2</f>
        <v>2</v>
      </c>
      <c r="BI206" s="131">
        <f>(BF206-BE206)/2</f>
        <v>2</v>
      </c>
    </row>
    <row r="207" spans="1:61" ht="12.75">
      <c r="A207" s="142">
        <f t="shared" si="1"/>
        <v>2004</v>
      </c>
      <c r="B207" s="36"/>
      <c r="C207" s="36"/>
      <c r="D207" s="24" t="e">
        <v>#N/A</v>
      </c>
      <c r="E207" s="36"/>
      <c r="F207" s="47"/>
      <c r="I207" s="24" t="e">
        <v>#N/A</v>
      </c>
      <c r="K207" s="47"/>
      <c r="L207" s="130">
        <v>97</v>
      </c>
      <c r="M207" s="130">
        <v>98</v>
      </c>
      <c r="N207" s="130">
        <f>(L207+M207)/2</f>
        <v>97.5</v>
      </c>
      <c r="O207" s="130">
        <f>(M207-L207)/2</f>
        <v>0.5</v>
      </c>
      <c r="P207" s="131">
        <f>(M207-L207)/2</f>
        <v>0.5</v>
      </c>
      <c r="Q207" s="130">
        <v>94</v>
      </c>
      <c r="R207" s="130">
        <v>96</v>
      </c>
      <c r="S207" s="130">
        <f>(Q207+R207)/2</f>
        <v>95</v>
      </c>
      <c r="T207" s="130">
        <f>(R207-Q207)/2</f>
        <v>1</v>
      </c>
      <c r="U207" s="131">
        <f>(R207-Q207)/2</f>
        <v>1</v>
      </c>
      <c r="V207" s="130">
        <v>94</v>
      </c>
      <c r="W207" s="130">
        <v>98</v>
      </c>
      <c r="X207" s="130">
        <f>(V207+W207)/2</f>
        <v>96</v>
      </c>
      <c r="Y207" s="130">
        <f>(W207-V207)/2</f>
        <v>2</v>
      </c>
      <c r="Z207" s="131">
        <f>(W207-V207)/2</f>
        <v>2</v>
      </c>
      <c r="AA207" s="130">
        <v>97</v>
      </c>
      <c r="AB207" s="130">
        <v>99</v>
      </c>
      <c r="AC207" s="130">
        <f>(AA207+AB207)/2</f>
        <v>98</v>
      </c>
      <c r="AD207" s="130">
        <f>(AB207-AA207)/2</f>
        <v>1</v>
      </c>
      <c r="AE207" s="131">
        <f>(AB207-AA207)/2</f>
        <v>1</v>
      </c>
      <c r="AH207" s="24" t="e">
        <v>#N/A</v>
      </c>
      <c r="AJ207" s="47"/>
      <c r="AM207" s="24" t="e">
        <v>#N/A</v>
      </c>
      <c r="AO207" s="47"/>
      <c r="AR207" s="24" t="e">
        <v>#N/A</v>
      </c>
      <c r="AT207" s="47"/>
      <c r="AU207" s="130">
        <v>98</v>
      </c>
      <c r="AV207" s="130">
        <v>99</v>
      </c>
      <c r="AW207" s="130">
        <f>(AU207+AV207)/2</f>
        <v>98.5</v>
      </c>
      <c r="AX207" s="130">
        <f>(AV207-AU207)/2</f>
        <v>0.5</v>
      </c>
      <c r="AY207" s="131">
        <f>(AV207-AU207)/2</f>
        <v>0.5</v>
      </c>
      <c r="BB207" s="24" t="e">
        <v>#N/A</v>
      </c>
      <c r="BD207" s="47"/>
      <c r="BI207" s="47"/>
    </row>
    <row r="208" spans="1:61" ht="12.75">
      <c r="A208" s="142">
        <f t="shared" si="1"/>
        <v>2005</v>
      </c>
      <c r="B208" s="36"/>
      <c r="C208" s="36"/>
      <c r="D208" s="24" t="e">
        <v>#N/A</v>
      </c>
      <c r="E208" s="36"/>
      <c r="F208" s="47"/>
      <c r="G208" s="130">
        <v>98</v>
      </c>
      <c r="H208" s="130">
        <v>99</v>
      </c>
      <c r="I208" s="130">
        <f>(G208+H208)/2</f>
        <v>98.5</v>
      </c>
      <c r="J208" s="130">
        <f>(H208-G208)/2</f>
        <v>0.5</v>
      </c>
      <c r="K208" s="131">
        <f>(H208-G208)/2</f>
        <v>0.5</v>
      </c>
      <c r="L208" s="130"/>
      <c r="M208" s="130"/>
      <c r="N208" s="130"/>
      <c r="O208" s="130"/>
      <c r="P208" s="131"/>
      <c r="Q208" s="130"/>
      <c r="R208" s="130"/>
      <c r="S208" s="130"/>
      <c r="T208" s="130"/>
      <c r="U208" s="131"/>
      <c r="V208" s="130"/>
      <c r="W208" s="130"/>
      <c r="X208" s="130"/>
      <c r="Y208" s="130"/>
      <c r="Z208" s="131"/>
      <c r="AA208" s="130"/>
      <c r="AB208" s="130"/>
      <c r="AC208" s="130"/>
      <c r="AD208" s="130"/>
      <c r="AE208" s="131"/>
      <c r="AH208" s="24" t="e">
        <v>#N/A</v>
      </c>
      <c r="AJ208" s="47"/>
      <c r="AM208" s="24" t="e">
        <v>#N/A</v>
      </c>
      <c r="AO208" s="47"/>
      <c r="AR208" s="24" t="e">
        <v>#N/A</v>
      </c>
      <c r="AT208" s="47"/>
      <c r="AU208" s="130"/>
      <c r="AV208" s="130"/>
      <c r="AW208" s="130"/>
      <c r="AX208" s="130"/>
      <c r="AY208" s="131"/>
      <c r="AZ208" s="130">
        <v>98</v>
      </c>
      <c r="BA208" s="130">
        <v>99</v>
      </c>
      <c r="BB208" s="130">
        <f>(AZ208+BA208)/2</f>
        <v>98.5</v>
      </c>
      <c r="BC208" s="130">
        <f>(BA208-AZ208)/2</f>
        <v>0.5</v>
      </c>
      <c r="BD208" s="131">
        <f>(BA208-AZ208)/2</f>
        <v>0.5</v>
      </c>
      <c r="BE208" s="130"/>
      <c r="BF208" s="130"/>
      <c r="BG208" s="130"/>
      <c r="BH208" s="130"/>
      <c r="BI208" s="131"/>
    </row>
    <row r="209" spans="1:61" ht="12.75">
      <c r="A209" s="142">
        <f t="shared" si="1"/>
        <v>2006</v>
      </c>
      <c r="B209" s="41"/>
      <c r="C209" s="45"/>
      <c r="D209" s="24" t="e">
        <v>#N/A</v>
      </c>
      <c r="E209" s="2"/>
      <c r="F209" s="26"/>
      <c r="G209" s="2"/>
      <c r="H209" s="2"/>
      <c r="I209" s="24"/>
      <c r="J209" s="2"/>
      <c r="K209" s="26"/>
      <c r="L209" s="2"/>
      <c r="M209" s="2"/>
      <c r="N209" s="24"/>
      <c r="O209" s="2"/>
      <c r="P209" s="26"/>
      <c r="Q209" s="2"/>
      <c r="R209" s="2"/>
      <c r="S209" s="24"/>
      <c r="T209" s="2"/>
      <c r="U209" s="26"/>
      <c r="V209" s="2"/>
      <c r="W209" s="2"/>
      <c r="X209" s="24"/>
      <c r="Y209" s="2"/>
      <c r="Z209" s="26"/>
      <c r="AA209" s="2"/>
      <c r="AB209" s="2"/>
      <c r="AC209" s="24"/>
      <c r="AD209" s="2"/>
      <c r="AE209" s="26"/>
      <c r="AF209" s="130">
        <v>94</v>
      </c>
      <c r="AG209" s="130">
        <v>98</v>
      </c>
      <c r="AH209" s="130">
        <f>(AF209+AG209)/2</f>
        <v>96</v>
      </c>
      <c r="AI209" s="130">
        <f>(AG209-AF209)/2</f>
        <v>2</v>
      </c>
      <c r="AJ209" s="131">
        <f>(AG209-AF209)/2</f>
        <v>2</v>
      </c>
      <c r="AK209" s="130">
        <v>94</v>
      </c>
      <c r="AL209" s="130">
        <v>98</v>
      </c>
      <c r="AM209" s="130">
        <f>(AK209+AL209)/2</f>
        <v>96</v>
      </c>
      <c r="AN209" s="130">
        <f>(AL209-AK209)/2</f>
        <v>2</v>
      </c>
      <c r="AO209" s="131">
        <f>(AL209-AK209)/2</f>
        <v>2</v>
      </c>
      <c r="AP209" s="2"/>
      <c r="AQ209" s="2"/>
      <c r="AR209" s="24" t="e">
        <v>#N/A</v>
      </c>
      <c r="AS209" s="2"/>
      <c r="AT209" s="26"/>
      <c r="AU209" s="2"/>
      <c r="AV209" s="2"/>
      <c r="AW209" s="24"/>
      <c r="AX209" s="2"/>
      <c r="AY209" s="26"/>
      <c r="BD209" s="47"/>
      <c r="BE209" s="2"/>
      <c r="BF209" s="2"/>
      <c r="BG209" s="24"/>
      <c r="BH209" s="2"/>
      <c r="BI209" s="26"/>
    </row>
    <row r="210" spans="1:61" ht="12.75">
      <c r="A210" s="142">
        <f t="shared" si="1"/>
        <v>2007</v>
      </c>
      <c r="B210" s="266">
        <v>97</v>
      </c>
      <c r="C210" s="130">
        <v>98</v>
      </c>
      <c r="D210" s="130">
        <f>(C210+B210)/2</f>
        <v>97.5</v>
      </c>
      <c r="E210" s="130">
        <f>(C210-B210)/2</f>
        <v>0.5</v>
      </c>
      <c r="F210" s="131">
        <f>(C210-B210)/2</f>
        <v>0.5</v>
      </c>
      <c r="G210" s="2"/>
      <c r="H210" s="2"/>
      <c r="I210" s="24"/>
      <c r="J210" s="2"/>
      <c r="K210" s="26"/>
      <c r="L210" s="2"/>
      <c r="M210" s="2"/>
      <c r="N210" s="24"/>
      <c r="O210" s="2"/>
      <c r="P210" s="26"/>
      <c r="Q210" s="2"/>
      <c r="R210" s="2"/>
      <c r="S210" s="24"/>
      <c r="T210" s="2"/>
      <c r="U210" s="26"/>
      <c r="V210" s="2"/>
      <c r="W210" s="2"/>
      <c r="X210" s="24"/>
      <c r="Y210" s="2"/>
      <c r="Z210" s="26"/>
      <c r="AA210" s="2"/>
      <c r="AB210" s="2"/>
      <c r="AC210" s="24"/>
      <c r="AD210" s="2"/>
      <c r="AE210" s="26"/>
      <c r="AF210" s="130"/>
      <c r="AG210" s="130"/>
      <c r="AH210" s="130"/>
      <c r="AI210" s="130"/>
      <c r="AJ210" s="131"/>
      <c r="AK210" s="130"/>
      <c r="AL210" s="130"/>
      <c r="AM210" s="130"/>
      <c r="AN210" s="130"/>
      <c r="AO210" s="131"/>
      <c r="AP210" s="130">
        <v>98</v>
      </c>
      <c r="AQ210" s="130">
        <v>99</v>
      </c>
      <c r="AR210" s="130">
        <f>(AP210+AQ210)/2</f>
        <v>98.5</v>
      </c>
      <c r="AS210" s="130">
        <f>(AQ210-AP210)/2</f>
        <v>0.5</v>
      </c>
      <c r="AT210" s="131">
        <f>(AQ210-AP210)/2</f>
        <v>0.5</v>
      </c>
      <c r="AU210" s="2"/>
      <c r="AV210" s="2"/>
      <c r="AW210" s="24"/>
      <c r="AX210" s="2"/>
      <c r="AY210" s="26"/>
      <c r="AZ210" s="130"/>
      <c r="BA210" s="130"/>
      <c r="BB210" s="130"/>
      <c r="BC210" s="130"/>
      <c r="BD210" s="131"/>
      <c r="BE210" s="2"/>
      <c r="BF210" s="2"/>
      <c r="BG210" s="24"/>
      <c r="BH210" s="2"/>
      <c r="BI210" s="26"/>
    </row>
    <row r="211" spans="1:61" ht="12.75">
      <c r="A211" s="142">
        <f t="shared" si="1"/>
        <v>2008</v>
      </c>
      <c r="F211" s="47"/>
      <c r="G211" s="36"/>
      <c r="H211" s="36"/>
      <c r="I211" s="24"/>
      <c r="J211" s="36"/>
      <c r="K211" s="47"/>
      <c r="L211" s="36"/>
      <c r="M211" s="36"/>
      <c r="N211" s="24"/>
      <c r="O211" s="36"/>
      <c r="P211" s="47"/>
      <c r="Q211" s="36"/>
      <c r="R211" s="36"/>
      <c r="S211" s="24"/>
      <c r="T211" s="36"/>
      <c r="U211" s="47"/>
      <c r="V211" s="36"/>
      <c r="W211" s="36"/>
      <c r="X211" s="24"/>
      <c r="Y211" s="36"/>
      <c r="Z211" s="47"/>
      <c r="AA211" s="36"/>
      <c r="AB211" s="36"/>
      <c r="AC211" s="24"/>
      <c r="AD211" s="36"/>
      <c r="AE211" s="47"/>
      <c r="AF211" s="36"/>
      <c r="AG211" s="36"/>
      <c r="AH211" s="24"/>
      <c r="AI211" s="36"/>
      <c r="AJ211" s="47"/>
      <c r="AK211" s="36"/>
      <c r="AL211" s="36"/>
      <c r="AM211" s="24"/>
      <c r="AN211" s="36"/>
      <c r="AO211" s="47"/>
      <c r="AT211" s="47"/>
      <c r="AU211" s="36"/>
      <c r="AV211" s="36"/>
      <c r="AW211" s="24"/>
      <c r="AX211" s="36"/>
      <c r="AY211" s="47"/>
      <c r="AZ211" s="36"/>
      <c r="BA211" s="36"/>
      <c r="BB211" s="24"/>
      <c r="BC211" s="36"/>
      <c r="BD211" s="47"/>
      <c r="BE211" s="36"/>
      <c r="BF211" s="36"/>
      <c r="BG211" s="24"/>
      <c r="BH211" s="36"/>
      <c r="BI211" s="47"/>
    </row>
    <row r="212" spans="1:61" ht="12.75">
      <c r="A212" s="142">
        <f t="shared" si="1"/>
        <v>2009</v>
      </c>
      <c r="B212" s="266"/>
      <c r="C212" s="130"/>
      <c r="D212" s="130"/>
      <c r="E212" s="130"/>
      <c r="F212" s="131"/>
      <c r="G212" s="36"/>
      <c r="H212" s="36"/>
      <c r="I212" s="24"/>
      <c r="J212" s="36"/>
      <c r="K212" s="47"/>
      <c r="L212" s="36"/>
      <c r="M212" s="36"/>
      <c r="N212" s="24"/>
      <c r="O212" s="36"/>
      <c r="P212" s="47"/>
      <c r="Q212" s="36"/>
      <c r="R212" s="36"/>
      <c r="S212" s="24"/>
      <c r="T212" s="36"/>
      <c r="U212" s="47"/>
      <c r="V212" s="36"/>
      <c r="W212" s="36"/>
      <c r="X212" s="24"/>
      <c r="Y212" s="36"/>
      <c r="Z212" s="47"/>
      <c r="AA212" s="36"/>
      <c r="AB212" s="36"/>
      <c r="AC212" s="24"/>
      <c r="AD212" s="36"/>
      <c r="AE212" s="47"/>
      <c r="AF212" s="36"/>
      <c r="AG212" s="36"/>
      <c r="AH212" s="24"/>
      <c r="AI212" s="36"/>
      <c r="AJ212" s="47"/>
      <c r="AK212" s="36"/>
      <c r="AL212" s="36"/>
      <c r="AM212" s="24"/>
      <c r="AN212" s="36"/>
      <c r="AO212" s="47"/>
      <c r="AP212" s="130"/>
      <c r="AQ212" s="130"/>
      <c r="AR212" s="130"/>
      <c r="AS212" s="130"/>
      <c r="AT212" s="131"/>
      <c r="AU212" s="36"/>
      <c r="AV212" s="36"/>
      <c r="AW212" s="24"/>
      <c r="AX212" s="36"/>
      <c r="AY212" s="47"/>
      <c r="AZ212" s="36"/>
      <c r="BA212" s="36"/>
      <c r="BB212" s="24"/>
      <c r="BC212" s="36"/>
      <c r="BD212" s="47"/>
      <c r="BE212" s="36"/>
      <c r="BF212" s="36"/>
      <c r="BG212" s="24"/>
      <c r="BH212" s="36"/>
      <c r="BI212" s="47"/>
    </row>
    <row r="213" spans="1:61" ht="12.75">
      <c r="A213" s="264">
        <f t="shared" si="1"/>
        <v>2010</v>
      </c>
      <c r="B213" s="172"/>
      <c r="C213" s="50"/>
      <c r="D213" s="265"/>
      <c r="E213" s="50"/>
      <c r="F213" s="110"/>
      <c r="G213" s="50"/>
      <c r="H213" s="50"/>
      <c r="I213" s="265"/>
      <c r="J213" s="50"/>
      <c r="K213" s="110"/>
      <c r="L213" s="50"/>
      <c r="M213" s="50"/>
      <c r="N213" s="265"/>
      <c r="O213" s="50"/>
      <c r="P213" s="110"/>
      <c r="Q213" s="50"/>
      <c r="R213" s="50"/>
      <c r="S213" s="265"/>
      <c r="T213" s="50"/>
      <c r="U213" s="110"/>
      <c r="V213" s="50"/>
      <c r="W213" s="50"/>
      <c r="X213" s="265"/>
      <c r="Y213" s="50"/>
      <c r="Z213" s="110"/>
      <c r="AA213" s="50"/>
      <c r="AB213" s="50"/>
      <c r="AC213" s="265"/>
      <c r="AD213" s="50"/>
      <c r="AE213" s="110"/>
      <c r="AF213" s="50"/>
      <c r="AG213" s="50"/>
      <c r="AH213" s="265"/>
      <c r="AI213" s="50"/>
      <c r="AJ213" s="110"/>
      <c r="AK213" s="50"/>
      <c r="AL213" s="50"/>
      <c r="AM213" s="265"/>
      <c r="AN213" s="50"/>
      <c r="AO213" s="110"/>
      <c r="AP213" s="50"/>
      <c r="AQ213" s="50"/>
      <c r="AR213" s="265"/>
      <c r="AS213" s="50"/>
      <c r="AT213" s="110"/>
      <c r="AU213" s="50"/>
      <c r="AV213" s="50"/>
      <c r="AW213" s="265"/>
      <c r="AX213" s="50"/>
      <c r="AY213" s="110"/>
      <c r="AZ213" s="50"/>
      <c r="BA213" s="50"/>
      <c r="BB213" s="265"/>
      <c r="BC213" s="50"/>
      <c r="BD213" s="110"/>
      <c r="BE213" s="50"/>
      <c r="BF213" s="50"/>
      <c r="BG213" s="265"/>
      <c r="BH213" s="50"/>
      <c r="BI213" s="110"/>
    </row>
  </sheetData>
  <mergeCells count="7">
    <mergeCell ref="W11:BB21"/>
    <mergeCell ref="W9:BB10"/>
    <mergeCell ref="A1:AN1"/>
    <mergeCell ref="A2:AN2"/>
    <mergeCell ref="A3:AN3"/>
    <mergeCell ref="A4:G4"/>
    <mergeCell ref="H4:R4"/>
  </mergeCells>
  <hyperlinks>
    <hyperlink ref="H4" r:id="rId1" display="joao.sousa@rega.kuleuven.be"/>
  </hyperlinks>
  <printOptions/>
  <pageMargins left="0.75" right="0.75" top="1" bottom="1" header="0" footer="0"/>
  <pageSetup horizontalDpi="1200" verticalDpi="1200" orientation="portrait" r:id="rId3"/>
  <drawing r:id="rId2"/>
</worksheet>
</file>

<file path=xl/worksheets/sheet10.xml><?xml version="1.0" encoding="utf-8"?>
<worksheet xmlns="http://schemas.openxmlformats.org/spreadsheetml/2006/main" xmlns:r="http://schemas.openxmlformats.org/officeDocument/2006/relationships">
  <dimension ref="A2:J69"/>
  <sheetViews>
    <sheetView workbookViewId="0" topLeftCell="A52">
      <selection activeCell="H34" sqref="H34"/>
    </sheetView>
  </sheetViews>
  <sheetFormatPr defaultColWidth="9.140625" defaultRowHeight="12.75"/>
  <cols>
    <col min="1" max="1" width="27.140625" style="0" customWidth="1"/>
    <col min="2" max="2" width="6.421875" style="0" customWidth="1"/>
    <col min="3" max="3" width="5.421875" style="0" customWidth="1"/>
    <col min="4" max="4" width="6.8515625" style="0" customWidth="1"/>
    <col min="5" max="5" width="5.8515625" style="0" customWidth="1"/>
    <col min="6" max="7" width="6.8515625" style="0" customWidth="1"/>
    <col min="8" max="8" width="9.57421875" style="0" customWidth="1"/>
    <col min="9" max="9" width="67.140625" style="0" customWidth="1"/>
    <col min="10" max="10" width="7.28125" style="0" customWidth="1"/>
  </cols>
  <sheetData>
    <row r="2" ht="20.25">
      <c r="A2" s="64" t="s">
        <v>737</v>
      </c>
    </row>
    <row r="3" ht="15">
      <c r="A3" s="65" t="s">
        <v>19</v>
      </c>
    </row>
    <row r="6" spans="3:6" ht="12.75">
      <c r="C6" s="67" t="s">
        <v>425</v>
      </c>
      <c r="D6" s="68"/>
      <c r="E6" s="68"/>
      <c r="F6" s="51"/>
    </row>
    <row r="7" spans="1:7" ht="12.75">
      <c r="A7" s="2"/>
      <c r="B7" s="2"/>
      <c r="C7" s="144">
        <f>Charts!$D$12</f>
        <v>45</v>
      </c>
      <c r="D7" s="75"/>
      <c r="E7" s="45" t="s">
        <v>890</v>
      </c>
      <c r="F7" s="42"/>
      <c r="G7" s="2"/>
    </row>
    <row r="8" spans="1:7" ht="12.75">
      <c r="A8" s="2"/>
      <c r="B8" s="2"/>
      <c r="C8" s="144">
        <f>Charts!$D$13</f>
        <v>30</v>
      </c>
      <c r="D8" s="45"/>
      <c r="E8" s="45" t="s">
        <v>889</v>
      </c>
      <c r="F8" s="42"/>
      <c r="G8" s="2"/>
    </row>
    <row r="9" spans="1:7" ht="12.75">
      <c r="A9" s="2"/>
      <c r="B9" s="2"/>
      <c r="C9" s="52" t="s">
        <v>305</v>
      </c>
      <c r="D9" s="49" t="s">
        <v>306</v>
      </c>
      <c r="E9" s="45"/>
      <c r="F9" s="42"/>
      <c r="G9" s="2"/>
    </row>
    <row r="10" spans="1:7" ht="12.75">
      <c r="A10" s="2"/>
      <c r="B10" s="2"/>
      <c r="C10" s="144">
        <f>Charts!$D$15</f>
        <v>0</v>
      </c>
      <c r="D10" s="143">
        <f>Charts!$E$15</f>
        <v>5</v>
      </c>
      <c r="E10" s="45" t="s">
        <v>303</v>
      </c>
      <c r="F10" s="42"/>
      <c r="G10" s="2"/>
    </row>
    <row r="11" spans="1:7" ht="12.75">
      <c r="A11" s="2"/>
      <c r="B11" s="2"/>
      <c r="C11" s="144">
        <f>Charts!$D$16</f>
        <v>97</v>
      </c>
      <c r="D11" s="143">
        <f>Charts!$E$16</f>
        <v>99</v>
      </c>
      <c r="E11" s="45" t="s">
        <v>410</v>
      </c>
      <c r="F11" s="42"/>
      <c r="G11" s="2"/>
    </row>
    <row r="12" spans="1:7" ht="12.75">
      <c r="A12" s="2"/>
      <c r="B12" s="2"/>
      <c r="C12" s="144">
        <f>Charts!$D$17</f>
        <v>97</v>
      </c>
      <c r="D12" s="143">
        <f>Charts!$E$17</f>
        <v>99</v>
      </c>
      <c r="E12" s="45" t="s">
        <v>411</v>
      </c>
      <c r="F12" s="69"/>
      <c r="G12" s="2"/>
    </row>
    <row r="13" spans="1:7" ht="12.75">
      <c r="A13" s="2"/>
      <c r="B13" s="2"/>
      <c r="C13" s="144">
        <f>Charts!$D$18</f>
        <v>75</v>
      </c>
      <c r="D13" s="143">
        <f>Charts!$E$18</f>
        <v>85</v>
      </c>
      <c r="E13" s="45" t="s">
        <v>408</v>
      </c>
      <c r="F13" s="42"/>
      <c r="G13" s="2"/>
    </row>
    <row r="14" spans="1:7" ht="12.75">
      <c r="A14" s="2"/>
      <c r="B14" s="2"/>
      <c r="C14" s="144">
        <f>Charts!$D$19</f>
        <v>0</v>
      </c>
      <c r="D14" s="143">
        <f>Charts!$E$19</f>
        <v>20</v>
      </c>
      <c r="E14" s="45" t="s">
        <v>409</v>
      </c>
      <c r="F14" s="42"/>
      <c r="G14" s="2"/>
    </row>
    <row r="15" spans="1:7" ht="12.75">
      <c r="A15" s="2"/>
      <c r="B15" s="2"/>
      <c r="C15" s="144">
        <f>Charts!$D$20</f>
        <v>40</v>
      </c>
      <c r="D15" s="143">
        <f>Charts!$E$20</f>
        <v>60</v>
      </c>
      <c r="E15" s="45" t="s">
        <v>412</v>
      </c>
      <c r="F15" s="42"/>
      <c r="G15" s="2"/>
    </row>
    <row r="16" spans="3:6" ht="12.75">
      <c r="C16" s="145">
        <f>Charts!$D$21</f>
        <v>65</v>
      </c>
      <c r="D16" s="59">
        <f>Charts!$E$21</f>
        <v>85</v>
      </c>
      <c r="E16" s="43" t="s">
        <v>873</v>
      </c>
      <c r="F16" s="48"/>
    </row>
    <row r="19" spans="1:10" ht="15.75">
      <c r="A19" s="90" t="s">
        <v>738</v>
      </c>
      <c r="B19" s="2"/>
      <c r="C19" s="2"/>
      <c r="D19" s="2"/>
      <c r="E19" s="33"/>
      <c r="F19" s="2"/>
      <c r="G19" s="2"/>
      <c r="H19" s="2"/>
      <c r="I19" s="2"/>
      <c r="J19" s="2"/>
    </row>
    <row r="20" spans="1:9" ht="15.75">
      <c r="A20" s="4" t="s">
        <v>739</v>
      </c>
      <c r="B20" s="63">
        <v>1958</v>
      </c>
      <c r="C20" s="75"/>
      <c r="D20" s="58"/>
      <c r="E20" s="27"/>
      <c r="F20" s="50"/>
      <c r="G20" s="27"/>
      <c r="H20" s="27"/>
      <c r="I20" s="38"/>
    </row>
    <row r="21" spans="1:9" ht="22.5" customHeight="1">
      <c r="A21" s="28" t="s">
        <v>430</v>
      </c>
      <c r="B21" s="5" t="s">
        <v>370</v>
      </c>
      <c r="C21" s="76" t="s">
        <v>897</v>
      </c>
      <c r="D21" s="304" t="s">
        <v>400</v>
      </c>
      <c r="E21" s="305"/>
      <c r="F21" s="57" t="s">
        <v>6</v>
      </c>
      <c r="G21" s="5"/>
      <c r="H21" s="5"/>
      <c r="I21" s="6"/>
    </row>
    <row r="22" spans="1:9" ht="22.5">
      <c r="A22" s="7"/>
      <c r="B22" s="8"/>
      <c r="C22" s="71"/>
      <c r="D22" s="7" t="s">
        <v>305</v>
      </c>
      <c r="E22" s="9" t="s">
        <v>306</v>
      </c>
      <c r="F22" s="7" t="s">
        <v>431</v>
      </c>
      <c r="G22" s="8" t="s">
        <v>423</v>
      </c>
      <c r="H22" s="8" t="s">
        <v>424</v>
      </c>
      <c r="I22" s="44" t="s">
        <v>428</v>
      </c>
    </row>
    <row r="23" spans="1:9" ht="13.5" customHeight="1">
      <c r="A23" s="10" t="s">
        <v>688</v>
      </c>
      <c r="B23" s="119">
        <v>8480</v>
      </c>
      <c r="C23" s="76">
        <v>1</v>
      </c>
      <c r="D23" s="135">
        <f>$C$12</f>
        <v>97</v>
      </c>
      <c r="E23" s="133">
        <f>$D$12</f>
        <v>99</v>
      </c>
      <c r="F23" s="28"/>
      <c r="H23" s="45" t="s">
        <v>411</v>
      </c>
      <c r="I23" s="6" t="s">
        <v>867</v>
      </c>
    </row>
    <row r="24" spans="1:9" ht="13.5" customHeight="1">
      <c r="A24" s="10" t="s">
        <v>740</v>
      </c>
      <c r="B24" s="104">
        <v>13250</v>
      </c>
      <c r="C24" s="70">
        <f>IF($B$20-F24&gt;=$C$7,2,IF($B$20-F24&gt;=$C$7*2/3,3,IF($B$20-F24&gt;=$C$7*1/3,4,IF($B$20-F24&gt;=0,5,8))))</f>
        <v>3</v>
      </c>
      <c r="D24" s="130">
        <f>MAX($C$10,MIN($C$11,($C$14+($C$11-$C$14)*($B$20-F24)/$C$7)))</f>
        <v>71.13333333333334</v>
      </c>
      <c r="E24" s="131">
        <f>MAX($D$10,MIN($D$11,($D$14+($D$11-$D$14)*($B$20-F24)/$C$7)))</f>
        <v>77.93333333333334</v>
      </c>
      <c r="F24" s="10">
        <v>1925</v>
      </c>
      <c r="G24" s="11" t="s">
        <v>426</v>
      </c>
      <c r="H24" s="11" t="s">
        <v>303</v>
      </c>
      <c r="I24" s="12" t="s">
        <v>868</v>
      </c>
    </row>
    <row r="25" spans="1:9" ht="13.5" customHeight="1">
      <c r="A25" s="10" t="s">
        <v>743</v>
      </c>
      <c r="B25" s="104">
        <v>10600</v>
      </c>
      <c r="C25" s="70">
        <v>1</v>
      </c>
      <c r="D25" s="135">
        <f>$C$12</f>
        <v>97</v>
      </c>
      <c r="E25" s="133">
        <f>$D$12</f>
        <v>99</v>
      </c>
      <c r="F25" s="10"/>
      <c r="H25" s="45" t="s">
        <v>411</v>
      </c>
      <c r="I25" s="16" t="s">
        <v>747</v>
      </c>
    </row>
    <row r="26" spans="1:9" ht="23.25" customHeight="1">
      <c r="A26" s="10" t="s">
        <v>744</v>
      </c>
      <c r="B26" s="104">
        <v>7950</v>
      </c>
      <c r="C26" s="70">
        <v>1</v>
      </c>
      <c r="D26" s="135">
        <f>$C$12</f>
        <v>97</v>
      </c>
      <c r="E26" s="133">
        <f>$D$12</f>
        <v>99</v>
      </c>
      <c r="F26" s="10"/>
      <c r="H26" s="45" t="s">
        <v>411</v>
      </c>
      <c r="I26" s="12" t="s">
        <v>748</v>
      </c>
    </row>
    <row r="27" spans="1:9" ht="12.75" customHeight="1">
      <c r="A27" s="10" t="s">
        <v>745</v>
      </c>
      <c r="B27" s="104">
        <v>5300</v>
      </c>
      <c r="C27" s="70">
        <v>1</v>
      </c>
      <c r="D27" s="135">
        <f>$C$12</f>
        <v>97</v>
      </c>
      <c r="E27" s="133">
        <f>$D$12</f>
        <v>99</v>
      </c>
      <c r="F27" s="10"/>
      <c r="H27" s="45" t="s">
        <v>411</v>
      </c>
      <c r="I27" s="16" t="s">
        <v>749</v>
      </c>
    </row>
    <row r="28" spans="1:9" ht="12" customHeight="1">
      <c r="A28" s="10" t="s">
        <v>746</v>
      </c>
      <c r="B28" s="104">
        <v>3710</v>
      </c>
      <c r="C28" s="70">
        <v>1</v>
      </c>
      <c r="D28" s="135">
        <f>$C$12</f>
        <v>97</v>
      </c>
      <c r="E28" s="133">
        <f>$D$12</f>
        <v>99</v>
      </c>
      <c r="F28" s="10"/>
      <c r="H28" s="45" t="s">
        <v>411</v>
      </c>
      <c r="I28" s="12" t="s">
        <v>741</v>
      </c>
    </row>
    <row r="29" spans="1:9" ht="24" customHeight="1">
      <c r="A29" s="10" t="s">
        <v>640</v>
      </c>
      <c r="B29" s="104">
        <v>3710</v>
      </c>
      <c r="C29" s="70">
        <v>1</v>
      </c>
      <c r="D29" s="135">
        <f>$C$12</f>
        <v>97</v>
      </c>
      <c r="E29" s="133">
        <f>$D$12</f>
        <v>99</v>
      </c>
      <c r="F29" s="10"/>
      <c r="H29" s="45" t="s">
        <v>411</v>
      </c>
      <c r="I29" s="12" t="s">
        <v>145</v>
      </c>
    </row>
    <row r="30" spans="1:9" ht="12.75">
      <c r="A30" s="10" t="s">
        <v>368</v>
      </c>
      <c r="B30" s="104">
        <f>SUM(B23:B29)</f>
        <v>53000</v>
      </c>
      <c r="C30" s="70"/>
      <c r="D30" s="97">
        <f>SUMPRODUCT(B23:B29,D23:D29)/100</f>
        <v>47982.66666666667</v>
      </c>
      <c r="E30" s="107">
        <f>SUMPRODUCT(B23:B29,E23:E29)/100</f>
        <v>49678.66666666667</v>
      </c>
      <c r="F30" s="10"/>
      <c r="G30" s="36"/>
      <c r="H30" s="36"/>
      <c r="I30" s="47"/>
    </row>
    <row r="31" spans="1:9" ht="22.5">
      <c r="A31" s="17" t="s">
        <v>369</v>
      </c>
      <c r="B31" s="106"/>
      <c r="C31" s="66"/>
      <c r="D31" s="18">
        <f>100*D30/B30</f>
        <v>90.53333333333335</v>
      </c>
      <c r="E31" s="19">
        <f>100*E30/B30</f>
        <v>93.73333333333333</v>
      </c>
      <c r="F31" s="7"/>
      <c r="G31" s="39"/>
      <c r="H31" s="39"/>
      <c r="I31" s="48"/>
    </row>
    <row r="32" spans="1:9" ht="12.75">
      <c r="A32" s="181" t="s">
        <v>907</v>
      </c>
      <c r="B32" s="5"/>
      <c r="C32" s="182" t="s">
        <v>908</v>
      </c>
      <c r="D32" s="183"/>
      <c r="E32" s="213"/>
      <c r="F32" s="11"/>
      <c r="G32" s="36"/>
      <c r="H32" s="36"/>
      <c r="I32" s="36"/>
    </row>
    <row r="33" spans="1:9" ht="12.75">
      <c r="A33" s="31" t="s">
        <v>898</v>
      </c>
      <c r="B33" s="30">
        <f>SUMIF($C$23:$C$29,"1",$B$23:$B$29)</f>
        <v>39750</v>
      </c>
      <c r="C33" s="122">
        <v>1</v>
      </c>
      <c r="D33" s="216">
        <f>B33+B34+B38</f>
        <v>39750</v>
      </c>
      <c r="E33" s="47"/>
      <c r="F33" s="11"/>
      <c r="G33" s="36"/>
      <c r="H33" s="36"/>
      <c r="I33" s="36"/>
    </row>
    <row r="34" spans="1:9" ht="12" customHeight="1">
      <c r="A34" s="31" t="s">
        <v>903</v>
      </c>
      <c r="B34" s="30">
        <f>SUMIF($C$23:$C$29,"2",$B$23:$B$29)</f>
        <v>0</v>
      </c>
      <c r="C34" s="122">
        <v>2</v>
      </c>
      <c r="D34" s="216">
        <f>B39</f>
        <v>0</v>
      </c>
      <c r="E34" s="47"/>
      <c r="F34" s="11"/>
      <c r="G34" s="36"/>
      <c r="H34" s="36"/>
      <c r="I34" s="36"/>
    </row>
    <row r="35" spans="1:9" ht="12.75" customHeight="1">
      <c r="A35" s="31" t="s">
        <v>902</v>
      </c>
      <c r="B35" s="30">
        <f>SUMIF($C$23:$C$29,"3",$B$23:$B$29)</f>
        <v>13250</v>
      </c>
      <c r="C35" s="122">
        <v>3</v>
      </c>
      <c r="D35" s="216">
        <f>B35</f>
        <v>13250</v>
      </c>
      <c r="E35" s="47"/>
      <c r="F35" s="11"/>
      <c r="G35" s="36"/>
      <c r="H35" s="36"/>
      <c r="I35" s="36"/>
    </row>
    <row r="36" spans="1:9" ht="12" customHeight="1">
      <c r="A36" s="31" t="s">
        <v>904</v>
      </c>
      <c r="B36" s="30">
        <f>SUMIF($C$23:$C$29,"4",$B$23:$B$29)</f>
        <v>0</v>
      </c>
      <c r="C36" s="122">
        <v>4</v>
      </c>
      <c r="D36" s="216">
        <f>B36</f>
        <v>0</v>
      </c>
      <c r="E36" s="47"/>
      <c r="F36" s="11"/>
      <c r="G36" s="36"/>
      <c r="H36" s="36"/>
      <c r="I36" s="36"/>
    </row>
    <row r="37" spans="1:9" ht="12" customHeight="1">
      <c r="A37" s="31" t="s">
        <v>905</v>
      </c>
      <c r="B37" s="30">
        <f>SUMIF($C$23:$C$29,"5",$B$23:$B$29)</f>
        <v>0</v>
      </c>
      <c r="C37" s="122">
        <v>5</v>
      </c>
      <c r="D37" s="216">
        <f>B37</f>
        <v>0</v>
      </c>
      <c r="E37" s="47"/>
      <c r="F37" s="11"/>
      <c r="G37" s="36"/>
      <c r="H37" s="36"/>
      <c r="I37" s="36"/>
    </row>
    <row r="38" spans="1:9" ht="12.75">
      <c r="A38" s="31" t="s">
        <v>900</v>
      </c>
      <c r="B38" s="30">
        <f>SUMIF($C$23:$C$29,"6",$B$23:$B$29)</f>
        <v>0</v>
      </c>
      <c r="C38" s="122">
        <v>6</v>
      </c>
      <c r="D38" s="216">
        <f>B40</f>
        <v>0</v>
      </c>
      <c r="E38" s="47"/>
      <c r="F38" s="11"/>
      <c r="G38" s="36"/>
      <c r="H38" s="36"/>
      <c r="I38" s="36"/>
    </row>
    <row r="39" spans="1:9" ht="12.75">
      <c r="A39" s="31" t="s">
        <v>899</v>
      </c>
      <c r="B39" s="30">
        <f>SUMIF($C$23:$C$29,"7",$B$23:$B$29)</f>
        <v>0</v>
      </c>
      <c r="C39" s="122">
        <v>7</v>
      </c>
      <c r="D39" s="216">
        <f>B41</f>
        <v>0</v>
      </c>
      <c r="E39" s="47"/>
      <c r="F39" s="11"/>
      <c r="G39" s="36"/>
      <c r="H39" s="36"/>
      <c r="I39" s="36"/>
    </row>
    <row r="40" spans="1:9" ht="12.75">
      <c r="A40" s="31" t="s">
        <v>901</v>
      </c>
      <c r="B40" s="30">
        <f>SUMIF($C$23:$C$29,"8",$B$23:$B$29)</f>
        <v>0</v>
      </c>
      <c r="C40" s="36"/>
      <c r="D40" s="221"/>
      <c r="E40" s="47"/>
      <c r="F40" s="11"/>
      <c r="G40" s="36"/>
      <c r="H40" s="36"/>
      <c r="I40" s="36"/>
    </row>
    <row r="41" spans="1:9" ht="12.75">
      <c r="A41" s="31" t="s">
        <v>906</v>
      </c>
      <c r="B41" s="30">
        <f>SUMIF($C$23:$C$29,"9",$B$23:$B$29)</f>
        <v>0</v>
      </c>
      <c r="C41" s="36"/>
      <c r="D41" s="217"/>
      <c r="E41" s="16"/>
      <c r="F41" s="11"/>
      <c r="G41" s="36"/>
      <c r="H41" s="36"/>
      <c r="I41" s="36"/>
    </row>
    <row r="42" spans="1:9" ht="12.75">
      <c r="A42" s="173" t="s">
        <v>368</v>
      </c>
      <c r="B42" s="215">
        <f>SUM(B33:B41)</f>
        <v>53000</v>
      </c>
      <c r="C42" s="39"/>
      <c r="D42" s="215">
        <f>SUM(D33:D41)</f>
        <v>53000</v>
      </c>
      <c r="E42" s="21"/>
      <c r="F42" s="11"/>
      <c r="G42" s="36"/>
      <c r="H42" s="36"/>
      <c r="I42" s="36"/>
    </row>
    <row r="44" spans="1:9" ht="44.25" customHeight="1">
      <c r="A44" s="301" t="s">
        <v>30</v>
      </c>
      <c r="B44" s="309"/>
      <c r="C44" s="309"/>
      <c r="D44" s="309"/>
      <c r="E44" s="309"/>
      <c r="F44" s="309"/>
      <c r="G44" s="309"/>
      <c r="H44" s="309"/>
      <c r="I44" s="310"/>
    </row>
    <row r="48" spans="1:10" ht="15.75">
      <c r="A48" s="90" t="s">
        <v>742</v>
      </c>
      <c r="B48" s="2"/>
      <c r="C48" s="2"/>
      <c r="D48" s="2"/>
      <c r="E48" s="33"/>
      <c r="F48" s="2"/>
      <c r="G48" s="2"/>
      <c r="H48" s="2"/>
      <c r="I48" s="2"/>
      <c r="J48" s="2"/>
    </row>
    <row r="49" spans="1:9" ht="15.75">
      <c r="A49" s="4" t="s">
        <v>739</v>
      </c>
      <c r="B49" s="63">
        <v>1939</v>
      </c>
      <c r="C49" s="75"/>
      <c r="D49" s="58"/>
      <c r="E49" s="27"/>
      <c r="F49" s="50"/>
      <c r="G49" s="27"/>
      <c r="H49" s="27"/>
      <c r="I49" s="38"/>
    </row>
    <row r="50" spans="1:9" ht="22.5" customHeight="1">
      <c r="A50" s="28" t="s">
        <v>430</v>
      </c>
      <c r="B50" s="5" t="s">
        <v>370</v>
      </c>
      <c r="C50" s="76" t="s">
        <v>897</v>
      </c>
      <c r="D50" s="304" t="s">
        <v>400</v>
      </c>
      <c r="E50" s="305"/>
      <c r="F50" s="57" t="s">
        <v>6</v>
      </c>
      <c r="G50" s="5"/>
      <c r="H50" s="5"/>
      <c r="I50" s="6"/>
    </row>
    <row r="51" spans="1:9" ht="22.5">
      <c r="A51" s="7"/>
      <c r="B51" s="8"/>
      <c r="C51" s="71"/>
      <c r="D51" s="7" t="s">
        <v>305</v>
      </c>
      <c r="E51" s="9" t="s">
        <v>306</v>
      </c>
      <c r="F51" s="7" t="s">
        <v>431</v>
      </c>
      <c r="G51" s="8" t="s">
        <v>423</v>
      </c>
      <c r="H51" s="8" t="s">
        <v>424</v>
      </c>
      <c r="I51" s="44" t="s">
        <v>428</v>
      </c>
    </row>
    <row r="52" spans="1:9" ht="12.75">
      <c r="A52" s="10" t="s">
        <v>688</v>
      </c>
      <c r="B52" s="84">
        <v>6200</v>
      </c>
      <c r="C52" s="76">
        <v>1</v>
      </c>
      <c r="D52" s="178">
        <f>$C$12</f>
        <v>97</v>
      </c>
      <c r="E52" s="134">
        <f>$D$12</f>
        <v>99</v>
      </c>
      <c r="F52" s="28"/>
      <c r="G52" s="5"/>
      <c r="H52" s="45" t="s">
        <v>411</v>
      </c>
      <c r="I52" s="6" t="s">
        <v>867</v>
      </c>
    </row>
    <row r="53" spans="1:9" ht="12.75" customHeight="1">
      <c r="A53" s="10" t="s">
        <v>740</v>
      </c>
      <c r="B53" s="16">
        <v>2320</v>
      </c>
      <c r="C53" s="70">
        <f>IF($B$49-F53&gt;=$C$7,2,IF($B$49-F53&gt;=$C$7*2/3,3,IF($B$49-F53&gt;=$C$7*1/3,4,IF($B$49-F53&gt;=0,5,8))))</f>
        <v>5</v>
      </c>
      <c r="D53" s="130">
        <f>MAX($C$10,MIN($C$11,($C$14+($C$11-$C$14)*($B$49-F53)/$C$7)))</f>
        <v>30.177777777777777</v>
      </c>
      <c r="E53" s="131">
        <f>MAX($D$10,MIN($D$11,($D$14+($D$11-$D$14)*($B$49-F53)/$C$7)))</f>
        <v>44.57777777777778</v>
      </c>
      <c r="F53" s="10">
        <v>1925</v>
      </c>
      <c r="G53" s="11" t="s">
        <v>426</v>
      </c>
      <c r="H53" s="11" t="s">
        <v>303</v>
      </c>
      <c r="I53" s="12" t="s">
        <v>866</v>
      </c>
    </row>
    <row r="54" spans="1:9" ht="22.5">
      <c r="A54" s="10" t="s">
        <v>635</v>
      </c>
      <c r="B54" s="16">
        <f>B55-B53-B52</f>
        <v>3480</v>
      </c>
      <c r="C54" s="70">
        <v>1</v>
      </c>
      <c r="D54" s="135">
        <f>$C$12</f>
        <v>97</v>
      </c>
      <c r="E54" s="133">
        <f>$D$12</f>
        <v>99</v>
      </c>
      <c r="F54" s="10"/>
      <c r="G54" s="11"/>
      <c r="H54" s="45" t="s">
        <v>411</v>
      </c>
      <c r="I54" s="12" t="s">
        <v>146</v>
      </c>
    </row>
    <row r="55" spans="1:9" ht="12.75">
      <c r="A55" s="10" t="s">
        <v>368</v>
      </c>
      <c r="B55" s="12">
        <v>12000</v>
      </c>
      <c r="C55" s="70"/>
      <c r="D55" s="97">
        <f>SUMPRODUCT(B52:B54,D52:D54)/100</f>
        <v>10089.724444444444</v>
      </c>
      <c r="E55" s="107">
        <f>SUMPRODUCT(B52:B54,E52:E54)/100</f>
        <v>10617.404444444444</v>
      </c>
      <c r="F55" s="10"/>
      <c r="G55" s="11"/>
      <c r="H55" s="11"/>
      <c r="I55" s="12"/>
    </row>
    <row r="56" spans="1:9" ht="12.75" customHeight="1">
      <c r="A56" s="17" t="s">
        <v>369</v>
      </c>
      <c r="B56" s="9"/>
      <c r="C56" s="66"/>
      <c r="D56" s="18">
        <f>100*D55/B55</f>
        <v>84.08103703703704</v>
      </c>
      <c r="E56" s="19">
        <f>100*E55/B55</f>
        <v>88.47837037037037</v>
      </c>
      <c r="F56" s="7"/>
      <c r="G56" s="8"/>
      <c r="H56" s="8"/>
      <c r="I56" s="9"/>
    </row>
    <row r="57" spans="1:9" ht="12.75">
      <c r="A57" s="181" t="s">
        <v>907</v>
      </c>
      <c r="B57" s="5"/>
      <c r="C57" s="182" t="s">
        <v>908</v>
      </c>
      <c r="D57" s="183"/>
      <c r="E57" s="213"/>
      <c r="F57" s="11"/>
      <c r="G57" s="11"/>
      <c r="H57" s="11"/>
      <c r="I57" s="11"/>
    </row>
    <row r="58" spans="1:9" ht="12.75">
      <c r="A58" s="31" t="s">
        <v>898</v>
      </c>
      <c r="B58" s="30">
        <f>SUMIF($C$52:$C$54,"1",$B$52:$B$54)</f>
        <v>9680</v>
      </c>
      <c r="C58" s="122">
        <v>1</v>
      </c>
      <c r="D58" s="216">
        <f>B58+B59+B63</f>
        <v>9680</v>
      </c>
      <c r="E58" s="47"/>
      <c r="F58" s="11"/>
      <c r="G58" s="11"/>
      <c r="H58" s="11"/>
      <c r="I58" s="11"/>
    </row>
    <row r="59" spans="1:9" ht="12.75">
      <c r="A59" s="31" t="s">
        <v>903</v>
      </c>
      <c r="B59" s="30">
        <f>SUMIF($C$52:$C$54,"2",$B$52:$B$54)</f>
        <v>0</v>
      </c>
      <c r="C59" s="122">
        <v>2</v>
      </c>
      <c r="D59" s="216">
        <f>B64</f>
        <v>0</v>
      </c>
      <c r="E59" s="47"/>
      <c r="F59" s="11"/>
      <c r="G59" s="11"/>
      <c r="H59" s="11"/>
      <c r="I59" s="11"/>
    </row>
    <row r="60" spans="1:9" ht="22.5">
      <c r="A60" s="31" t="s">
        <v>902</v>
      </c>
      <c r="B60" s="30">
        <f>SUMIF($C$52:$C$54,"3",$B$52:$B$54)</f>
        <v>0</v>
      </c>
      <c r="C60" s="122">
        <v>3</v>
      </c>
      <c r="D60" s="216">
        <f>B60</f>
        <v>0</v>
      </c>
      <c r="E60" s="47"/>
      <c r="F60" s="11"/>
      <c r="G60" s="11"/>
      <c r="H60" s="11"/>
      <c r="I60" s="11"/>
    </row>
    <row r="61" spans="1:9" ht="33.75">
      <c r="A61" s="31" t="s">
        <v>904</v>
      </c>
      <c r="B61" s="30">
        <f>SUMIF($C$52:$C$54,"4",$B$52:$B$54)</f>
        <v>0</v>
      </c>
      <c r="C61" s="122">
        <v>4</v>
      </c>
      <c r="D61" s="216">
        <f>B61</f>
        <v>0</v>
      </c>
      <c r="E61" s="47"/>
      <c r="F61" s="11"/>
      <c r="G61" s="11"/>
      <c r="H61" s="11"/>
      <c r="I61" s="11"/>
    </row>
    <row r="62" spans="1:9" ht="12.75">
      <c r="A62" s="31" t="s">
        <v>905</v>
      </c>
      <c r="B62" s="30">
        <f>SUMIF($C$52:$C$54,"5",$B$52:$B$54)</f>
        <v>2320</v>
      </c>
      <c r="C62" s="122">
        <v>5</v>
      </c>
      <c r="D62" s="216">
        <f>B62</f>
        <v>2320</v>
      </c>
      <c r="E62" s="47"/>
      <c r="F62" s="11"/>
      <c r="G62" s="11"/>
      <c r="H62" s="11"/>
      <c r="I62" s="11"/>
    </row>
    <row r="63" spans="1:9" ht="12.75">
      <c r="A63" s="31" t="s">
        <v>900</v>
      </c>
      <c r="B63" s="30">
        <f>SUMIF($C$52:$C$54,"6",$B$52:$B$54)</f>
        <v>0</v>
      </c>
      <c r="C63" s="122">
        <v>6</v>
      </c>
      <c r="D63" s="216">
        <f>B65</f>
        <v>0</v>
      </c>
      <c r="E63" s="47"/>
      <c r="F63" s="11"/>
      <c r="G63" s="11"/>
      <c r="H63" s="11"/>
      <c r="I63" s="11"/>
    </row>
    <row r="64" spans="1:9" ht="12.75">
      <c r="A64" s="31" t="s">
        <v>899</v>
      </c>
      <c r="B64" s="30">
        <f>SUMIF($C$52:$C$54,"7",$B$52:$B$54)</f>
        <v>0</v>
      </c>
      <c r="C64" s="122">
        <v>7</v>
      </c>
      <c r="D64" s="216">
        <f>B66</f>
        <v>0</v>
      </c>
      <c r="E64" s="47"/>
      <c r="F64" s="11"/>
      <c r="G64" s="11"/>
      <c r="H64" s="11"/>
      <c r="I64" s="11"/>
    </row>
    <row r="65" spans="1:9" ht="12.75">
      <c r="A65" s="31" t="s">
        <v>901</v>
      </c>
      <c r="B65" s="30">
        <f>SUMIF($C$52:$C$54,"8",$B$52:$B$54)</f>
        <v>0</v>
      </c>
      <c r="C65" s="36"/>
      <c r="D65" s="221"/>
      <c r="E65" s="47"/>
      <c r="F65" s="11"/>
      <c r="G65" s="11"/>
      <c r="H65" s="11"/>
      <c r="I65" s="11"/>
    </row>
    <row r="66" spans="1:9" ht="12.75">
      <c r="A66" s="31" t="s">
        <v>906</v>
      </c>
      <c r="B66" s="30">
        <f>SUMIF($C$52:$C$54,"9",$B$52:$B$54)</f>
        <v>0</v>
      </c>
      <c r="C66" s="36"/>
      <c r="D66" s="217"/>
      <c r="E66" s="16"/>
      <c r="F66" s="11"/>
      <c r="G66" s="11"/>
      <c r="H66" s="11"/>
      <c r="I66" s="11"/>
    </row>
    <row r="67" spans="1:9" ht="12.75">
      <c r="A67" s="173" t="s">
        <v>368</v>
      </c>
      <c r="B67" s="215">
        <f>SUM(B58:B66)</f>
        <v>12000</v>
      </c>
      <c r="C67" s="39"/>
      <c r="D67" s="215">
        <f>SUM(D58:D66)</f>
        <v>12000</v>
      </c>
      <c r="E67" s="21"/>
      <c r="F67" s="11"/>
      <c r="G67" s="11"/>
      <c r="H67" s="11"/>
      <c r="I67" s="11"/>
    </row>
    <row r="69" spans="1:9" ht="70.5" customHeight="1">
      <c r="A69" s="301" t="s">
        <v>31</v>
      </c>
      <c r="B69" s="309"/>
      <c r="C69" s="309"/>
      <c r="D69" s="309"/>
      <c r="E69" s="309"/>
      <c r="F69" s="309"/>
      <c r="G69" s="309"/>
      <c r="H69" s="309"/>
      <c r="I69" s="310"/>
    </row>
  </sheetData>
  <mergeCells count="4">
    <mergeCell ref="A69:I69"/>
    <mergeCell ref="A44:I44"/>
    <mergeCell ref="D21:E21"/>
    <mergeCell ref="D50:E50"/>
  </mergeCells>
  <printOptions/>
  <pageMargins left="0.75" right="0.75" top="1" bottom="1" header="0" footer="0"/>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2:W154"/>
  <sheetViews>
    <sheetView workbookViewId="0" topLeftCell="A124">
      <selection activeCell="M129" sqref="M129"/>
    </sheetView>
  </sheetViews>
  <sheetFormatPr defaultColWidth="9.140625" defaultRowHeight="12.75"/>
  <cols>
    <col min="1" max="1" width="27.140625" style="0" customWidth="1"/>
    <col min="2" max="4" width="6.28125" style="0" customWidth="1"/>
    <col min="5" max="5" width="5.7109375" style="0" customWidth="1"/>
    <col min="6" max="7" width="6.421875" style="0" customWidth="1"/>
    <col min="8" max="8" width="6.8515625" style="0" customWidth="1"/>
    <col min="9" max="9" width="7.140625" style="0" customWidth="1"/>
    <col min="10" max="10" width="7.00390625" style="0" customWidth="1"/>
    <col min="11" max="11" width="7.140625" style="0" customWidth="1"/>
    <col min="12" max="12" width="9.421875" style="0" customWidth="1"/>
    <col min="13" max="13" width="62.8515625" style="0" customWidth="1"/>
    <col min="14" max="14" width="7.28125" style="0" customWidth="1"/>
    <col min="15" max="15" width="8.140625" style="0" customWidth="1"/>
  </cols>
  <sheetData>
    <row r="2" ht="20.25">
      <c r="A2" s="64" t="s">
        <v>750</v>
      </c>
    </row>
    <row r="3" ht="15">
      <c r="A3" s="65" t="s">
        <v>19</v>
      </c>
    </row>
    <row r="6" spans="3:6" ht="12.75">
      <c r="C6" s="67" t="s">
        <v>425</v>
      </c>
      <c r="D6" s="68"/>
      <c r="E6" s="68"/>
      <c r="F6" s="51"/>
    </row>
    <row r="7" spans="1:7" ht="12.75">
      <c r="A7" s="2"/>
      <c r="B7" s="2"/>
      <c r="C7" s="144">
        <f>Charts!$D$12</f>
        <v>45</v>
      </c>
      <c r="D7" s="75"/>
      <c r="E7" s="45" t="s">
        <v>890</v>
      </c>
      <c r="F7" s="42"/>
      <c r="G7" s="2"/>
    </row>
    <row r="8" spans="1:7" ht="12.75">
      <c r="A8" s="2"/>
      <c r="B8" s="2"/>
      <c r="C8" s="144">
        <f>Charts!$D$13</f>
        <v>30</v>
      </c>
      <c r="D8" s="45"/>
      <c r="E8" s="45" t="s">
        <v>889</v>
      </c>
      <c r="F8" s="42"/>
      <c r="G8" s="2"/>
    </row>
    <row r="9" spans="1:7" ht="12.75">
      <c r="A9" s="2"/>
      <c r="B9" s="2"/>
      <c r="C9" s="52" t="s">
        <v>305</v>
      </c>
      <c r="D9" s="49" t="s">
        <v>306</v>
      </c>
      <c r="E9" s="45"/>
      <c r="F9" s="42"/>
      <c r="G9" s="2"/>
    </row>
    <row r="10" spans="1:7" ht="12.75">
      <c r="A10" s="2"/>
      <c r="B10" s="2"/>
      <c r="C10" s="144">
        <f>Charts!$D$15</f>
        <v>0</v>
      </c>
      <c r="D10" s="143">
        <f>Charts!$E$15</f>
        <v>5</v>
      </c>
      <c r="E10" s="45" t="s">
        <v>303</v>
      </c>
      <c r="F10" s="42"/>
      <c r="G10" s="2"/>
    </row>
    <row r="11" spans="1:7" ht="12.75">
      <c r="A11" s="2"/>
      <c r="B11" s="2"/>
      <c r="C11" s="144">
        <f>Charts!$D$16</f>
        <v>97</v>
      </c>
      <c r="D11" s="143">
        <f>Charts!$E$16</f>
        <v>99</v>
      </c>
      <c r="E11" s="45" t="s">
        <v>410</v>
      </c>
      <c r="F11" s="42"/>
      <c r="G11" s="2"/>
    </row>
    <row r="12" spans="1:7" ht="12.75">
      <c r="A12" s="2"/>
      <c r="B12" s="2"/>
      <c r="C12" s="144">
        <f>Charts!$D$17</f>
        <v>97</v>
      </c>
      <c r="D12" s="143">
        <f>Charts!$E$17</f>
        <v>99</v>
      </c>
      <c r="E12" s="45" t="s">
        <v>411</v>
      </c>
      <c r="F12" s="69"/>
      <c r="G12" s="2"/>
    </row>
    <row r="13" spans="1:7" ht="12.75">
      <c r="A13" s="2"/>
      <c r="B13" s="2"/>
      <c r="C13" s="144">
        <f>Charts!$D$18</f>
        <v>75</v>
      </c>
      <c r="D13" s="143">
        <f>Charts!$E$18</f>
        <v>85</v>
      </c>
      <c r="E13" s="45" t="s">
        <v>408</v>
      </c>
      <c r="F13" s="42"/>
      <c r="G13" s="2"/>
    </row>
    <row r="14" spans="1:7" ht="12.75">
      <c r="A14" s="2"/>
      <c r="B14" s="2"/>
      <c r="C14" s="144">
        <f>Charts!$D$19</f>
        <v>0</v>
      </c>
      <c r="D14" s="143">
        <f>Charts!$E$19</f>
        <v>20</v>
      </c>
      <c r="E14" s="45" t="s">
        <v>409</v>
      </c>
      <c r="F14" s="42"/>
      <c r="G14" s="2"/>
    </row>
    <row r="15" spans="1:7" ht="12.75">
      <c r="A15" s="2"/>
      <c r="B15" s="2"/>
      <c r="C15" s="144">
        <f>Charts!$D$20</f>
        <v>40</v>
      </c>
      <c r="D15" s="143">
        <f>Charts!$E$20</f>
        <v>60</v>
      </c>
      <c r="E15" s="45" t="s">
        <v>412</v>
      </c>
      <c r="F15" s="42"/>
      <c r="G15" s="2"/>
    </row>
    <row r="16" spans="3:6" ht="12.75">
      <c r="C16" s="145">
        <f>Charts!$D$21</f>
        <v>65</v>
      </c>
      <c r="D16" s="59">
        <f>Charts!$E$21</f>
        <v>85</v>
      </c>
      <c r="E16" s="43" t="s">
        <v>873</v>
      </c>
      <c r="F16" s="48"/>
    </row>
    <row r="19" spans="1:10" ht="15.75">
      <c r="A19" s="90" t="s">
        <v>751</v>
      </c>
      <c r="B19" s="2"/>
      <c r="C19" s="2"/>
      <c r="D19" s="2"/>
      <c r="E19" s="33"/>
      <c r="F19" s="2"/>
      <c r="G19" s="2"/>
      <c r="H19" s="2"/>
      <c r="I19" s="2"/>
      <c r="J19" s="2"/>
    </row>
    <row r="20" spans="1:13" ht="15.75">
      <c r="A20" s="4" t="s">
        <v>752</v>
      </c>
      <c r="B20" s="63">
        <v>1955</v>
      </c>
      <c r="C20" s="75"/>
      <c r="D20" s="58"/>
      <c r="E20" s="27"/>
      <c r="F20" s="63">
        <v>1975</v>
      </c>
      <c r="G20" s="75"/>
      <c r="H20" s="58"/>
      <c r="I20" s="27"/>
      <c r="J20" s="50"/>
      <c r="K20" s="27"/>
      <c r="L20" s="27"/>
      <c r="M20" s="38"/>
    </row>
    <row r="21" spans="1:13" ht="25.5" customHeight="1">
      <c r="A21" s="28" t="s">
        <v>430</v>
      </c>
      <c r="B21" s="5" t="s">
        <v>370</v>
      </c>
      <c r="C21" s="76" t="s">
        <v>897</v>
      </c>
      <c r="D21" s="304" t="s">
        <v>400</v>
      </c>
      <c r="E21" s="305"/>
      <c r="F21" s="5" t="s">
        <v>370</v>
      </c>
      <c r="G21" s="76" t="s">
        <v>897</v>
      </c>
      <c r="H21" s="304" t="s">
        <v>400</v>
      </c>
      <c r="I21" s="305"/>
      <c r="J21" s="57" t="s">
        <v>6</v>
      </c>
      <c r="K21" s="5"/>
      <c r="L21" s="5"/>
      <c r="M21" s="6"/>
    </row>
    <row r="22" spans="1:13" ht="22.5">
      <c r="A22" s="7"/>
      <c r="B22" s="8"/>
      <c r="C22" s="71"/>
      <c r="D22" s="7" t="s">
        <v>305</v>
      </c>
      <c r="E22" s="9" t="s">
        <v>306</v>
      </c>
      <c r="F22" s="8"/>
      <c r="G22" s="71"/>
      <c r="H22" s="7" t="s">
        <v>305</v>
      </c>
      <c r="I22" s="9" t="s">
        <v>306</v>
      </c>
      <c r="J22" s="7" t="s">
        <v>431</v>
      </c>
      <c r="K22" s="8" t="s">
        <v>423</v>
      </c>
      <c r="L22" s="8" t="s">
        <v>424</v>
      </c>
      <c r="M22" s="44" t="s">
        <v>428</v>
      </c>
    </row>
    <row r="23" spans="1:13" ht="13.5" customHeight="1">
      <c r="A23" s="28" t="s">
        <v>753</v>
      </c>
      <c r="B23" s="6">
        <v>8169</v>
      </c>
      <c r="C23" s="70">
        <f>IF($B$20-J23&gt;=$C$7,2,IF($B$20-J23&gt;=$C$7*2/3,3,IF($B$20-J23&gt;=$C$7*1/3,4,IF($B$20-J23&gt;=0,5,8))))</f>
        <v>5</v>
      </c>
      <c r="D23" s="130">
        <f>MAX($C$10,MIN($C$11,($C$14+($C$11-$C$14)*($B$20-J23)/$C$7)))</f>
        <v>10.777777777777779</v>
      </c>
      <c r="E23" s="131">
        <f>MAX($D$10,MIN($D$11,($D$14+($D$11-$D$14)*($B$20-J23)/$C$7)))</f>
        <v>28.77777777777778</v>
      </c>
      <c r="F23" s="76">
        <v>31380</v>
      </c>
      <c r="G23" s="70">
        <f>IF($F$20-J23&gt;=$C$7,2,IF($F$20-J23&gt;=$C$7*2/3,3,IF($F$20-J23&gt;=$C$7*1/3,4,IF($F$20-J23&gt;=0,5,8))))</f>
        <v>4</v>
      </c>
      <c r="H23" s="130">
        <f>MAX($C$10,MIN($C$11,($C$14+($C$11-$C$14)*($F$20-J23)/$C$7)))</f>
        <v>53.888888888888886</v>
      </c>
      <c r="I23" s="131">
        <f>MAX($D$10,MIN($D$11,($D$14+($D$11-$D$14)*($F$20-J23)/$C$7)))</f>
        <v>63.888888888888886</v>
      </c>
      <c r="J23" s="28">
        <v>1950</v>
      </c>
      <c r="K23" s="5" t="s">
        <v>426</v>
      </c>
      <c r="L23" s="5" t="s">
        <v>303</v>
      </c>
      <c r="M23" s="6" t="s">
        <v>869</v>
      </c>
    </row>
    <row r="24" spans="1:13" ht="12.75" customHeight="1">
      <c r="A24" s="10" t="s">
        <v>754</v>
      </c>
      <c r="B24" s="12">
        <v>11569</v>
      </c>
      <c r="C24" s="70">
        <f>IF($B$20-J24&gt;=$C$7,2,IF($B$20-J24&gt;=$C$7*2/3,3,IF($B$20-J24&gt;=$C$7*1/3,4,IF($B$20-J24&gt;=0,5,8))))</f>
        <v>5</v>
      </c>
      <c r="D24" s="130">
        <f>MAX($C$10,MIN($C$11,($C$14+($C$11-$C$14)*($B$20-J24)/$C$7)))</f>
        <v>10.777777777777779</v>
      </c>
      <c r="E24" s="131">
        <f>MAX($D$10,MIN($D$11,($D$14+($D$11-$D$14)*($B$20-J24)/$C$7)))</f>
        <v>28.77777777777778</v>
      </c>
      <c r="F24" s="70">
        <v>113686</v>
      </c>
      <c r="G24" s="70">
        <f>IF($F$20-J24&gt;=$C$7,2,IF($F$20-J24&gt;=$C$7*2/3,3,IF($F$20-J24&gt;=$C$7*1/3,4,IF($F$20-J24&gt;=0,5,8))))</f>
        <v>4</v>
      </c>
      <c r="H24" s="130">
        <f>MAX($C$10,MIN($C$11,($C$14+($C$11-$C$14)*($F$20-J24)/$C$7)))</f>
        <v>53.888888888888886</v>
      </c>
      <c r="I24" s="131">
        <f>MAX($D$10,MIN($D$11,($D$14+($D$11-$D$14)*($F$20-J24)/$C$7)))</f>
        <v>63.888888888888886</v>
      </c>
      <c r="J24" s="10">
        <v>1950</v>
      </c>
      <c r="K24" s="11" t="s">
        <v>426</v>
      </c>
      <c r="L24" s="11" t="s">
        <v>303</v>
      </c>
      <c r="M24" s="12" t="s">
        <v>781</v>
      </c>
    </row>
    <row r="25" spans="1:13" ht="23.25" customHeight="1">
      <c r="A25" s="10" t="s">
        <v>755</v>
      </c>
      <c r="B25" s="12">
        <v>12931</v>
      </c>
      <c r="C25" s="70">
        <f>IF($B$20-J25&gt;=$C$7,2,IF($B$20-J25&gt;=$C$7*2/3,3,IF($B$20-J25&gt;=$C$7*1/3,4,IF($B$20-J25&gt;=0,5,8))))</f>
        <v>5</v>
      </c>
      <c r="D25" s="130">
        <f>MAX($C$10,MIN($C$11,($C$14+($C$11-$C$14)*($B$20-J25)/$C$7)))</f>
        <v>10.777777777777779</v>
      </c>
      <c r="E25" s="131">
        <f>MAX($D$10,MIN($D$11,($D$14+($D$11-$D$14)*($B$20-J25)/$C$7)))</f>
        <v>28.77777777777778</v>
      </c>
      <c r="F25" s="70">
        <v>136623</v>
      </c>
      <c r="G25" s="70">
        <f>IF($F$20-J25&gt;=$C$7,2,IF($F$20-J25&gt;=$C$7*2/3,3,IF($F$20-J25&gt;=$C$7*1/3,4,IF($F$20-J25&gt;=0,5,8))))</f>
        <v>4</v>
      </c>
      <c r="H25" s="130">
        <f>MAX($C$10,MIN($C$11,($C$14+($C$11-$C$14)*($F$20-J25)/$C$7)))</f>
        <v>53.888888888888886</v>
      </c>
      <c r="I25" s="131">
        <f>MAX($D$10,MIN($D$11,($D$14+($D$11-$D$14)*($F$20-J25)/$C$7)))</f>
        <v>63.888888888888886</v>
      </c>
      <c r="J25" s="10">
        <v>1950</v>
      </c>
      <c r="K25" s="11" t="s">
        <v>426</v>
      </c>
      <c r="L25" s="11" t="s">
        <v>303</v>
      </c>
      <c r="M25" s="12" t="s">
        <v>870</v>
      </c>
    </row>
    <row r="26" spans="1:13" ht="13.5" customHeight="1">
      <c r="A26" s="10" t="s">
        <v>756</v>
      </c>
      <c r="B26" s="12">
        <v>6033</v>
      </c>
      <c r="C26" s="70">
        <f>IF($B$20-J26&gt;=$C$7,2,IF($B$20-J26&gt;=$C$7*2/3,3,IF($B$20-J26&gt;=$C$7*1/3,4,IF($B$20-J26&gt;=0,5,8))))</f>
        <v>8</v>
      </c>
      <c r="D26" s="130">
        <f>MAX($C$10,MIN($C$11,($C$14+($C$11-$C$14)*($B$20-J26)/$C$7)))</f>
        <v>0</v>
      </c>
      <c r="E26" s="131">
        <f>MAX($D$10,MIN($D$11,($D$14+($D$11-$D$14)*($B$20-J26)/$C$7)))</f>
        <v>11.222222222222221</v>
      </c>
      <c r="F26" s="70">
        <v>62104</v>
      </c>
      <c r="G26" s="70">
        <f>IF($F$20-J26&gt;=$C$7,2,IF($F$20-J26&gt;=$C$7*2/3,3,IF($F$20-J26&gt;=$C$7*1/3,4,IF($F$20-J26&gt;=0,5,8))))</f>
        <v>4</v>
      </c>
      <c r="H26" s="130">
        <f>MAX($C$10,MIN($C$11,($C$14+($C$11-$C$14)*($F$20-J26)/$C$7)))</f>
        <v>32.333333333333336</v>
      </c>
      <c r="I26" s="131">
        <f>MAX($D$10,MIN($D$11,($D$14+($D$11-$D$14)*($F$20-J26)/$C$7)))</f>
        <v>46.33333333333333</v>
      </c>
      <c r="J26" s="10">
        <v>1960</v>
      </c>
      <c r="K26" s="11" t="s">
        <v>426</v>
      </c>
      <c r="L26" s="11" t="s">
        <v>303</v>
      </c>
      <c r="M26" s="12" t="s">
        <v>782</v>
      </c>
    </row>
    <row r="27" spans="1:13" ht="12.75" customHeight="1">
      <c r="A27" s="10" t="s">
        <v>757</v>
      </c>
      <c r="B27" s="12">
        <v>3208</v>
      </c>
      <c r="C27" s="70">
        <f>IF($B$20-J27&gt;=$C$7,2,IF($B$20-J27&gt;=$C$7*2/3,3,IF($B$20-J27&gt;=$C$7*1/3,4,IF($B$20-J27&gt;=0,5,8))))</f>
        <v>5</v>
      </c>
      <c r="D27" s="130">
        <f>MAX($C$10,MIN($C$11,($C$14+($C$11-$C$14)*($B$20-J27)/$C$7)))</f>
        <v>10.777777777777779</v>
      </c>
      <c r="E27" s="131">
        <f>MAX($D$10,MIN($D$11,($D$14+($D$11-$D$14)*($B$20-J27)/$C$7)))</f>
        <v>28.77777777777778</v>
      </c>
      <c r="F27" s="70">
        <v>23804</v>
      </c>
      <c r="G27" s="70">
        <f>IF($F$20-J27&gt;=$C$7,2,IF($F$20-J27&gt;=$C$7*2/3,3,IF($F$20-J27&gt;=$C$7*1/3,4,IF($F$20-J27&gt;=0,5,8))))</f>
        <v>4</v>
      </c>
      <c r="H27" s="130">
        <f>MAX($C$10,MIN($C$11,($C$14+($C$11-$C$14)*($F$20-J27)/$C$7)))</f>
        <v>53.888888888888886</v>
      </c>
      <c r="I27" s="131">
        <f>MAX($D$10,MIN($D$11,($D$14+($D$11-$D$14)*($F$20-J27)/$C$7)))</f>
        <v>63.888888888888886</v>
      </c>
      <c r="J27" s="10">
        <v>1950</v>
      </c>
      <c r="K27" s="11" t="s">
        <v>426</v>
      </c>
      <c r="L27" s="11" t="s">
        <v>303</v>
      </c>
      <c r="M27" s="12" t="s">
        <v>783</v>
      </c>
    </row>
    <row r="28" spans="1:13" ht="24" customHeight="1">
      <c r="A28" s="10" t="s">
        <v>758</v>
      </c>
      <c r="B28" s="12">
        <v>7100</v>
      </c>
      <c r="C28" s="70">
        <v>1</v>
      </c>
      <c r="D28" s="13">
        <f>$C$12</f>
        <v>97</v>
      </c>
      <c r="E28" s="14">
        <f>$D$12</f>
        <v>99</v>
      </c>
      <c r="F28" s="70">
        <v>70225</v>
      </c>
      <c r="G28" s="70">
        <v>1</v>
      </c>
      <c r="H28" s="13">
        <f>$C$12</f>
        <v>97</v>
      </c>
      <c r="I28" s="14">
        <f>$D$12</f>
        <v>99</v>
      </c>
      <c r="J28" s="10"/>
      <c r="K28" s="11"/>
      <c r="L28" s="45" t="s">
        <v>411</v>
      </c>
      <c r="M28" s="12" t="s">
        <v>698</v>
      </c>
    </row>
    <row r="29" spans="1:13" ht="13.5" customHeight="1">
      <c r="A29" s="10" t="s">
        <v>759</v>
      </c>
      <c r="B29" s="107">
        <v>383</v>
      </c>
      <c r="C29" s="70">
        <f>IF($B$20-J29&gt;=$C$7,2,IF($B$20-J29&gt;=$C$7*2/3,3,IF($B$20-J29&gt;=$C$7*1/3,4,IF($B$20-J29&gt;=0,5,8))))</f>
        <v>3</v>
      </c>
      <c r="D29" s="130">
        <f>MAX($C$10,MIN($C$11,($C$14+($C$11-$C$14)*($B$20-J29)/$C$7)))</f>
        <v>64.66666666666667</v>
      </c>
      <c r="E29" s="131">
        <f>MAX($D$10,MIN($D$11,($D$14+($D$11-$D$14)*($B$20-J29)/$C$7)))</f>
        <v>72.66666666666666</v>
      </c>
      <c r="F29" s="120">
        <v>3709</v>
      </c>
      <c r="G29" s="70">
        <f>IF($F$20-J29&gt;=$C$7,2,IF($F$20-J29&gt;=$C$7*2/3,3,IF($F$20-J29&gt;=$C$7*1/3,4,IF($F$20-J29&gt;=0,5,8))))</f>
        <v>2</v>
      </c>
      <c r="H29" s="130">
        <f>MAX($C$10,MIN($C$11,($C$14+($C$11-$C$14)*($F$20-J29)/$C$7)))</f>
        <v>97</v>
      </c>
      <c r="I29" s="131">
        <f>MAX($D$10,MIN($D$11,($D$14+($D$11-$D$14)*($F$20-J29)/$C$7)))</f>
        <v>99</v>
      </c>
      <c r="J29" s="10">
        <v>1925</v>
      </c>
      <c r="K29" s="11" t="s">
        <v>426</v>
      </c>
      <c r="L29" s="11" t="s">
        <v>303</v>
      </c>
      <c r="M29" s="12" t="s">
        <v>868</v>
      </c>
    </row>
    <row r="30" spans="1:13" ht="23.25" customHeight="1">
      <c r="A30" s="10" t="s">
        <v>760</v>
      </c>
      <c r="B30" s="12">
        <v>5984</v>
      </c>
      <c r="C30" s="70">
        <f>IF($B$20-J30&gt;=$C$7,2,IF($B$20-J30&gt;=$C$7*2/3,3,IF($B$20-J30&gt;=$C$7*1/3,4,5)))</f>
        <v>3</v>
      </c>
      <c r="D30" s="130">
        <f>MAX($C$15,MIN($C$11,($C$15+($C$11-$C$15)*($B$20-J30)/$C$8)))</f>
        <v>97</v>
      </c>
      <c r="E30" s="131">
        <f>MAX($D$15,MIN($D$11,($D$15+($D$11-$D$15)*($B$20-J30)/$C$8)))</f>
        <v>99</v>
      </c>
      <c r="F30" s="120">
        <v>57946</v>
      </c>
      <c r="G30" s="70">
        <f>IF($F$20-J30&gt;=$C$7,2,IF($F$20-J30&gt;=$C$7*2/3,3,IF($F$20-J30&gt;=$C$7*1/3,4,5)))</f>
        <v>2</v>
      </c>
      <c r="H30" s="130">
        <f>MAX($C$15,MIN($C$11,($C$15+($C$11-$C$15)*($F$20-J30)/$C$8)))</f>
        <v>97</v>
      </c>
      <c r="I30" s="131">
        <f>MAX($D$15,MIN($D$11,($D$15+($D$11-$D$15)*($F$20-J30)/$C$8)))</f>
        <v>99</v>
      </c>
      <c r="J30" s="10">
        <v>1920</v>
      </c>
      <c r="K30" s="11" t="s">
        <v>427</v>
      </c>
      <c r="L30" s="11" t="s">
        <v>412</v>
      </c>
      <c r="M30" s="12" t="s">
        <v>784</v>
      </c>
    </row>
    <row r="31" spans="1:13" ht="13.5" customHeight="1">
      <c r="A31" s="10" t="s">
        <v>761</v>
      </c>
      <c r="B31" s="107">
        <v>93</v>
      </c>
      <c r="C31" s="70">
        <f>IF($B$20-J31&gt;=$C$7,2,IF($B$20-J31&gt;=$C$7*2/3,3,IF($B$20-J31&gt;=$C$7*1/3,4,IF($B$20-J31&gt;=0,5,8))))</f>
        <v>5</v>
      </c>
      <c r="D31" s="130">
        <f>MAX($C$10,MIN($C$11,($C$14+($C$11-$C$14)*($B$20-J31)/$C$7)))</f>
        <v>10.777777777777779</v>
      </c>
      <c r="E31" s="131">
        <f>MAX($D$10,MIN($D$11,($D$14+($D$11-$D$14)*($B$20-J31)/$C$7)))</f>
        <v>28.77777777777778</v>
      </c>
      <c r="F31" s="120">
        <v>1067</v>
      </c>
      <c r="G31" s="70">
        <f>IF($F$20-J31&gt;=$C$7,2,IF($F$20-J31&gt;=$C$7*2/3,3,IF($F$20-J31&gt;=$C$7*1/3,4,IF($F$20-J31&gt;=0,5,8))))</f>
        <v>4</v>
      </c>
      <c r="H31" s="130">
        <f>MAX($C$10,MIN($C$11,($C$14+($C$11-$C$14)*($F$20-J31)/$C$7)))</f>
        <v>53.888888888888886</v>
      </c>
      <c r="I31" s="131">
        <f>MAX($D$10,MIN($D$11,($D$14+($D$11-$D$14)*($F$20-J31)/$C$7)))</f>
        <v>63.888888888888886</v>
      </c>
      <c r="J31" s="10">
        <v>1950</v>
      </c>
      <c r="K31" s="11" t="s">
        <v>426</v>
      </c>
      <c r="L31" s="11" t="s">
        <v>303</v>
      </c>
      <c r="M31" s="12" t="s">
        <v>783</v>
      </c>
    </row>
    <row r="32" spans="1:13" ht="12" customHeight="1">
      <c r="A32" s="10" t="s">
        <v>762</v>
      </c>
      <c r="B32" s="107">
        <v>1499</v>
      </c>
      <c r="C32" s="70">
        <v>1</v>
      </c>
      <c r="D32" s="13">
        <f>$C$12</f>
        <v>97</v>
      </c>
      <c r="E32" s="14">
        <f>$D$12</f>
        <v>99</v>
      </c>
      <c r="F32" s="120">
        <v>17286</v>
      </c>
      <c r="G32" s="70">
        <v>1</v>
      </c>
      <c r="H32" s="13">
        <f>$C$12</f>
        <v>97</v>
      </c>
      <c r="I32" s="14">
        <f>$D$12</f>
        <v>99</v>
      </c>
      <c r="J32" s="10"/>
      <c r="K32" s="11"/>
      <c r="L32" s="45" t="s">
        <v>411</v>
      </c>
      <c r="M32" s="12" t="s">
        <v>785</v>
      </c>
    </row>
    <row r="33" spans="1:13" ht="24" customHeight="1">
      <c r="A33" s="10" t="s">
        <v>763</v>
      </c>
      <c r="B33" s="107">
        <v>1463</v>
      </c>
      <c r="C33" s="70">
        <f>IF($B$20-J33&gt;=$C$7,2,IF($B$20-J33&gt;=$C$7*2/3,3,IF($B$20-J33&gt;=$C$7*1/3,4,5)))</f>
        <v>3</v>
      </c>
      <c r="D33" s="130">
        <f>MAX($C$15,MIN($C$11,($C$15+($C$11-$C$15)*($B$20-J33)/($C$8+30))))</f>
        <v>73.25</v>
      </c>
      <c r="E33" s="131">
        <f>MAX($D$15,MIN($D$11,($D$15+($D$11-$D$15)*($B$20-J33)/($C$8+30))))</f>
        <v>82.75</v>
      </c>
      <c r="F33" s="120">
        <v>21961</v>
      </c>
      <c r="G33" s="70">
        <f>IF($F$20-J33&gt;=$C$7,2,IF($F$20-J33&gt;=$C$7*2/3,3,IF($F$20-J33&gt;=$C$7*1/3,4,5)))</f>
        <v>2</v>
      </c>
      <c r="H33" s="130">
        <f>MAX($C$15,MIN($C$11,($C$15+($C$11-$C$15)*($F$20-J33)/($C$8+30))))</f>
        <v>92.25</v>
      </c>
      <c r="I33" s="131">
        <f>MAX($D$15,MIN($D$11,($D$15+($D$11-$D$15)*($F$20-J33)/($C$8+30))))</f>
        <v>95.75</v>
      </c>
      <c r="J33" s="10">
        <v>1920</v>
      </c>
      <c r="K33" s="11" t="s">
        <v>427</v>
      </c>
      <c r="L33" s="11" t="s">
        <v>412</v>
      </c>
      <c r="M33" s="12" t="s">
        <v>786</v>
      </c>
    </row>
    <row r="34" spans="1:13" ht="22.5" customHeight="1">
      <c r="A34" s="10" t="s">
        <v>764</v>
      </c>
      <c r="B34" s="107">
        <v>837</v>
      </c>
      <c r="C34" s="70">
        <f>IF($B$20-J34&gt;=$C$7,2,IF($B$20-J34&gt;=$C$7*2/3,3,IF($B$20-J34&gt;=$C$7*1/3,4,IF($B$20-J34&gt;=0,5,8))))</f>
        <v>8</v>
      </c>
      <c r="D34" s="130">
        <f>MAX($C$10,MIN($C$11,($C$14+($C$11-$C$14)*($B$20-J34)/$C$7)))</f>
        <v>0</v>
      </c>
      <c r="E34" s="131">
        <f>MAX($D$10,MIN($D$11,($D$14+($D$11-$D$14)*($B$20-J34)/$C$7)))</f>
        <v>5</v>
      </c>
      <c r="F34" s="120">
        <v>12553</v>
      </c>
      <c r="G34" s="70">
        <f>IF($F$20-J34&gt;=$C$7,2,IF($F$20-J34&gt;=$C$7*2/3,3,IF($F$20-J34&gt;=$C$7*1/3,4,IF($F$20-J34&gt;=0,5,8))))</f>
        <v>5</v>
      </c>
      <c r="H34" s="130">
        <f>MAX($C$10,MIN($C$11,($C$14+($C$11-$C$14)*($F$20-J34)/$C$7)))</f>
        <v>10.777777777777779</v>
      </c>
      <c r="I34" s="131">
        <f>MAX($D$10,MIN($D$11,($D$14+($D$11-$D$14)*($F$20-J34)/$C$7)))</f>
        <v>28.77777777777778</v>
      </c>
      <c r="J34" s="10">
        <v>1970</v>
      </c>
      <c r="K34" s="11" t="s">
        <v>426</v>
      </c>
      <c r="L34" s="11" t="s">
        <v>303</v>
      </c>
      <c r="M34" s="12" t="s">
        <v>871</v>
      </c>
    </row>
    <row r="35" spans="1:13" ht="12.75">
      <c r="A35" s="28" t="s">
        <v>765</v>
      </c>
      <c r="B35" s="6">
        <f>SUM(B23:B34)</f>
        <v>59269</v>
      </c>
      <c r="C35" s="70"/>
      <c r="D35" s="13"/>
      <c r="E35" s="14"/>
      <c r="F35" s="76">
        <f>SUM(F23:F34)</f>
        <v>552344</v>
      </c>
      <c r="G35" s="70"/>
      <c r="H35" s="135"/>
      <c r="I35" s="133"/>
      <c r="J35" s="10"/>
      <c r="K35" s="11"/>
      <c r="L35" s="15"/>
      <c r="M35" s="12"/>
    </row>
    <row r="36" spans="1:13" ht="13.5" customHeight="1">
      <c r="A36" s="10" t="s">
        <v>766</v>
      </c>
      <c r="B36" s="12">
        <v>17000</v>
      </c>
      <c r="C36" s="70">
        <v>5</v>
      </c>
      <c r="D36" s="13">
        <v>40</v>
      </c>
      <c r="E36" s="14">
        <v>60</v>
      </c>
      <c r="F36" s="70">
        <v>157188</v>
      </c>
      <c r="G36" s="70">
        <v>5</v>
      </c>
      <c r="H36" s="135">
        <v>50</v>
      </c>
      <c r="I36" s="133">
        <v>70</v>
      </c>
      <c r="J36" s="10"/>
      <c r="K36" s="11"/>
      <c r="L36" s="11"/>
      <c r="M36" s="12" t="s">
        <v>787</v>
      </c>
    </row>
    <row r="37" spans="1:13" ht="13.5" customHeight="1">
      <c r="A37" s="10" t="s">
        <v>767</v>
      </c>
      <c r="B37" s="12">
        <v>12000</v>
      </c>
      <c r="C37" s="70">
        <v>1</v>
      </c>
      <c r="D37" s="13">
        <f>$C$12</f>
        <v>97</v>
      </c>
      <c r="E37" s="14">
        <f>$D$12</f>
        <v>99</v>
      </c>
      <c r="F37" s="70">
        <v>83507</v>
      </c>
      <c r="G37" s="70">
        <v>1</v>
      </c>
      <c r="H37" s="13">
        <f>$C$12</f>
        <v>97</v>
      </c>
      <c r="I37" s="14">
        <f>$D$12</f>
        <v>99</v>
      </c>
      <c r="J37" s="10"/>
      <c r="K37" s="11"/>
      <c r="L37" s="45" t="s">
        <v>411</v>
      </c>
      <c r="M37" s="12" t="s">
        <v>772</v>
      </c>
    </row>
    <row r="38" spans="1:13" ht="12.75" customHeight="1">
      <c r="A38" s="10" t="s">
        <v>463</v>
      </c>
      <c r="B38" s="12">
        <v>4800</v>
      </c>
      <c r="C38" s="70">
        <v>5</v>
      </c>
      <c r="D38" s="13">
        <v>50</v>
      </c>
      <c r="E38" s="14">
        <v>70</v>
      </c>
      <c r="F38" s="70">
        <v>16293</v>
      </c>
      <c r="G38" s="70">
        <v>5</v>
      </c>
      <c r="H38" s="135">
        <v>60</v>
      </c>
      <c r="I38" s="133">
        <v>80</v>
      </c>
      <c r="J38" s="10"/>
      <c r="K38" s="11"/>
      <c r="L38" s="15"/>
      <c r="M38" s="12" t="s">
        <v>480</v>
      </c>
    </row>
    <row r="39" spans="1:13" ht="12.75" customHeight="1">
      <c r="A39" s="10" t="s">
        <v>768</v>
      </c>
      <c r="B39" s="12">
        <v>4000</v>
      </c>
      <c r="C39" s="70">
        <v>9</v>
      </c>
      <c r="D39" s="13">
        <v>70</v>
      </c>
      <c r="E39" s="14">
        <v>85</v>
      </c>
      <c r="F39" s="70">
        <v>13137</v>
      </c>
      <c r="G39" s="70">
        <v>9</v>
      </c>
      <c r="H39" s="13">
        <f>$C$12-7</f>
        <v>90</v>
      </c>
      <c r="I39" s="14">
        <f>$D$12-5</f>
        <v>94</v>
      </c>
      <c r="J39" s="10"/>
      <c r="K39" s="11"/>
      <c r="L39" s="15"/>
      <c r="M39" s="12" t="s">
        <v>774</v>
      </c>
    </row>
    <row r="40" spans="1:13" ht="12.75" customHeight="1">
      <c r="A40" s="10" t="s">
        <v>464</v>
      </c>
      <c r="B40" s="12">
        <v>3500</v>
      </c>
      <c r="C40" s="70">
        <v>1</v>
      </c>
      <c r="D40" s="13">
        <f>$C$12</f>
        <v>97</v>
      </c>
      <c r="E40" s="14">
        <f>$D$12</f>
        <v>99</v>
      </c>
      <c r="F40" s="70">
        <v>24539</v>
      </c>
      <c r="G40" s="70">
        <v>1</v>
      </c>
      <c r="H40" s="13">
        <f>$C$12</f>
        <v>97</v>
      </c>
      <c r="I40" s="14">
        <f>$D$12</f>
        <v>99</v>
      </c>
      <c r="J40" s="10"/>
      <c r="K40" s="11"/>
      <c r="L40" s="45"/>
      <c r="M40" s="12" t="s">
        <v>480</v>
      </c>
    </row>
    <row r="41" spans="1:13" ht="12" customHeight="1">
      <c r="A41" s="10" t="s">
        <v>299</v>
      </c>
      <c r="B41" s="12">
        <v>3100</v>
      </c>
      <c r="C41" s="70">
        <v>9</v>
      </c>
      <c r="D41" s="13">
        <v>70</v>
      </c>
      <c r="E41" s="14">
        <v>85</v>
      </c>
      <c r="F41" s="70">
        <v>8648</v>
      </c>
      <c r="G41" s="70">
        <v>9</v>
      </c>
      <c r="H41" s="13">
        <f>$C$12-7</f>
        <v>90</v>
      </c>
      <c r="I41" s="14">
        <f>$D$12-5</f>
        <v>94</v>
      </c>
      <c r="J41" s="10"/>
      <c r="K41" s="11"/>
      <c r="L41" s="15"/>
      <c r="M41" s="12" t="s">
        <v>774</v>
      </c>
    </row>
    <row r="42" spans="1:13" ht="24" customHeight="1">
      <c r="A42" s="10" t="s">
        <v>769</v>
      </c>
      <c r="B42" s="12">
        <v>2700</v>
      </c>
      <c r="C42" s="70">
        <v>1</v>
      </c>
      <c r="D42" s="13">
        <f>$C$12</f>
        <v>97</v>
      </c>
      <c r="E42" s="14">
        <f>$D$12</f>
        <v>99</v>
      </c>
      <c r="F42" s="70">
        <v>20827</v>
      </c>
      <c r="G42" s="70">
        <v>1</v>
      </c>
      <c r="H42" s="13">
        <f>$C$12</f>
        <v>97</v>
      </c>
      <c r="I42" s="14">
        <f>$D$12</f>
        <v>99</v>
      </c>
      <c r="J42" s="10"/>
      <c r="K42" s="11"/>
      <c r="L42" s="45" t="s">
        <v>411</v>
      </c>
      <c r="M42" s="12" t="s">
        <v>773</v>
      </c>
    </row>
    <row r="43" spans="1:13" ht="12" customHeight="1">
      <c r="A43" s="10" t="s">
        <v>365</v>
      </c>
      <c r="B43" s="12">
        <v>2200</v>
      </c>
      <c r="C43" s="70">
        <v>1</v>
      </c>
      <c r="D43" s="13">
        <f>$C$12</f>
        <v>97</v>
      </c>
      <c r="E43" s="14">
        <f>$D$12</f>
        <v>99</v>
      </c>
      <c r="F43" s="70">
        <v>13291</v>
      </c>
      <c r="G43" s="70">
        <v>1</v>
      </c>
      <c r="H43" s="13">
        <f>$C$12</f>
        <v>97</v>
      </c>
      <c r="I43" s="14">
        <f>$D$12</f>
        <v>99</v>
      </c>
      <c r="J43" s="10"/>
      <c r="K43" s="11"/>
      <c r="L43" s="45" t="s">
        <v>411</v>
      </c>
      <c r="M43" s="12" t="s">
        <v>474</v>
      </c>
    </row>
    <row r="44" spans="1:13" ht="11.25" customHeight="1">
      <c r="A44" s="10" t="s">
        <v>770</v>
      </c>
      <c r="B44" s="12">
        <v>1300</v>
      </c>
      <c r="C44" s="70">
        <v>1</v>
      </c>
      <c r="D44" s="13">
        <f>$C$12</f>
        <v>97</v>
      </c>
      <c r="E44" s="14">
        <f>$D$12</f>
        <v>99</v>
      </c>
      <c r="F44" s="70">
        <v>13156</v>
      </c>
      <c r="G44" s="70">
        <v>1</v>
      </c>
      <c r="H44" s="13">
        <f>$C$12</f>
        <v>97</v>
      </c>
      <c r="I44" s="14">
        <f>$D$12</f>
        <v>99</v>
      </c>
      <c r="J44" s="10"/>
      <c r="K44" s="11"/>
      <c r="L44" s="45" t="s">
        <v>411</v>
      </c>
      <c r="M44" s="12" t="s">
        <v>772</v>
      </c>
    </row>
    <row r="45" spans="1:13" ht="12.75">
      <c r="A45" s="28" t="s">
        <v>771</v>
      </c>
      <c r="B45" s="6">
        <f>SUM(B36:B44)</f>
        <v>50600</v>
      </c>
      <c r="C45" s="70"/>
      <c r="D45" s="13"/>
      <c r="E45" s="14"/>
      <c r="F45" s="76">
        <f>SUM(F36:F44)</f>
        <v>350586</v>
      </c>
      <c r="G45" s="70"/>
      <c r="H45" s="135"/>
      <c r="I45" s="133"/>
      <c r="J45" s="10"/>
      <c r="K45" s="11"/>
      <c r="L45" s="15"/>
      <c r="M45" s="12"/>
    </row>
    <row r="46" spans="1:13" ht="12.75">
      <c r="A46" s="10" t="s">
        <v>368</v>
      </c>
      <c r="B46" s="12">
        <f>B35+B45</f>
        <v>109869</v>
      </c>
      <c r="C46" s="70"/>
      <c r="D46" s="97">
        <f>SUMPRODUCT(B23:B44,D23:D44)/100</f>
        <v>54560.5975</v>
      </c>
      <c r="E46" s="107">
        <f>SUMPRODUCT(B23:B44,E23:E44)/100</f>
        <v>68074.36916666666</v>
      </c>
      <c r="F46" s="70">
        <f>F35+F45</f>
        <v>902930</v>
      </c>
      <c r="G46" s="70"/>
      <c r="H46" s="97">
        <f>SUMPRODUCT(F23:F44,H23:H44)/100</f>
        <v>610221.7480555555</v>
      </c>
      <c r="I46" s="107">
        <f>SUMPRODUCT(F23:F44,I23:I44)/100</f>
        <v>694257.8030555557</v>
      </c>
      <c r="J46" s="11"/>
      <c r="K46" s="11"/>
      <c r="L46" s="15"/>
      <c r="M46" s="12"/>
    </row>
    <row r="47" spans="1:13" ht="14.25" customHeight="1">
      <c r="A47" s="17" t="s">
        <v>369</v>
      </c>
      <c r="B47" s="9"/>
      <c r="C47" s="66"/>
      <c r="D47" s="18">
        <f>100*D46/B46</f>
        <v>49.65968335017157</v>
      </c>
      <c r="E47" s="19">
        <f>100*E46/B46</f>
        <v>61.95957837667282</v>
      </c>
      <c r="F47" s="66"/>
      <c r="G47" s="66"/>
      <c r="H47" s="18">
        <f>100*H46/F46</f>
        <v>67.58239819870373</v>
      </c>
      <c r="I47" s="19">
        <f>100*I46/F46</f>
        <v>76.88943805782903</v>
      </c>
      <c r="J47" s="8"/>
      <c r="K47" s="8"/>
      <c r="L47" s="20"/>
      <c r="M47" s="9"/>
    </row>
    <row r="48" spans="1:13" ht="12.75">
      <c r="A48" s="181" t="s">
        <v>907</v>
      </c>
      <c r="B48" s="5"/>
      <c r="C48" s="182" t="s">
        <v>908</v>
      </c>
      <c r="D48" s="183"/>
      <c r="E48" s="213"/>
      <c r="F48" s="83"/>
      <c r="G48" s="182" t="s">
        <v>908</v>
      </c>
      <c r="H48" s="183"/>
      <c r="I48" s="194"/>
      <c r="J48" s="11"/>
      <c r="K48" s="11"/>
      <c r="L48" s="15"/>
      <c r="M48" s="11"/>
    </row>
    <row r="49" spans="1:13" ht="12.75">
      <c r="A49" s="31" t="s">
        <v>898</v>
      </c>
      <c r="B49" s="97">
        <f>SUMIF($C$23:$C$44,"1",$B$23:$B$44)</f>
        <v>30299</v>
      </c>
      <c r="C49" s="122">
        <v>1</v>
      </c>
      <c r="D49" s="234">
        <f>B49+B50+B54</f>
        <v>30299</v>
      </c>
      <c r="E49" s="47"/>
      <c r="F49" s="97">
        <f>SUMIF($G$23:$G$44,"1",$F$23:$F$44)</f>
        <v>242831</v>
      </c>
      <c r="G49" s="122">
        <v>1</v>
      </c>
      <c r="H49" s="234">
        <f>F49+F50+F54</f>
        <v>326447</v>
      </c>
      <c r="I49" s="16"/>
      <c r="J49" s="11"/>
      <c r="K49" s="11"/>
      <c r="L49" s="15"/>
      <c r="M49" s="11"/>
    </row>
    <row r="50" spans="1:13" ht="12.75">
      <c r="A50" s="31" t="s">
        <v>903</v>
      </c>
      <c r="B50" s="97">
        <f>SUMIF($C$23:$C$44,"2",$B$23:$B$44)</f>
        <v>0</v>
      </c>
      <c r="C50" s="122">
        <v>2</v>
      </c>
      <c r="D50" s="234">
        <f>B55</f>
        <v>0</v>
      </c>
      <c r="E50" s="47"/>
      <c r="F50" s="97">
        <f>SUMIF($G$23:$G$44,"2",$F$23:$F$44)</f>
        <v>83616</v>
      </c>
      <c r="G50" s="122">
        <v>2</v>
      </c>
      <c r="H50" s="234">
        <f>F55</f>
        <v>0</v>
      </c>
      <c r="I50" s="16"/>
      <c r="J50" s="11"/>
      <c r="K50" s="11"/>
      <c r="L50" s="15"/>
      <c r="M50" s="11"/>
    </row>
    <row r="51" spans="1:13" ht="12" customHeight="1">
      <c r="A51" s="31" t="s">
        <v>902</v>
      </c>
      <c r="B51" s="97">
        <f>SUMIF($C$23:$C$44,"3",$B$23:$B$44)</f>
        <v>7830</v>
      </c>
      <c r="C51" s="122">
        <v>3</v>
      </c>
      <c r="D51" s="234">
        <f>B51</f>
        <v>7830</v>
      </c>
      <c r="E51" s="47"/>
      <c r="F51" s="97">
        <f>SUMIF($G$23:$G$44,"3",$F$23:$F$44)</f>
        <v>0</v>
      </c>
      <c r="G51" s="122">
        <v>3</v>
      </c>
      <c r="H51" s="234">
        <f>F51</f>
        <v>0</v>
      </c>
      <c r="I51" s="16"/>
      <c r="J51" s="11"/>
      <c r="K51" s="11"/>
      <c r="L51" s="15"/>
      <c r="M51" s="11"/>
    </row>
    <row r="52" spans="1:13" ht="12.75" customHeight="1">
      <c r="A52" s="31" t="s">
        <v>904</v>
      </c>
      <c r="B52" s="97">
        <f>SUMIF($C$23:$C$44,"4",$B$23:$B$44)</f>
        <v>0</v>
      </c>
      <c r="C52" s="122">
        <v>4</v>
      </c>
      <c r="D52" s="234">
        <f>B52</f>
        <v>0</v>
      </c>
      <c r="E52" s="47"/>
      <c r="F52" s="97">
        <f>SUMIF($G$23:$G$44,"4",$F$23:$F$44)</f>
        <v>368664</v>
      </c>
      <c r="G52" s="122">
        <v>4</v>
      </c>
      <c r="H52" s="234">
        <f>F52</f>
        <v>368664</v>
      </c>
      <c r="I52" s="16"/>
      <c r="J52" s="11"/>
      <c r="K52" s="11"/>
      <c r="L52" s="15"/>
      <c r="M52" s="11"/>
    </row>
    <row r="53" spans="1:13" ht="12.75">
      <c r="A53" s="31" t="s">
        <v>905</v>
      </c>
      <c r="B53" s="97">
        <f>SUMIF($C$23:$C$44,"5",$B$23:$B$44)</f>
        <v>57770</v>
      </c>
      <c r="C53" s="122">
        <v>5</v>
      </c>
      <c r="D53" s="234">
        <f>B53</f>
        <v>57770</v>
      </c>
      <c r="E53" s="47"/>
      <c r="F53" s="97">
        <f>SUMIF($G$23:$G$44,"5",$F$23:$F$44)</f>
        <v>186034</v>
      </c>
      <c r="G53" s="122">
        <v>5</v>
      </c>
      <c r="H53" s="234">
        <f>F53</f>
        <v>186034</v>
      </c>
      <c r="I53" s="16"/>
      <c r="J53" s="11"/>
      <c r="K53" s="11"/>
      <c r="L53" s="15"/>
      <c r="M53" s="11"/>
    </row>
    <row r="54" spans="1:13" ht="12.75">
      <c r="A54" s="31" t="s">
        <v>900</v>
      </c>
      <c r="B54" s="97">
        <f>SUMIF($C$23:$C$44,"6",$B$23:$B$44)</f>
        <v>0</v>
      </c>
      <c r="C54" s="122">
        <v>6</v>
      </c>
      <c r="D54" s="234">
        <f>B56</f>
        <v>6870</v>
      </c>
      <c r="E54" s="47"/>
      <c r="F54" s="97">
        <f>SUMIF($G$23:$G$44,"6",$F$23:$F$44)</f>
        <v>0</v>
      </c>
      <c r="G54" s="122">
        <v>6</v>
      </c>
      <c r="H54" s="234">
        <f>F56</f>
        <v>0</v>
      </c>
      <c r="I54" s="16"/>
      <c r="J54" s="11"/>
      <c r="K54" s="11"/>
      <c r="L54" s="15"/>
      <c r="M54" s="11"/>
    </row>
    <row r="55" spans="1:13" ht="12.75">
      <c r="A55" s="31" t="s">
        <v>899</v>
      </c>
      <c r="B55" s="97">
        <f>SUMIF($C$23:$C$44,"7",$B$23:$B$44)</f>
        <v>0</v>
      </c>
      <c r="C55" s="122">
        <v>7</v>
      </c>
      <c r="D55" s="234">
        <f>B57</f>
        <v>7100</v>
      </c>
      <c r="E55" s="47"/>
      <c r="F55" s="97">
        <f>SUMIF($G$23:$G$44,"7",$F$23:$F$44)</f>
        <v>0</v>
      </c>
      <c r="G55" s="122">
        <v>7</v>
      </c>
      <c r="H55" s="234">
        <f>F57</f>
        <v>21785</v>
      </c>
      <c r="I55" s="16"/>
      <c r="J55" s="11"/>
      <c r="K55" s="11"/>
      <c r="L55" s="15"/>
      <c r="M55" s="11"/>
    </row>
    <row r="56" spans="1:13" ht="12.75">
      <c r="A56" s="31" t="s">
        <v>901</v>
      </c>
      <c r="B56" s="97">
        <f>SUMIF($C$23:$C$44,"8",$B$23:$B$44)</f>
        <v>6870</v>
      </c>
      <c r="C56" s="36"/>
      <c r="D56" s="235"/>
      <c r="E56" s="47"/>
      <c r="F56" s="97">
        <f>SUMIF($G$23:$G$44,"8",$F$23:$F$44)</f>
        <v>0</v>
      </c>
      <c r="G56" s="135"/>
      <c r="H56" s="122"/>
      <c r="I56" s="12"/>
      <c r="J56" s="11"/>
      <c r="K56" s="11"/>
      <c r="L56" s="15"/>
      <c r="M56" s="11"/>
    </row>
    <row r="57" spans="1:13" ht="12.75">
      <c r="A57" s="31" t="s">
        <v>906</v>
      </c>
      <c r="B57" s="97">
        <f>SUMIF($C$23:$C$44,"9",$B$23:$B$44)</f>
        <v>7100</v>
      </c>
      <c r="C57" s="36"/>
      <c r="D57" s="122"/>
      <c r="E57" s="16"/>
      <c r="F57" s="97">
        <f>SUMIF($G$23:$G$44,"9",$F$23:$F$44)</f>
        <v>21785</v>
      </c>
      <c r="G57" s="135"/>
      <c r="H57" s="122"/>
      <c r="I57" s="12"/>
      <c r="J57" s="11"/>
      <c r="K57" s="11"/>
      <c r="L57" s="15"/>
      <c r="M57" s="11"/>
    </row>
    <row r="58" spans="1:13" ht="12.75">
      <c r="A58" s="173" t="s">
        <v>368</v>
      </c>
      <c r="B58" s="233">
        <f>SUM(B49:B57)</f>
        <v>109869</v>
      </c>
      <c r="C58" s="39"/>
      <c r="D58" s="233">
        <f>SUM(D49:D57)</f>
        <v>109869</v>
      </c>
      <c r="E58" s="21"/>
      <c r="F58" s="233">
        <f>SUM(F49:F57)</f>
        <v>902930</v>
      </c>
      <c r="G58" s="180"/>
      <c r="H58" s="233">
        <f>SUM(H49:H57)</f>
        <v>902930</v>
      </c>
      <c r="I58" s="9"/>
      <c r="J58" s="11"/>
      <c r="K58" s="11"/>
      <c r="L58" s="15"/>
      <c r="M58" s="11"/>
    </row>
    <row r="60" spans="1:23" ht="111.75" customHeight="1">
      <c r="A60" s="301" t="s">
        <v>534</v>
      </c>
      <c r="B60" s="309"/>
      <c r="C60" s="309"/>
      <c r="D60" s="309"/>
      <c r="E60" s="309"/>
      <c r="F60" s="309"/>
      <c r="G60" s="309"/>
      <c r="H60" s="309"/>
      <c r="I60" s="309"/>
      <c r="J60" s="314"/>
      <c r="K60" s="314"/>
      <c r="L60" s="315"/>
      <c r="O60" s="313"/>
      <c r="P60" s="313"/>
      <c r="Q60" s="313"/>
      <c r="R60" s="313"/>
      <c r="S60" s="313"/>
      <c r="T60" s="313"/>
      <c r="U60" s="313"/>
      <c r="V60" s="313"/>
      <c r="W60" s="313"/>
    </row>
    <row r="64" spans="1:2" ht="15.75">
      <c r="A64" s="90" t="s">
        <v>797</v>
      </c>
      <c r="B64" s="2"/>
    </row>
    <row r="65" spans="1:15" ht="15.75">
      <c r="A65" s="4" t="s">
        <v>752</v>
      </c>
      <c r="B65" s="121">
        <v>1936</v>
      </c>
      <c r="C65" s="172"/>
      <c r="D65" s="50"/>
      <c r="E65" s="75"/>
      <c r="F65" s="50"/>
      <c r="G65" s="50"/>
      <c r="H65" s="50"/>
      <c r="I65" s="50"/>
      <c r="J65" s="50"/>
      <c r="K65" s="50"/>
      <c r="L65" s="37"/>
      <c r="M65" s="237"/>
      <c r="N65" s="237"/>
      <c r="O65" s="246"/>
    </row>
    <row r="66" spans="1:15" ht="22.5" customHeight="1">
      <c r="A66" s="28" t="s">
        <v>430</v>
      </c>
      <c r="B66" s="304" t="s">
        <v>788</v>
      </c>
      <c r="C66" s="311"/>
      <c r="D66" s="312"/>
      <c r="E66" s="76" t="s">
        <v>897</v>
      </c>
      <c r="F66" s="304" t="s">
        <v>400</v>
      </c>
      <c r="G66" s="305"/>
      <c r="H66" s="57" t="s">
        <v>6</v>
      </c>
      <c r="J66" s="5"/>
      <c r="K66" s="5"/>
      <c r="L66" s="37"/>
      <c r="M66" s="83"/>
      <c r="N66" s="238"/>
      <c r="O66" s="246"/>
    </row>
    <row r="67" spans="1:15" ht="24.75" customHeight="1">
      <c r="A67" s="7"/>
      <c r="B67" s="7" t="s">
        <v>789</v>
      </c>
      <c r="C67" s="8" t="s">
        <v>790</v>
      </c>
      <c r="D67" s="9" t="s">
        <v>791</v>
      </c>
      <c r="E67" s="71"/>
      <c r="F67" s="7" t="s">
        <v>305</v>
      </c>
      <c r="G67" s="9" t="s">
        <v>306</v>
      </c>
      <c r="H67" s="7" t="s">
        <v>431</v>
      </c>
      <c r="I67" s="15" t="s">
        <v>423</v>
      </c>
      <c r="J67" s="8" t="s">
        <v>424</v>
      </c>
      <c r="K67" s="49" t="s">
        <v>428</v>
      </c>
      <c r="L67" s="39"/>
      <c r="M67" s="20"/>
      <c r="N67" s="20"/>
      <c r="O67" s="246"/>
    </row>
    <row r="68" spans="1:15" ht="12.75" customHeight="1">
      <c r="A68" s="28" t="s">
        <v>753</v>
      </c>
      <c r="B68" s="28">
        <v>6474</v>
      </c>
      <c r="C68" s="5">
        <v>6474</v>
      </c>
      <c r="D68" s="6">
        <v>6474</v>
      </c>
      <c r="E68" s="70">
        <f>IF($B$65-H68&gt;=$C$7,2,IF($B$65-H68&gt;=$C$7*2/3,3,IF($B$65-H68&gt;=$C$7*1/3,4,IF($B$65-H68&gt;=0,5,8))))</f>
        <v>8</v>
      </c>
      <c r="F68" s="130">
        <f>MAX($C$10,MIN($C$11,($C$14+($C$11-$C$14)*($B$65-H68)/$C$7)))</f>
        <v>0</v>
      </c>
      <c r="G68" s="131">
        <f>MAX($D$10,MIN($D$11,($D$14+($D$11-$D$14)*($B$65-H68)/$C$7)))</f>
        <v>5</v>
      </c>
      <c r="H68" s="15">
        <v>1950</v>
      </c>
      <c r="I68" s="5" t="s">
        <v>426</v>
      </c>
      <c r="J68" s="5" t="s">
        <v>303</v>
      </c>
      <c r="K68" s="75" t="s">
        <v>869</v>
      </c>
      <c r="L68" s="36"/>
      <c r="M68" s="217"/>
      <c r="N68" s="217"/>
      <c r="O68" s="246"/>
    </row>
    <row r="69" spans="1:15" ht="12.75">
      <c r="A69" s="10" t="s">
        <v>635</v>
      </c>
      <c r="B69" s="10">
        <f>SUM(B71:B81)</f>
        <v>17388</v>
      </c>
      <c r="C69" s="11">
        <f>SUM(C71:C81)</f>
        <v>17388</v>
      </c>
      <c r="D69" s="12">
        <f>SUM(D71:D81)</f>
        <v>17388</v>
      </c>
      <c r="E69" s="70"/>
      <c r="F69" s="176"/>
      <c r="G69" s="98"/>
      <c r="H69" s="11"/>
      <c r="I69" s="11"/>
      <c r="J69" s="40"/>
      <c r="K69" s="45"/>
      <c r="L69" s="36"/>
      <c r="M69" s="217"/>
      <c r="N69" s="217"/>
      <c r="O69" s="246"/>
    </row>
    <row r="70" spans="1:15" ht="12.75">
      <c r="A70" s="10" t="s">
        <v>636</v>
      </c>
      <c r="B70" s="10"/>
      <c r="C70" s="11"/>
      <c r="D70" s="12"/>
      <c r="E70" s="70"/>
      <c r="F70" s="176"/>
      <c r="G70" s="98"/>
      <c r="H70" s="11"/>
      <c r="I70" s="11"/>
      <c r="J70" s="40"/>
      <c r="K70" s="45"/>
      <c r="L70" s="36"/>
      <c r="M70" s="217"/>
      <c r="N70" s="217"/>
      <c r="O70" s="246"/>
    </row>
    <row r="71" spans="1:15" ht="12" customHeight="1">
      <c r="A71" s="10" t="s">
        <v>754</v>
      </c>
      <c r="B71" s="10">
        <v>3947</v>
      </c>
      <c r="C71" s="11">
        <v>5000</v>
      </c>
      <c r="D71" s="12">
        <v>5000</v>
      </c>
      <c r="E71" s="70">
        <f>IF($B$65-H71&gt;=$C$7,2,IF($B$65-H71&gt;=$C$7*2/3,3,IF($B$65-H71&gt;=$C$7*1/3,4,IF($B$65-H71&gt;=0,5,8))))</f>
        <v>8</v>
      </c>
      <c r="F71" s="130">
        <f>MAX($C$10,MIN($C$11,($C$14+($C$11-$C$14)*($B$65-H71)/$C$7)))</f>
        <v>0</v>
      </c>
      <c r="G71" s="131">
        <f>MAX($D$10,MIN($D$11,($D$14+($D$11-$D$14)*($B$65-H71)/$C$7)))</f>
        <v>5</v>
      </c>
      <c r="H71" s="15">
        <v>1950</v>
      </c>
      <c r="I71" s="11" t="s">
        <v>426</v>
      </c>
      <c r="J71" s="40" t="s">
        <v>303</v>
      </c>
      <c r="K71" s="45" t="s">
        <v>781</v>
      </c>
      <c r="L71" s="36"/>
      <c r="M71" s="217"/>
      <c r="N71" s="217"/>
      <c r="O71" s="246"/>
    </row>
    <row r="72" spans="1:15" ht="12.75" customHeight="1">
      <c r="A72" s="10" t="s">
        <v>792</v>
      </c>
      <c r="B72" s="10">
        <v>4390</v>
      </c>
      <c r="C72" s="11">
        <v>4500</v>
      </c>
      <c r="D72" s="12">
        <v>3000</v>
      </c>
      <c r="E72" s="70">
        <f>IF($B$65-H72&gt;=$C$7,2,IF($B$65-H72&gt;=$C$7*2/3,3,IF($B$65-H72&gt;=$C$7*1/3,4,IF($B$65-H72&gt;=0,5,8))))</f>
        <v>8</v>
      </c>
      <c r="F72" s="130">
        <f>MAX($C$10,MIN($C$11,($C$14+($C$11-$C$14)*($B$65-H72)/$C$7)))</f>
        <v>0</v>
      </c>
      <c r="G72" s="131">
        <f>MAX($D$10,MIN($D$11,($D$14+($D$11-$D$14)*($B$65-H72)/$C$7)))</f>
        <v>5</v>
      </c>
      <c r="H72" s="15">
        <v>1950</v>
      </c>
      <c r="I72" s="11" t="s">
        <v>426</v>
      </c>
      <c r="J72" s="40" t="s">
        <v>303</v>
      </c>
      <c r="K72" s="45" t="s">
        <v>870</v>
      </c>
      <c r="L72" s="36"/>
      <c r="M72" s="217"/>
      <c r="N72" s="217"/>
      <c r="O72" s="246"/>
    </row>
    <row r="73" spans="1:15" ht="12.75">
      <c r="A73" s="10" t="s">
        <v>800</v>
      </c>
      <c r="B73" s="10">
        <v>2416</v>
      </c>
      <c r="C73" s="11">
        <v>4500</v>
      </c>
      <c r="D73" s="12">
        <v>6000</v>
      </c>
      <c r="E73" s="236">
        <v>1</v>
      </c>
      <c r="F73" s="176">
        <f>$C$12</f>
        <v>97</v>
      </c>
      <c r="G73" s="98">
        <f>$D$12</f>
        <v>99</v>
      </c>
      <c r="H73" s="15"/>
      <c r="I73" s="11"/>
      <c r="J73" s="45" t="s">
        <v>411</v>
      </c>
      <c r="K73" s="45" t="s">
        <v>698</v>
      </c>
      <c r="L73" s="36"/>
      <c r="M73" s="217"/>
      <c r="N73" s="217"/>
      <c r="O73" s="246"/>
    </row>
    <row r="74" spans="1:15" ht="12.75" customHeight="1">
      <c r="A74" s="10" t="s">
        <v>756</v>
      </c>
      <c r="B74" s="10">
        <v>2042</v>
      </c>
      <c r="C74" s="11">
        <v>1000</v>
      </c>
      <c r="D74" s="12">
        <v>1000</v>
      </c>
      <c r="E74" s="70">
        <f>IF($B$65-H74&gt;=$C$7,2,IF($B$65-H74&gt;=$C$7*2/3,3,IF($B$65-H74&gt;=$C$7*1/3,4,IF($B$65-H74&gt;=0,5,8))))</f>
        <v>8</v>
      </c>
      <c r="F74" s="130">
        <f>MAX($C$10,MIN($C$11,($C$14+($C$11-$C$14)*($B$65-H74)/$C$7)))</f>
        <v>0</v>
      </c>
      <c r="G74" s="131">
        <f>MAX($D$10,MIN($D$11,($D$14+($D$11-$D$14)*($B$65-H74)/$C$7)))</f>
        <v>5</v>
      </c>
      <c r="H74" s="15">
        <v>1960</v>
      </c>
      <c r="I74" s="11" t="s">
        <v>426</v>
      </c>
      <c r="J74" s="40" t="s">
        <v>303</v>
      </c>
      <c r="K74" s="45" t="s">
        <v>782</v>
      </c>
      <c r="L74" s="36"/>
      <c r="M74" s="217"/>
      <c r="N74" s="217"/>
      <c r="O74" s="246"/>
    </row>
    <row r="75" spans="1:15" ht="13.5" customHeight="1">
      <c r="A75" s="10" t="s">
        <v>759</v>
      </c>
      <c r="B75" s="10">
        <v>136</v>
      </c>
      <c r="C75" s="11">
        <v>108</v>
      </c>
      <c r="D75" s="12">
        <v>108</v>
      </c>
      <c r="E75" s="70">
        <f>IF($B$65-H75&gt;=$C$7,2,IF($B$65-H75&gt;=$C$7*2/3,3,IF($B$65-H75&gt;=$C$7*1/3,4,IF($B$65-H75&gt;=0,5,8))))</f>
        <v>5</v>
      </c>
      <c r="F75" s="130">
        <f>MAX($C$10,MIN($C$11,($C$14+($C$11-$C$14)*($B$65-H75)/$C$7)))</f>
        <v>23.711111111111112</v>
      </c>
      <c r="G75" s="131">
        <f>MAX($D$10,MIN($D$11,($D$14+($D$11-$D$14)*($B$65-H75)/$C$7)))</f>
        <v>39.31111111111111</v>
      </c>
      <c r="H75" s="11">
        <v>1925</v>
      </c>
      <c r="I75" s="11" t="s">
        <v>426</v>
      </c>
      <c r="J75" s="40" t="s">
        <v>303</v>
      </c>
      <c r="K75" s="45" t="s">
        <v>868</v>
      </c>
      <c r="L75" s="36"/>
      <c r="M75" s="217"/>
      <c r="N75" s="217"/>
      <c r="O75" s="246"/>
    </row>
    <row r="76" spans="1:15" ht="23.25" customHeight="1">
      <c r="A76" s="10" t="s">
        <v>793</v>
      </c>
      <c r="B76" s="10">
        <v>2042</v>
      </c>
      <c r="C76" s="11">
        <v>1000</v>
      </c>
      <c r="D76" s="12">
        <v>1000</v>
      </c>
      <c r="E76" s="70">
        <f>IF($B$65-H76&gt;=$C$7,2,IF($B$65-H76&gt;=$C$7*2/3,3,IF($B$65-H76&gt;=$C$7*1/3,4,5)))</f>
        <v>4</v>
      </c>
      <c r="F76" s="130">
        <f>MAX($C$15,MIN($C$11,($C$15+($C$11-$C$15)*($B$65-H76)/$C$8)))</f>
        <v>70.4</v>
      </c>
      <c r="G76" s="131">
        <f>MAX($D$15,MIN($D$11,($D$15+($D$11-$D$15)*($B$65-H76)/$C$8)))</f>
        <v>80.8</v>
      </c>
      <c r="H76" s="15">
        <v>1920</v>
      </c>
      <c r="I76" s="11" t="s">
        <v>427</v>
      </c>
      <c r="J76" s="40" t="s">
        <v>412</v>
      </c>
      <c r="K76" s="45" t="s">
        <v>784</v>
      </c>
      <c r="L76" s="36"/>
      <c r="M76" s="217"/>
      <c r="N76" s="217"/>
      <c r="O76" s="246"/>
    </row>
    <row r="77" spans="1:15" ht="14.25" customHeight="1">
      <c r="A77" s="10" t="s">
        <v>757</v>
      </c>
      <c r="B77" s="10">
        <v>1089</v>
      </c>
      <c r="C77" s="11">
        <v>580</v>
      </c>
      <c r="D77" s="12">
        <v>580</v>
      </c>
      <c r="E77" s="70">
        <f>IF($B$65-H77&gt;=$C$7,2,IF($B$65-H77&gt;=$C$7*2/3,3,IF($B$65-H77&gt;=$C$7*1/3,4,IF($B$65-H77&gt;=0,5,8))))</f>
        <v>8</v>
      </c>
      <c r="F77" s="130">
        <f>MAX($C$10,MIN($C$11,($C$14+($C$11-$C$14)*($B$65-H77)/$C$7)))</f>
        <v>0</v>
      </c>
      <c r="G77" s="131">
        <f>MAX($D$10,MIN($D$11,($D$14+($D$11-$D$14)*($B$65-H77)/$C$7)))</f>
        <v>5</v>
      </c>
      <c r="H77" s="15">
        <v>1950</v>
      </c>
      <c r="I77" s="11" t="s">
        <v>426</v>
      </c>
      <c r="J77" s="40" t="s">
        <v>303</v>
      </c>
      <c r="K77" s="45" t="s">
        <v>783</v>
      </c>
      <c r="L77" s="36"/>
      <c r="M77" s="217"/>
      <c r="N77" s="217"/>
      <c r="O77" s="246"/>
    </row>
    <row r="78" spans="1:15" ht="13.5" customHeight="1">
      <c r="A78" s="10" t="s">
        <v>761</v>
      </c>
      <c r="B78" s="10">
        <v>44</v>
      </c>
      <c r="C78" s="11">
        <v>50</v>
      </c>
      <c r="D78" s="12">
        <v>50</v>
      </c>
      <c r="E78" s="70">
        <f>IF($B$65-H78&gt;=$C$7,2,IF($B$65-H78&gt;=$C$7*2/3,3,IF($B$65-H78&gt;=$C$7*1/3,4,IF($B$65-H78&gt;=0,5,8))))</f>
        <v>8</v>
      </c>
      <c r="F78" s="130">
        <f>MAX($C$10,MIN($C$11,($C$14+($C$11-$C$14)*($B$65-H78)/$C$7)))</f>
        <v>0</v>
      </c>
      <c r="G78" s="131">
        <f>MAX($D$10,MIN($D$11,($D$14+($D$11-$D$14)*($B$65-H78)/$C$7)))</f>
        <v>5</v>
      </c>
      <c r="H78" s="15">
        <v>1950</v>
      </c>
      <c r="I78" s="11" t="s">
        <v>426</v>
      </c>
      <c r="J78" s="40" t="s">
        <v>303</v>
      </c>
      <c r="K78" s="45" t="s">
        <v>783</v>
      </c>
      <c r="L78" s="36"/>
      <c r="M78" s="217"/>
      <c r="N78" s="217"/>
      <c r="O78" s="246"/>
    </row>
    <row r="79" spans="1:15" ht="12.75">
      <c r="A79" s="10" t="s">
        <v>622</v>
      </c>
      <c r="B79" s="10">
        <v>500</v>
      </c>
      <c r="C79" s="11">
        <v>250</v>
      </c>
      <c r="D79" s="12">
        <v>250</v>
      </c>
      <c r="E79" s="236">
        <v>1</v>
      </c>
      <c r="F79" s="176">
        <f>$C$12</f>
        <v>97</v>
      </c>
      <c r="G79" s="98">
        <f>$D$12</f>
        <v>99</v>
      </c>
      <c r="H79" s="15"/>
      <c r="I79" s="11"/>
      <c r="J79" s="45" t="s">
        <v>411</v>
      </c>
      <c r="K79" s="45" t="s">
        <v>785</v>
      </c>
      <c r="L79" s="36"/>
      <c r="M79" s="217"/>
      <c r="N79" s="217"/>
      <c r="O79" s="246"/>
    </row>
    <row r="80" spans="1:15" ht="14.25" customHeight="1">
      <c r="A80" s="10" t="s">
        <v>794</v>
      </c>
      <c r="B80" s="10">
        <v>510</v>
      </c>
      <c r="C80" s="11">
        <v>250</v>
      </c>
      <c r="D80" s="12">
        <v>250</v>
      </c>
      <c r="E80" s="70">
        <f>IF($B$65-H80&gt;=$C$7,2,IF($B$65-H80&gt;=$C$7*2/3,3,IF($B$65-H80&gt;=$C$7*1/3,4,5)))</f>
        <v>4</v>
      </c>
      <c r="F80" s="130">
        <f>MAX($C$15,MIN($C$11,($C$15+($C$11-$C$15)*($B$65-H80)/($C$8+30))))</f>
        <v>55.2</v>
      </c>
      <c r="G80" s="131">
        <f>MAX($D$15,MIN($D$11,($D$15+($D$11-$D$15)*($B$65-H80)/($C$8+30))))</f>
        <v>70.4</v>
      </c>
      <c r="H80" s="15">
        <v>1920</v>
      </c>
      <c r="I80" s="11" t="s">
        <v>427</v>
      </c>
      <c r="J80" s="40" t="s">
        <v>412</v>
      </c>
      <c r="K80" s="45" t="s">
        <v>786</v>
      </c>
      <c r="L80" s="36"/>
      <c r="M80" s="217"/>
      <c r="N80" s="217"/>
      <c r="O80" s="246"/>
    </row>
    <row r="81" spans="1:15" ht="14.25" customHeight="1">
      <c r="A81" s="10" t="s">
        <v>795</v>
      </c>
      <c r="B81" s="10">
        <v>272</v>
      </c>
      <c r="C81" s="11">
        <v>150</v>
      </c>
      <c r="D81" s="12">
        <v>150</v>
      </c>
      <c r="E81" s="70">
        <f>IF($B$65-H81&gt;=$C$7,2,IF($B$65-H81&gt;=$C$7*2/3,3,IF($B$65-H81&gt;=$C$7*1/3,4,IF($B$65-H81&gt;=0,5,8))))</f>
        <v>8</v>
      </c>
      <c r="F81" s="130">
        <f>MAX($C$10,MIN($C$11,($C$14+($C$11-$C$14)*($B$65-H81)/$C$7)))</f>
        <v>0</v>
      </c>
      <c r="G81" s="131">
        <f>MAX($D$10,MIN($D$11,($D$14+($D$11-$D$14)*($B$65-H81)/$C$7)))</f>
        <v>5</v>
      </c>
      <c r="H81" s="122">
        <v>1970</v>
      </c>
      <c r="I81" s="11" t="s">
        <v>426</v>
      </c>
      <c r="J81" s="11" t="s">
        <v>303</v>
      </c>
      <c r="K81" s="45" t="s">
        <v>871</v>
      </c>
      <c r="L81" s="36"/>
      <c r="M81" s="217"/>
      <c r="N81" s="217"/>
      <c r="O81" s="246"/>
    </row>
    <row r="82" spans="1:15" ht="12.75">
      <c r="A82" s="10" t="s">
        <v>368</v>
      </c>
      <c r="B82" s="10">
        <v>23862</v>
      </c>
      <c r="C82" s="11">
        <v>23862</v>
      </c>
      <c r="D82" s="12">
        <v>23862</v>
      </c>
      <c r="E82" s="70"/>
      <c r="F82" s="176"/>
      <c r="G82" s="98"/>
      <c r="H82" s="11"/>
      <c r="I82" s="11"/>
      <c r="J82" s="11"/>
      <c r="K82" s="45"/>
      <c r="L82" s="36"/>
      <c r="M82" s="217"/>
      <c r="N82" s="217"/>
      <c r="O82" s="246"/>
    </row>
    <row r="83" spans="1:15" ht="22.5">
      <c r="A83" s="231" t="s">
        <v>20</v>
      </c>
      <c r="B83" s="13"/>
      <c r="C83" s="13"/>
      <c r="D83" s="13"/>
      <c r="E83" s="120"/>
      <c r="F83" s="207">
        <f>SUMPRODUCT(B68:B81,F68:F81)/B82</f>
        <v>19.193089896534705</v>
      </c>
      <c r="G83" s="230">
        <f>SUMPRODUCT(B68:B81,G68:G81)/B82</f>
        <v>24.56700658415519</v>
      </c>
      <c r="H83" s="11"/>
      <c r="I83" s="11"/>
      <c r="J83" s="11"/>
      <c r="K83" s="45"/>
      <c r="L83" s="36"/>
      <c r="M83" s="135"/>
      <c r="N83" s="135"/>
      <c r="O83" s="246"/>
    </row>
    <row r="84" spans="1:15" ht="12.75">
      <c r="A84" s="231" t="s">
        <v>21</v>
      </c>
      <c r="B84" s="13"/>
      <c r="C84" s="13"/>
      <c r="D84" s="13"/>
      <c r="E84" s="120"/>
      <c r="F84" s="207">
        <f>SUMPRODUCT(C68:C81,F68:F81)/C82</f>
        <v>22.94488307769676</v>
      </c>
      <c r="G84" s="230">
        <f>SUMPRODUCT(C68:C81,G68:G81)/C82</f>
        <v>27.7288408348001</v>
      </c>
      <c r="H84" s="11"/>
      <c r="I84" s="11"/>
      <c r="J84" s="11"/>
      <c r="K84" s="45"/>
      <c r="L84" s="36"/>
      <c r="M84" s="135"/>
      <c r="N84" s="135"/>
      <c r="O84" s="246"/>
    </row>
    <row r="85" spans="1:15" ht="12.75">
      <c r="A85" s="123" t="s">
        <v>22</v>
      </c>
      <c r="B85" s="13"/>
      <c r="C85" s="13"/>
      <c r="D85" s="13"/>
      <c r="E85" s="120"/>
      <c r="F85" s="207">
        <f>SUMPRODUCT(D68:D81,F68:F81)/D82</f>
        <v>29.042444053306514</v>
      </c>
      <c r="G85" s="230">
        <f>SUMPRODUCT(D68:D81,G68:G81)/D82</f>
        <v>33.63781745033945</v>
      </c>
      <c r="H85" s="11"/>
      <c r="I85" s="11"/>
      <c r="J85" s="11"/>
      <c r="K85" s="45"/>
      <c r="L85" s="36"/>
      <c r="M85" s="135"/>
      <c r="N85" s="135"/>
      <c r="O85" s="246"/>
    </row>
    <row r="86" spans="1:15" ht="13.5" customHeight="1">
      <c r="A86" s="125" t="s">
        <v>796</v>
      </c>
      <c r="B86" s="177"/>
      <c r="C86" s="177"/>
      <c r="D86" s="177"/>
      <c r="E86" s="225"/>
      <c r="F86" s="124">
        <f>MIN(F83:F85)</f>
        <v>19.193089896534705</v>
      </c>
      <c r="G86" s="115">
        <f>MAX(G83:G85)</f>
        <v>33.63781745033945</v>
      </c>
      <c r="H86" s="8"/>
      <c r="I86" s="8"/>
      <c r="J86" s="8"/>
      <c r="K86" s="49"/>
      <c r="L86" s="39"/>
      <c r="M86" s="20"/>
      <c r="N86" s="20"/>
      <c r="O86" s="246"/>
    </row>
    <row r="87" spans="1:14" ht="12.75" customHeight="1">
      <c r="A87" s="181" t="s">
        <v>907</v>
      </c>
      <c r="B87" s="5"/>
      <c r="C87" s="182" t="s">
        <v>908</v>
      </c>
      <c r="D87" s="183"/>
      <c r="E87" s="213"/>
      <c r="F87" s="135"/>
      <c r="G87" s="135"/>
      <c r="H87" s="15"/>
      <c r="I87" s="11"/>
      <c r="J87" s="45"/>
      <c r="L87" s="15"/>
      <c r="M87" s="15"/>
      <c r="N87" s="22"/>
    </row>
    <row r="88" spans="1:14" ht="12" customHeight="1">
      <c r="A88" s="31" t="s">
        <v>898</v>
      </c>
      <c r="B88" s="30">
        <f>SUMIF($E$68:$E$81,"1",$B$68:$B$81)</f>
        <v>2916</v>
      </c>
      <c r="C88" s="122">
        <v>1</v>
      </c>
      <c r="D88" s="216">
        <f>B88+B89+B93</f>
        <v>2916</v>
      </c>
      <c r="E88" s="47"/>
      <c r="F88" s="135"/>
      <c r="G88" s="135"/>
      <c r="H88" s="15"/>
      <c r="I88" s="11"/>
      <c r="J88" s="45"/>
      <c r="L88" s="15"/>
      <c r="M88" s="15"/>
      <c r="N88" s="22"/>
    </row>
    <row r="89" spans="1:14" ht="11.25" customHeight="1">
      <c r="A89" s="31" t="s">
        <v>903</v>
      </c>
      <c r="B89" s="30">
        <f>SUMIF($E$68:$E$81,"2",$B$68:$B$81)</f>
        <v>0</v>
      </c>
      <c r="C89" s="122">
        <v>2</v>
      </c>
      <c r="D89" s="216">
        <f>B94</f>
        <v>0</v>
      </c>
      <c r="E89" s="47"/>
      <c r="F89" s="135"/>
      <c r="G89" s="135"/>
      <c r="H89" s="15"/>
      <c r="I89" s="11"/>
      <c r="J89" s="45"/>
      <c r="L89" s="15"/>
      <c r="M89" s="15"/>
      <c r="N89" s="22"/>
    </row>
    <row r="90" spans="1:14" ht="11.25" customHeight="1">
      <c r="A90" s="31" t="s">
        <v>902</v>
      </c>
      <c r="B90" s="30">
        <f>SUMIF($E$68:$E$81,"3",$B$68:$B$81)</f>
        <v>0</v>
      </c>
      <c r="C90" s="122">
        <v>3</v>
      </c>
      <c r="D90" s="216">
        <f>B90</f>
        <v>0</v>
      </c>
      <c r="E90" s="47"/>
      <c r="F90" s="135"/>
      <c r="G90" s="135"/>
      <c r="H90" s="15"/>
      <c r="I90" s="11"/>
      <c r="J90" s="45"/>
      <c r="L90" s="15"/>
      <c r="M90" s="15"/>
      <c r="N90" s="22"/>
    </row>
    <row r="91" spans="1:14" ht="11.25" customHeight="1">
      <c r="A91" s="31" t="s">
        <v>904</v>
      </c>
      <c r="B91" s="30">
        <f>SUMIF($E$68:$E$81,"4",$B$68:$B$81)</f>
        <v>2552</v>
      </c>
      <c r="C91" s="122">
        <v>4</v>
      </c>
      <c r="D91" s="216">
        <f>B91</f>
        <v>2552</v>
      </c>
      <c r="E91" s="47"/>
      <c r="F91" s="135"/>
      <c r="G91" s="135"/>
      <c r="H91" s="15"/>
      <c r="I91" s="11"/>
      <c r="J91" s="45"/>
      <c r="L91" s="15"/>
      <c r="M91" s="15"/>
      <c r="N91" s="22"/>
    </row>
    <row r="92" spans="1:14" ht="12.75" customHeight="1">
      <c r="A92" s="31" t="s">
        <v>905</v>
      </c>
      <c r="B92" s="30">
        <f>SUMIF($E$68:$E$81,"5",$B$68:$B$81)</f>
        <v>136</v>
      </c>
      <c r="C92" s="122">
        <v>5</v>
      </c>
      <c r="D92" s="216">
        <f>B92</f>
        <v>136</v>
      </c>
      <c r="E92" s="47"/>
      <c r="F92" s="135"/>
      <c r="G92" s="135"/>
      <c r="H92" s="15"/>
      <c r="I92" s="11"/>
      <c r="J92" s="45"/>
      <c r="L92" s="15"/>
      <c r="M92" s="15"/>
      <c r="N92" s="22"/>
    </row>
    <row r="93" spans="1:14" ht="12" customHeight="1">
      <c r="A93" s="31" t="s">
        <v>900</v>
      </c>
      <c r="B93" s="30">
        <f>SUMIF($E$68:$E$81,"6",$B$68:$B$81)</f>
        <v>0</v>
      </c>
      <c r="C93" s="122">
        <v>6</v>
      </c>
      <c r="D93" s="216">
        <f>B95</f>
        <v>18258</v>
      </c>
      <c r="E93" s="47"/>
      <c r="F93" s="135"/>
      <c r="G93" s="135"/>
      <c r="H93" s="15"/>
      <c r="I93" s="11"/>
      <c r="J93" s="45"/>
      <c r="L93" s="15"/>
      <c r="M93" s="15"/>
      <c r="N93" s="22"/>
    </row>
    <row r="94" spans="1:14" ht="12" customHeight="1">
      <c r="A94" s="31" t="s">
        <v>899</v>
      </c>
      <c r="B94" s="30">
        <f>SUMIF($E$68:$E$81,"7",$B$68:$B$81)</f>
        <v>0</v>
      </c>
      <c r="C94" s="122">
        <v>7</v>
      </c>
      <c r="D94" s="216">
        <f>B96</f>
        <v>0</v>
      </c>
      <c r="E94" s="47"/>
      <c r="F94" s="135"/>
      <c r="G94" s="135"/>
      <c r="H94" s="15"/>
      <c r="I94" s="11"/>
      <c r="J94" s="45"/>
      <c r="L94" s="15"/>
      <c r="M94" s="15"/>
      <c r="N94" s="22"/>
    </row>
    <row r="95" spans="1:14" ht="12" customHeight="1">
      <c r="A95" s="31" t="s">
        <v>901</v>
      </c>
      <c r="B95" s="30">
        <f>SUMIF($E$68:$E$81,"8",$B$68:$B$81)</f>
        <v>18258</v>
      </c>
      <c r="C95" s="36"/>
      <c r="D95" s="221"/>
      <c r="E95" s="47"/>
      <c r="F95" s="135"/>
      <c r="G95" s="135"/>
      <c r="H95" s="15"/>
      <c r="I95" s="11"/>
      <c r="J95" s="45"/>
      <c r="L95" s="15"/>
      <c r="M95" s="15"/>
      <c r="N95" s="22"/>
    </row>
    <row r="96" spans="1:14" ht="11.25" customHeight="1">
      <c r="A96" s="31" t="s">
        <v>906</v>
      </c>
      <c r="B96" s="30">
        <f>SUMIF($E$68:$E$81,"9",$B$68:$B$81)</f>
        <v>0</v>
      </c>
      <c r="C96" s="36"/>
      <c r="D96" s="217"/>
      <c r="E96" s="16"/>
      <c r="F96" s="135"/>
      <c r="G96" s="135"/>
      <c r="H96" s="15"/>
      <c r="I96" s="11"/>
      <c r="J96" s="45"/>
      <c r="L96" s="15"/>
      <c r="M96" s="15"/>
      <c r="N96" s="22"/>
    </row>
    <row r="97" spans="1:14" ht="13.5" customHeight="1">
      <c r="A97" s="173" t="s">
        <v>368</v>
      </c>
      <c r="B97" s="215">
        <f>SUM(B88:B96)</f>
        <v>23862</v>
      </c>
      <c r="C97" s="39"/>
      <c r="D97" s="215">
        <f>SUM(D88:D96)</f>
        <v>23862</v>
      </c>
      <c r="E97" s="21"/>
      <c r="F97" s="135"/>
      <c r="G97" s="135"/>
      <c r="H97" s="15"/>
      <c r="I97" s="11"/>
      <c r="J97" s="45"/>
      <c r="L97" s="15"/>
      <c r="M97" s="15"/>
      <c r="N97" s="22"/>
    </row>
    <row r="99" spans="1:12" ht="111.75" customHeight="1">
      <c r="A99" s="301" t="s">
        <v>536</v>
      </c>
      <c r="B99" s="309"/>
      <c r="C99" s="309"/>
      <c r="D99" s="309"/>
      <c r="E99" s="309"/>
      <c r="F99" s="309"/>
      <c r="G99" s="309"/>
      <c r="H99" s="309"/>
      <c r="I99" s="309"/>
      <c r="J99" s="309"/>
      <c r="K99" s="302"/>
      <c r="L99" s="303"/>
    </row>
    <row r="103" spans="1:10" ht="15.75">
      <c r="A103" s="90" t="s">
        <v>798</v>
      </c>
      <c r="B103" s="2"/>
      <c r="C103" s="2"/>
      <c r="D103" s="2"/>
      <c r="E103" s="33"/>
      <c r="F103" s="2"/>
      <c r="G103" s="2"/>
      <c r="H103" s="2"/>
      <c r="I103" s="2"/>
      <c r="J103" s="2"/>
    </row>
    <row r="104" spans="1:13" ht="15.75">
      <c r="A104" s="4" t="s">
        <v>799</v>
      </c>
      <c r="B104" s="63">
        <v>1958</v>
      </c>
      <c r="C104" s="75"/>
      <c r="D104" s="58"/>
      <c r="E104" s="27"/>
      <c r="F104" s="63">
        <v>1969</v>
      </c>
      <c r="G104" s="75"/>
      <c r="H104" s="58"/>
      <c r="I104" s="27"/>
      <c r="J104" s="50"/>
      <c r="K104" s="27"/>
      <c r="L104" s="27"/>
      <c r="M104" s="38"/>
    </row>
    <row r="105" spans="1:13" ht="22.5" customHeight="1">
      <c r="A105" s="28" t="s">
        <v>430</v>
      </c>
      <c r="B105" s="5" t="s">
        <v>370</v>
      </c>
      <c r="C105" s="76" t="s">
        <v>897</v>
      </c>
      <c r="D105" s="304" t="s">
        <v>400</v>
      </c>
      <c r="E105" s="305"/>
      <c r="F105" s="5" t="s">
        <v>370</v>
      </c>
      <c r="G105" s="76" t="s">
        <v>897</v>
      </c>
      <c r="H105" s="304" t="s">
        <v>400</v>
      </c>
      <c r="I105" s="305"/>
      <c r="J105" s="57" t="s">
        <v>6</v>
      </c>
      <c r="K105" s="5"/>
      <c r="L105" s="5"/>
      <c r="M105" s="6"/>
    </row>
    <row r="106" spans="1:13" ht="22.5">
      <c r="A106" s="7"/>
      <c r="B106" s="8"/>
      <c r="C106" s="71"/>
      <c r="D106" s="7" t="s">
        <v>305</v>
      </c>
      <c r="E106" s="9" t="s">
        <v>306</v>
      </c>
      <c r="F106" s="8"/>
      <c r="G106" s="71"/>
      <c r="H106" s="7" t="s">
        <v>305</v>
      </c>
      <c r="I106" s="9" t="s">
        <v>306</v>
      </c>
      <c r="J106" s="7" t="s">
        <v>431</v>
      </c>
      <c r="K106" s="8" t="s">
        <v>423</v>
      </c>
      <c r="L106" s="8" t="s">
        <v>424</v>
      </c>
      <c r="M106" s="44" t="s">
        <v>428</v>
      </c>
    </row>
    <row r="107" spans="1:13" ht="22.5">
      <c r="A107" s="28" t="s">
        <v>754</v>
      </c>
      <c r="B107" s="6">
        <v>11550</v>
      </c>
      <c r="C107" s="70">
        <f>IF($B$104-J107&gt;=$C$7,2,IF($B$104-J107&gt;=$C$7*2/3,3,IF($B$104-J107&gt;=$C$7*1/3,4,IF($B$104-J107&gt;=0,5,8))))</f>
        <v>5</v>
      </c>
      <c r="D107" s="130">
        <f>MAX($C$10,MIN($C$11,($C$14+($C$11-$C$14)*($B$104-J107)/$C$7)))</f>
        <v>17.244444444444444</v>
      </c>
      <c r="E107" s="131">
        <f>MAX($D$10,MIN($D$11,($D$14+($D$11-$D$14)*($B$104-J107)/$C$7)))</f>
        <v>34.044444444444444</v>
      </c>
      <c r="F107" s="76">
        <v>25064</v>
      </c>
      <c r="G107" s="70">
        <f>IF($F$104-J107&gt;=$C$7,2,IF($F$104-J107&gt;=$C$7*2/3,3,IF($F$104-J107&gt;=$C$7*1/3,4,IF($F$104-J107&gt;=0,5,8))))</f>
        <v>4</v>
      </c>
      <c r="H107" s="130">
        <f>MAX($C$10,MIN($C$11,($C$14+($C$11-$C$14)*($F$104-J107)/$C$7)))</f>
        <v>40.955555555555556</v>
      </c>
      <c r="I107" s="131">
        <f>MAX($D$10,MIN($D$11,($D$14+($D$11-$D$14)*($F$104-J107)/$C$7)))</f>
        <v>53.355555555555554</v>
      </c>
      <c r="J107" s="5">
        <v>1950</v>
      </c>
      <c r="K107" s="5" t="s">
        <v>426</v>
      </c>
      <c r="L107" s="5" t="s">
        <v>303</v>
      </c>
      <c r="M107" s="12" t="s">
        <v>781</v>
      </c>
    </row>
    <row r="108" spans="1:13" ht="14.25" customHeight="1">
      <c r="A108" s="10" t="s">
        <v>801</v>
      </c>
      <c r="B108" s="12">
        <v>10100</v>
      </c>
      <c r="C108" s="70">
        <f>IF($B$104-J108&gt;=$C$7,2,IF($B$104-J108&gt;=$C$7*2/3,3,IF($B$104-J108&gt;=$C$7*1/3,4,5)))</f>
        <v>3</v>
      </c>
      <c r="D108" s="130">
        <f>MAX($C$15,MIN($C$11,($C$15+($C$11-$C$15)*($B$104-J108)/($C$8+30))))</f>
        <v>76.1</v>
      </c>
      <c r="E108" s="131">
        <f>MAX($D$15,MIN($D$11,($D$15+($D$11-$D$15)*($B$104-J108)/($C$8+30))))</f>
        <v>84.7</v>
      </c>
      <c r="F108" s="70">
        <v>24440</v>
      </c>
      <c r="G108" s="70">
        <f>IF($F$104-J108&gt;=$C$7,2,IF($F$104-J108&gt;=$C$7*2/3,3,IF($F$104-J108&gt;=$C$7*1/3,4,5)))</f>
        <v>2</v>
      </c>
      <c r="H108" s="130">
        <f>MAX($C$15,MIN($C$11,($C$15+($C$11-$C$15)*($F$104-J108)/($C$8+30))))</f>
        <v>86.55</v>
      </c>
      <c r="I108" s="131">
        <f>MAX($D$15,MIN($D$11,($D$15+($D$11-$D$15)*($F$104-J108)/($C$8+30))))</f>
        <v>91.85</v>
      </c>
      <c r="J108" s="11">
        <v>1920</v>
      </c>
      <c r="K108" s="11" t="s">
        <v>427</v>
      </c>
      <c r="L108" s="11" t="s">
        <v>412</v>
      </c>
      <c r="M108" s="12" t="s">
        <v>786</v>
      </c>
    </row>
    <row r="109" spans="1:13" ht="22.5">
      <c r="A109" s="10" t="s">
        <v>802</v>
      </c>
      <c r="B109" s="12">
        <v>18750</v>
      </c>
      <c r="C109" s="70">
        <v>1</v>
      </c>
      <c r="D109" s="176">
        <f>$C$12</f>
        <v>97</v>
      </c>
      <c r="E109" s="98">
        <f>$D$12</f>
        <v>99</v>
      </c>
      <c r="F109" s="70">
        <v>37336</v>
      </c>
      <c r="G109" s="70">
        <v>1</v>
      </c>
      <c r="H109" s="176">
        <f>$C$12</f>
        <v>97</v>
      </c>
      <c r="I109" s="98">
        <f>$D$12</f>
        <v>99</v>
      </c>
      <c r="J109" s="11"/>
      <c r="K109" s="11"/>
      <c r="L109" s="45" t="s">
        <v>411</v>
      </c>
      <c r="M109" s="12" t="s">
        <v>698</v>
      </c>
    </row>
    <row r="110" spans="1:13" ht="12.75">
      <c r="A110" s="10" t="s">
        <v>803</v>
      </c>
      <c r="B110" s="12"/>
      <c r="C110" s="70">
        <v>1</v>
      </c>
      <c r="D110" s="13"/>
      <c r="E110" s="14"/>
      <c r="F110" s="70">
        <v>10088</v>
      </c>
      <c r="G110" s="70">
        <v>1</v>
      </c>
      <c r="H110" s="176">
        <f>$C$12</f>
        <v>97</v>
      </c>
      <c r="I110" s="98">
        <f>$D$12</f>
        <v>99</v>
      </c>
      <c r="J110" s="11"/>
      <c r="K110" s="11"/>
      <c r="L110" s="45" t="s">
        <v>411</v>
      </c>
      <c r="M110" s="12" t="s">
        <v>772</v>
      </c>
    </row>
    <row r="111" spans="1:13" ht="22.5">
      <c r="A111" s="10" t="s">
        <v>804</v>
      </c>
      <c r="B111" s="12"/>
      <c r="C111" s="70">
        <v>5</v>
      </c>
      <c r="D111" s="13"/>
      <c r="E111" s="14"/>
      <c r="F111" s="70">
        <v>6864</v>
      </c>
      <c r="G111" s="70">
        <v>5</v>
      </c>
      <c r="H111" s="13">
        <v>47</v>
      </c>
      <c r="I111" s="14">
        <v>67</v>
      </c>
      <c r="J111" s="11"/>
      <c r="K111" s="11"/>
      <c r="L111" s="11"/>
      <c r="M111" s="12" t="s">
        <v>872</v>
      </c>
    </row>
    <row r="112" spans="1:13" ht="12.75">
      <c r="A112" s="10" t="s">
        <v>368</v>
      </c>
      <c r="B112" s="12">
        <f>SUM(B107:B111)</f>
        <v>40400</v>
      </c>
      <c r="C112" s="70"/>
      <c r="D112" s="97">
        <f>SUMPRODUCT(B107:B111,D107:D111)/100</f>
        <v>27865.33333333333</v>
      </c>
      <c r="E112" s="107">
        <f>SUMPRODUCT(B107:B111,E107:E111)/100</f>
        <v>31049.33333333333</v>
      </c>
      <c r="F112" s="70">
        <f>SUM(F107:F111)</f>
        <v>103792</v>
      </c>
      <c r="G112" s="70"/>
      <c r="H112" s="97">
        <f>SUMPRODUCT(F107:F111,H107:H111)/100</f>
        <v>80645.28044444445</v>
      </c>
      <c r="I112" s="107">
        <f>SUMPRODUCT(F107:F111,I107:I111)/100</f>
        <v>87369.81644444443</v>
      </c>
      <c r="J112" s="11"/>
      <c r="K112" s="11"/>
      <c r="L112" s="11"/>
      <c r="M112" s="12"/>
    </row>
    <row r="113" spans="1:13" ht="13.5" customHeight="1">
      <c r="A113" s="17" t="s">
        <v>369</v>
      </c>
      <c r="B113" s="9"/>
      <c r="C113" s="66"/>
      <c r="D113" s="18">
        <f>100*D112/B112</f>
        <v>68.97359735973596</v>
      </c>
      <c r="E113" s="19">
        <f>100*E112/B112</f>
        <v>76.85478547854785</v>
      </c>
      <c r="F113" s="66"/>
      <c r="G113" s="66"/>
      <c r="H113" s="18">
        <f>100*H112/F112</f>
        <v>77.69893676241372</v>
      </c>
      <c r="I113" s="19">
        <f>100*I112/F112</f>
        <v>84.17779447784457</v>
      </c>
      <c r="J113" s="8"/>
      <c r="K113" s="8"/>
      <c r="L113" s="8"/>
      <c r="M113" s="9"/>
    </row>
    <row r="114" spans="1:13" ht="13.5" customHeight="1">
      <c r="A114" s="181" t="s">
        <v>907</v>
      </c>
      <c r="B114" s="5"/>
      <c r="C114" s="182" t="s">
        <v>908</v>
      </c>
      <c r="D114" s="183"/>
      <c r="E114" s="213"/>
      <c r="F114" s="83"/>
      <c r="G114" s="182" t="s">
        <v>908</v>
      </c>
      <c r="H114" s="183"/>
      <c r="I114" s="194"/>
      <c r="J114" s="11"/>
      <c r="K114" s="11"/>
      <c r="L114" s="15"/>
      <c r="M114" s="11"/>
    </row>
    <row r="115" spans="1:13" ht="13.5" customHeight="1">
      <c r="A115" s="31" t="s">
        <v>898</v>
      </c>
      <c r="B115" s="97">
        <f>SUMIF($C$107:$C$111,"1",$B$107:$B$111)</f>
        <v>18750</v>
      </c>
      <c r="C115" s="122">
        <v>1</v>
      </c>
      <c r="D115" s="234">
        <f>B115+B116+B120</f>
        <v>18750</v>
      </c>
      <c r="E115" s="47"/>
      <c r="F115" s="97">
        <f>SUMIF($G$107:$G$111,"1",$F$107:$F$111)</f>
        <v>47424</v>
      </c>
      <c r="G115" s="122">
        <v>1</v>
      </c>
      <c r="H115" s="234">
        <f>F115+F116+F120</f>
        <v>71864</v>
      </c>
      <c r="I115" s="16"/>
      <c r="J115" s="11"/>
      <c r="K115" s="11"/>
      <c r="L115" s="15"/>
      <c r="M115" s="11"/>
    </row>
    <row r="116" spans="1:13" ht="12" customHeight="1">
      <c r="A116" s="31" t="s">
        <v>903</v>
      </c>
      <c r="B116" s="97">
        <f>SUMIF($C$107:$C$111,"2",$B$107:$B$111)</f>
        <v>0</v>
      </c>
      <c r="C116" s="122">
        <v>2</v>
      </c>
      <c r="D116" s="234">
        <f>B121</f>
        <v>0</v>
      </c>
      <c r="E116" s="47"/>
      <c r="F116" s="97">
        <f>SUMIF($G$107:$G$111,"2",$F$107:$F$111)</f>
        <v>24440</v>
      </c>
      <c r="G116" s="122">
        <v>2</v>
      </c>
      <c r="H116" s="234">
        <f>F121</f>
        <v>0</v>
      </c>
      <c r="I116" s="16"/>
      <c r="J116" s="11"/>
      <c r="K116" s="11"/>
      <c r="L116" s="15"/>
      <c r="M116" s="11"/>
    </row>
    <row r="117" spans="1:13" ht="12" customHeight="1">
      <c r="A117" s="31" t="s">
        <v>902</v>
      </c>
      <c r="B117" s="97">
        <f>SUMIF($C$107:$C$111,"3",$B$107:$B$111)</f>
        <v>10100</v>
      </c>
      <c r="C117" s="122">
        <v>3</v>
      </c>
      <c r="D117" s="234">
        <f>B117</f>
        <v>10100</v>
      </c>
      <c r="E117" s="47"/>
      <c r="F117" s="97">
        <f>SUMIF($G$107:$G$111,"3",$F$107:$F$111)</f>
        <v>0</v>
      </c>
      <c r="G117" s="122">
        <v>3</v>
      </c>
      <c r="H117" s="234">
        <f>F117</f>
        <v>0</v>
      </c>
      <c r="I117" s="16"/>
      <c r="J117" s="11"/>
      <c r="K117" s="11"/>
      <c r="L117" s="15"/>
      <c r="M117" s="11"/>
    </row>
    <row r="118" spans="1:13" ht="12" customHeight="1">
      <c r="A118" s="31" t="s">
        <v>904</v>
      </c>
      <c r="B118" s="97">
        <f>SUMIF($C$107:$C$111,"4",$B$107:$B$111)</f>
        <v>0</v>
      </c>
      <c r="C118" s="122">
        <v>4</v>
      </c>
      <c r="D118" s="234">
        <f>B118</f>
        <v>0</v>
      </c>
      <c r="E118" s="47"/>
      <c r="F118" s="97">
        <f>SUMIF($G$107:$G$111,"4",$F$107:$F$111)</f>
        <v>25064</v>
      </c>
      <c r="G118" s="122">
        <v>4</v>
      </c>
      <c r="H118" s="234">
        <f>F118</f>
        <v>25064</v>
      </c>
      <c r="I118" s="16"/>
      <c r="J118" s="11"/>
      <c r="K118" s="11"/>
      <c r="L118" s="15"/>
      <c r="M118" s="11"/>
    </row>
    <row r="119" spans="1:13" ht="12" customHeight="1">
      <c r="A119" s="31" t="s">
        <v>905</v>
      </c>
      <c r="B119" s="97">
        <f>SUMIF($C$107:$C$111,"5",$B$107:$B$111)</f>
        <v>11550</v>
      </c>
      <c r="C119" s="122">
        <v>5</v>
      </c>
      <c r="D119" s="234">
        <f>B119</f>
        <v>11550</v>
      </c>
      <c r="E119" s="47"/>
      <c r="F119" s="97">
        <f>SUMIF($G$107:$G$111,"5",$F$107:$F$111)</f>
        <v>6864</v>
      </c>
      <c r="G119" s="122">
        <v>5</v>
      </c>
      <c r="H119" s="234">
        <f>F119</f>
        <v>6864</v>
      </c>
      <c r="I119" s="16"/>
      <c r="J119" s="11"/>
      <c r="K119" s="11"/>
      <c r="L119" s="15"/>
      <c r="M119" s="11"/>
    </row>
    <row r="120" spans="1:13" ht="12.75" customHeight="1">
      <c r="A120" s="31" t="s">
        <v>900</v>
      </c>
      <c r="B120" s="97">
        <f>SUMIF($C$107:$C$111,"6",$B$107:$B$111)</f>
        <v>0</v>
      </c>
      <c r="C120" s="122">
        <v>6</v>
      </c>
      <c r="D120" s="234">
        <f>B122</f>
        <v>0</v>
      </c>
      <c r="E120" s="47"/>
      <c r="F120" s="97">
        <f>SUMIF($G$107:$G$111,"6",$F$107:$F$111)</f>
        <v>0</v>
      </c>
      <c r="G120" s="122">
        <v>6</v>
      </c>
      <c r="H120" s="234">
        <f>F122</f>
        <v>0</v>
      </c>
      <c r="I120" s="16"/>
      <c r="J120" s="11"/>
      <c r="K120" s="11"/>
      <c r="L120" s="15"/>
      <c r="M120" s="11"/>
    </row>
    <row r="121" spans="1:13" ht="12.75" customHeight="1">
      <c r="A121" s="31" t="s">
        <v>899</v>
      </c>
      <c r="B121" s="97">
        <f>SUMIF($C$107:$C$111,"7",$B$107:$B$111)</f>
        <v>0</v>
      </c>
      <c r="C121" s="122">
        <v>7</v>
      </c>
      <c r="D121" s="234">
        <f>B123</f>
        <v>0</v>
      </c>
      <c r="E121" s="47"/>
      <c r="F121" s="97">
        <f>SUMIF($G$107:$G$111,"7",$F$107:$F$111)</f>
        <v>0</v>
      </c>
      <c r="G121" s="122">
        <v>7</v>
      </c>
      <c r="H121" s="234">
        <f>F123</f>
        <v>0</v>
      </c>
      <c r="I121" s="16"/>
      <c r="J121" s="11"/>
      <c r="K121" s="11"/>
      <c r="L121" s="15"/>
      <c r="M121" s="11"/>
    </row>
    <row r="122" spans="1:13" ht="11.25" customHeight="1">
      <c r="A122" s="31" t="s">
        <v>901</v>
      </c>
      <c r="B122" s="97">
        <f>SUMIF($C$107:$C$111,"8",$B$107:$B$111)</f>
        <v>0</v>
      </c>
      <c r="C122" s="36"/>
      <c r="D122" s="235"/>
      <c r="E122" s="47"/>
      <c r="F122" s="97">
        <f>SUMIF($G$107:$G$111,"8",$F$107:$F$111)</f>
        <v>0</v>
      </c>
      <c r="G122" s="135"/>
      <c r="H122" s="122"/>
      <c r="I122" s="12"/>
      <c r="J122" s="11"/>
      <c r="K122" s="11"/>
      <c r="L122" s="15"/>
      <c r="M122" s="11"/>
    </row>
    <row r="123" spans="1:13" ht="12" customHeight="1">
      <c r="A123" s="31" t="s">
        <v>906</v>
      </c>
      <c r="B123" s="97">
        <f>SUMIF($C$107:$C$111,"9",$B$107:$B$111)</f>
        <v>0</v>
      </c>
      <c r="C123" s="36"/>
      <c r="D123" s="122"/>
      <c r="E123" s="16"/>
      <c r="F123" s="97">
        <f>SUMIF($G$107:$G$111,"9",$F$107:$F$111)</f>
        <v>0</v>
      </c>
      <c r="G123" s="135"/>
      <c r="H123" s="122"/>
      <c r="I123" s="12"/>
      <c r="J123" s="11"/>
      <c r="K123" s="11"/>
      <c r="L123" s="15"/>
      <c r="M123" s="11"/>
    </row>
    <row r="124" spans="1:13" ht="13.5" customHeight="1">
      <c r="A124" s="173" t="s">
        <v>368</v>
      </c>
      <c r="B124" s="233">
        <f>SUM(B115:B123)</f>
        <v>40400</v>
      </c>
      <c r="C124" s="39"/>
      <c r="D124" s="233">
        <f>SUM(D115:D123)</f>
        <v>40400</v>
      </c>
      <c r="E124" s="21"/>
      <c r="F124" s="233">
        <f>SUM(F115:F123)</f>
        <v>103792</v>
      </c>
      <c r="G124" s="180"/>
      <c r="H124" s="233">
        <f>SUM(H115:H123)</f>
        <v>103792</v>
      </c>
      <c r="I124" s="9"/>
      <c r="J124" s="11"/>
      <c r="K124" s="11"/>
      <c r="L124" s="15"/>
      <c r="M124" s="11"/>
    </row>
    <row r="126" spans="1:12" ht="58.5" customHeight="1">
      <c r="A126" s="301" t="s">
        <v>535</v>
      </c>
      <c r="B126" s="309"/>
      <c r="C126" s="309"/>
      <c r="D126" s="309"/>
      <c r="E126" s="309"/>
      <c r="F126" s="309"/>
      <c r="G126" s="309"/>
      <c r="H126" s="309"/>
      <c r="I126" s="309"/>
      <c r="J126" s="302"/>
      <c r="K126" s="302"/>
      <c r="L126" s="303"/>
    </row>
    <row r="130" spans="1:2" ht="15.75">
      <c r="A130" s="90" t="s">
        <v>805</v>
      </c>
      <c r="B130" s="2"/>
    </row>
    <row r="131" spans="1:15" ht="15.75">
      <c r="A131" s="4" t="s">
        <v>799</v>
      </c>
      <c r="B131" s="121">
        <v>1931</v>
      </c>
      <c r="C131" s="172"/>
      <c r="D131" s="50"/>
      <c r="E131" s="75"/>
      <c r="F131" s="50"/>
      <c r="G131" s="50"/>
      <c r="H131" s="50"/>
      <c r="I131" s="50"/>
      <c r="J131" s="50"/>
      <c r="K131" s="50"/>
      <c r="L131" s="237"/>
      <c r="M131" s="237"/>
      <c r="N131" s="237"/>
      <c r="O131" s="246"/>
    </row>
    <row r="132" spans="1:15" ht="22.5" customHeight="1">
      <c r="A132" s="28" t="s">
        <v>430</v>
      </c>
      <c r="B132" s="304" t="s">
        <v>788</v>
      </c>
      <c r="C132" s="311"/>
      <c r="D132" s="312"/>
      <c r="E132" s="76" t="s">
        <v>897</v>
      </c>
      <c r="F132" s="304" t="s">
        <v>400</v>
      </c>
      <c r="G132" s="305"/>
      <c r="H132" s="57" t="s">
        <v>6</v>
      </c>
      <c r="J132" s="5"/>
      <c r="K132" s="5"/>
      <c r="L132" s="237"/>
      <c r="M132" s="83"/>
      <c r="N132" s="238"/>
      <c r="O132" s="246"/>
    </row>
    <row r="133" spans="1:15" ht="22.5">
      <c r="A133" s="7"/>
      <c r="B133" s="7" t="s">
        <v>789</v>
      </c>
      <c r="C133" s="8" t="s">
        <v>790</v>
      </c>
      <c r="D133" s="9" t="s">
        <v>791</v>
      </c>
      <c r="E133" s="71"/>
      <c r="F133" s="7" t="s">
        <v>305</v>
      </c>
      <c r="G133" s="9" t="s">
        <v>306</v>
      </c>
      <c r="H133" s="7" t="s">
        <v>431</v>
      </c>
      <c r="I133" s="15" t="s">
        <v>423</v>
      </c>
      <c r="J133" s="8" t="s">
        <v>424</v>
      </c>
      <c r="K133" s="49" t="s">
        <v>428</v>
      </c>
      <c r="L133" s="239"/>
      <c r="M133" s="20"/>
      <c r="N133" s="20"/>
      <c r="O133" s="246"/>
    </row>
    <row r="134" spans="1:15" ht="22.5">
      <c r="A134" s="28" t="s">
        <v>754</v>
      </c>
      <c r="B134" s="108">
        <f>B137-B136-B135</f>
        <v>4230</v>
      </c>
      <c r="C134" s="114">
        <f>C137-C136-C135</f>
        <v>3630</v>
      </c>
      <c r="D134" s="112">
        <f>D137-D136-D135</f>
        <v>3130</v>
      </c>
      <c r="E134" s="70">
        <f>IF($B$131-H134&gt;=$C$7,2,IF($B$131-H134&gt;=$C$7*2/3,3,IF($B$131-H134&gt;=$C$7*1/3,4,IF($B$131-H134&gt;=0,5,8))))</f>
        <v>8</v>
      </c>
      <c r="F134" s="130">
        <f>MAX($C$10,MIN($C$11,($C$14+($C$11-$C$14)*($B$131-H134)/$C$7)))</f>
        <v>0</v>
      </c>
      <c r="G134" s="131">
        <f>MAX($D$10,MIN($D$11,($D$14+($D$11-$D$14)*($B$131-H134)/$C$7)))</f>
        <v>5</v>
      </c>
      <c r="H134" s="5">
        <v>1950</v>
      </c>
      <c r="I134" s="5" t="s">
        <v>426</v>
      </c>
      <c r="J134" s="5" t="s">
        <v>303</v>
      </c>
      <c r="K134" s="75" t="s">
        <v>781</v>
      </c>
      <c r="L134" s="22"/>
      <c r="M134" s="217"/>
      <c r="N134" s="217"/>
      <c r="O134" s="246"/>
    </row>
    <row r="135" spans="1:15" ht="12.75">
      <c r="A135" s="10" t="s">
        <v>802</v>
      </c>
      <c r="B135" s="109">
        <v>700</v>
      </c>
      <c r="C135" s="97">
        <v>1000</v>
      </c>
      <c r="D135" s="107">
        <v>1500</v>
      </c>
      <c r="E135" s="228">
        <v>1</v>
      </c>
      <c r="F135" s="13">
        <f>$C$12</f>
        <v>97</v>
      </c>
      <c r="G135" s="14">
        <f>$D$12</f>
        <v>99</v>
      </c>
      <c r="H135" s="11"/>
      <c r="I135" s="11"/>
      <c r="J135" s="45" t="s">
        <v>411</v>
      </c>
      <c r="K135" s="45" t="s">
        <v>698</v>
      </c>
      <c r="L135" s="22"/>
      <c r="M135" s="217"/>
      <c r="N135" s="217"/>
      <c r="O135" s="246"/>
    </row>
    <row r="136" spans="1:15" ht="24" customHeight="1">
      <c r="A136" s="10" t="s">
        <v>801</v>
      </c>
      <c r="B136" s="111">
        <v>200</v>
      </c>
      <c r="C136" s="122">
        <v>500</v>
      </c>
      <c r="D136" s="113">
        <v>500</v>
      </c>
      <c r="E136" s="70">
        <f>IF($B$131-H136&gt;=$C$7,2,IF($B$131-H136&gt;=$C$7*2/3,3,IF($B$131-H136&gt;=$C$7*1/3,4,5)))</f>
        <v>5</v>
      </c>
      <c r="F136" s="130">
        <f>MAX($C$15,MIN($C$11,($C$15+($C$11-$C$15)*($B$131-H136)/($C$8+30))))</f>
        <v>50.45</v>
      </c>
      <c r="G136" s="131">
        <f>MAX($D$15,MIN($D$11,($D$15+($D$11-$D$15)*($B$131-H136)/($C$8+30))))</f>
        <v>67.15</v>
      </c>
      <c r="H136" s="11">
        <v>1920</v>
      </c>
      <c r="I136" s="11" t="s">
        <v>427</v>
      </c>
      <c r="J136" s="11" t="s">
        <v>412</v>
      </c>
      <c r="K136" s="45" t="s">
        <v>786</v>
      </c>
      <c r="L136" s="22"/>
      <c r="M136" s="217"/>
      <c r="N136" s="217"/>
      <c r="O136" s="246"/>
    </row>
    <row r="137" spans="1:15" ht="12.75">
      <c r="A137" s="10" t="s">
        <v>368</v>
      </c>
      <c r="B137" s="10">
        <v>5130</v>
      </c>
      <c r="C137" s="11">
        <v>5130</v>
      </c>
      <c r="D137" s="12">
        <v>5130</v>
      </c>
      <c r="E137" s="70"/>
      <c r="F137" s="13"/>
      <c r="G137" s="14"/>
      <c r="H137" s="11"/>
      <c r="I137" s="11"/>
      <c r="J137" s="11"/>
      <c r="K137" s="45"/>
      <c r="L137" s="22"/>
      <c r="M137" s="217"/>
      <c r="N137" s="217"/>
      <c r="O137" s="246"/>
    </row>
    <row r="138" spans="1:15" ht="22.5">
      <c r="A138" s="231" t="s">
        <v>20</v>
      </c>
      <c r="B138" s="13"/>
      <c r="C138" s="13"/>
      <c r="D138" s="13"/>
      <c r="E138" s="120"/>
      <c r="F138" s="207">
        <f>SUMPRODUCT(B134:B136,F134:F136)/B137</f>
        <v>15.202729044834308</v>
      </c>
      <c r="G138" s="230">
        <f>SUMPRODUCT(B134:B136,G134:G136)/B137</f>
        <v>20.249512670565302</v>
      </c>
      <c r="H138" s="11"/>
      <c r="I138" s="11"/>
      <c r="J138" s="11"/>
      <c r="K138" s="45"/>
      <c r="L138" s="22"/>
      <c r="M138" s="135"/>
      <c r="N138" s="135"/>
      <c r="O138" s="246"/>
    </row>
    <row r="139" spans="1:15" ht="12.75">
      <c r="A139" s="231" t="s">
        <v>21</v>
      </c>
      <c r="B139" s="13"/>
      <c r="C139" s="13"/>
      <c r="D139" s="13"/>
      <c r="E139" s="120"/>
      <c r="F139" s="207">
        <f>SUMPRODUCT(C134:C136,F134:F136)/C137</f>
        <v>23.825536062378166</v>
      </c>
      <c r="G139" s="230">
        <f>SUMPRODUCT(C134:C136,G134:G136)/C137</f>
        <v>29.381091617933723</v>
      </c>
      <c r="H139" s="11"/>
      <c r="I139" s="11"/>
      <c r="J139" s="11"/>
      <c r="K139" s="45"/>
      <c r="L139" s="22"/>
      <c r="M139" s="135"/>
      <c r="N139" s="135"/>
      <c r="O139" s="246"/>
    </row>
    <row r="140" spans="1:15" ht="12.75">
      <c r="A140" s="123" t="s">
        <v>22</v>
      </c>
      <c r="B140" s="13"/>
      <c r="C140" s="13"/>
      <c r="D140" s="13"/>
      <c r="E140" s="120"/>
      <c r="F140" s="207">
        <f>SUMPRODUCT(D134:D136,F134:F136)/D137</f>
        <v>33.27972709551657</v>
      </c>
      <c r="G140" s="230">
        <f>SUMPRODUCT(D134:D136,G134:G136)/D137</f>
        <v>38.54288499025341</v>
      </c>
      <c r="H140" s="11"/>
      <c r="I140" s="11"/>
      <c r="J140" s="11"/>
      <c r="K140" s="45"/>
      <c r="L140" s="22"/>
      <c r="M140" s="135"/>
      <c r="N140" s="135"/>
      <c r="O140" s="246"/>
    </row>
    <row r="141" spans="1:15" ht="12.75">
      <c r="A141" s="125" t="s">
        <v>796</v>
      </c>
      <c r="B141" s="177"/>
      <c r="C141" s="177"/>
      <c r="D141" s="177"/>
      <c r="E141" s="225"/>
      <c r="F141" s="124">
        <f>MIN(F138:F140)</f>
        <v>15.202729044834308</v>
      </c>
      <c r="G141" s="115">
        <f>MAX(G138:G140)</f>
        <v>38.54288499025341</v>
      </c>
      <c r="H141" s="8"/>
      <c r="I141" s="8"/>
      <c r="J141" s="8"/>
      <c r="K141" s="49"/>
      <c r="L141" s="239"/>
      <c r="M141" s="20"/>
      <c r="N141" s="20"/>
      <c r="O141" s="246"/>
    </row>
    <row r="142" spans="1:14" ht="12.75">
      <c r="A142" s="181" t="s">
        <v>907</v>
      </c>
      <c r="B142" s="5"/>
      <c r="C142" s="182" t="s">
        <v>908</v>
      </c>
      <c r="D142" s="183"/>
      <c r="E142" s="213"/>
      <c r="F142" s="135"/>
      <c r="G142" s="135"/>
      <c r="H142" s="15"/>
      <c r="I142" s="11"/>
      <c r="J142" s="45"/>
      <c r="L142" s="15"/>
      <c r="M142" s="15"/>
      <c r="N142" s="22"/>
    </row>
    <row r="143" spans="1:14" ht="12.75">
      <c r="A143" s="31" t="s">
        <v>898</v>
      </c>
      <c r="B143" s="30">
        <f>SUMIF($E$134:$E$136,"1",$B$134:$B$136)</f>
        <v>700</v>
      </c>
      <c r="C143" s="122">
        <v>1</v>
      </c>
      <c r="D143" s="216">
        <f>B143+B144+B148</f>
        <v>700</v>
      </c>
      <c r="E143" s="47"/>
      <c r="F143" s="135"/>
      <c r="G143" s="135"/>
      <c r="H143" s="15"/>
      <c r="I143" s="11"/>
      <c r="J143" s="45"/>
      <c r="L143" s="15"/>
      <c r="M143" s="15"/>
      <c r="N143" s="22"/>
    </row>
    <row r="144" spans="1:14" ht="12.75">
      <c r="A144" s="31" t="s">
        <v>903</v>
      </c>
      <c r="B144" s="30">
        <f>SUMIF($E$134:$E$136,"2",$B$134:$B$136)</f>
        <v>0</v>
      </c>
      <c r="C144" s="122">
        <v>2</v>
      </c>
      <c r="D144" s="216">
        <f>B149</f>
        <v>0</v>
      </c>
      <c r="E144" s="47"/>
      <c r="F144" s="135"/>
      <c r="G144" s="135"/>
      <c r="H144" s="15"/>
      <c r="I144" s="11"/>
      <c r="J144" s="45"/>
      <c r="L144" s="15"/>
      <c r="M144" s="15"/>
      <c r="N144" s="22"/>
    </row>
    <row r="145" spans="1:14" ht="12.75">
      <c r="A145" s="31" t="s">
        <v>902</v>
      </c>
      <c r="B145" s="30">
        <f>SUMIF($E$134:$E$136,"3",$B$134:$B$136)</f>
        <v>0</v>
      </c>
      <c r="C145" s="122">
        <v>3</v>
      </c>
      <c r="D145" s="216">
        <f>B145</f>
        <v>0</v>
      </c>
      <c r="E145" s="47"/>
      <c r="F145" s="135"/>
      <c r="G145" s="135"/>
      <c r="H145" s="15"/>
      <c r="I145" s="11"/>
      <c r="J145" s="45"/>
      <c r="L145" s="15"/>
      <c r="M145" s="15"/>
      <c r="N145" s="22"/>
    </row>
    <row r="146" spans="1:14" ht="22.5">
      <c r="A146" s="31" t="s">
        <v>904</v>
      </c>
      <c r="B146" s="30">
        <f>SUMIF($E$134:$E$136,"4",$B$134:$B$136)</f>
        <v>0</v>
      </c>
      <c r="C146" s="122">
        <v>4</v>
      </c>
      <c r="D146" s="216">
        <f>B146</f>
        <v>0</v>
      </c>
      <c r="E146" s="47"/>
      <c r="F146" s="135"/>
      <c r="G146" s="135"/>
      <c r="H146" s="15"/>
      <c r="I146" s="11"/>
      <c r="J146" s="45"/>
      <c r="L146" s="15"/>
      <c r="M146" s="15"/>
      <c r="N146" s="22"/>
    </row>
    <row r="147" spans="1:14" ht="12.75">
      <c r="A147" s="31" t="s">
        <v>905</v>
      </c>
      <c r="B147" s="30">
        <f>SUMIF($E$134:$E$136,"5",$B$134:$B$136)</f>
        <v>200</v>
      </c>
      <c r="C147" s="122">
        <v>5</v>
      </c>
      <c r="D147" s="216">
        <f>B147</f>
        <v>200</v>
      </c>
      <c r="E147" s="47"/>
      <c r="F147" s="135"/>
      <c r="G147" s="135"/>
      <c r="H147" s="15"/>
      <c r="I147" s="11"/>
      <c r="J147" s="45"/>
      <c r="L147" s="15"/>
      <c r="M147" s="15"/>
      <c r="N147" s="22"/>
    </row>
    <row r="148" spans="1:14" ht="12.75">
      <c r="A148" s="31" t="s">
        <v>900</v>
      </c>
      <c r="B148" s="30">
        <f>SUMIF($E$134:$E$136,"6",$B$134:$B$136)</f>
        <v>0</v>
      </c>
      <c r="C148" s="122">
        <v>6</v>
      </c>
      <c r="D148" s="216">
        <f>B150</f>
        <v>4230</v>
      </c>
      <c r="E148" s="47"/>
      <c r="F148" s="135"/>
      <c r="G148" s="135"/>
      <c r="H148" s="15"/>
      <c r="I148" s="11"/>
      <c r="J148" s="45"/>
      <c r="L148" s="15"/>
      <c r="M148" s="15"/>
      <c r="N148" s="22"/>
    </row>
    <row r="149" spans="1:14" ht="12.75">
      <c r="A149" s="31" t="s">
        <v>899</v>
      </c>
      <c r="B149" s="30">
        <f>SUMIF($E$134:$E$136,"7",$B$134:$B$136)</f>
        <v>0</v>
      </c>
      <c r="C149" s="122">
        <v>7</v>
      </c>
      <c r="D149" s="216">
        <f>B151</f>
        <v>0</v>
      </c>
      <c r="E149" s="47"/>
      <c r="F149" s="135"/>
      <c r="G149" s="135"/>
      <c r="H149" s="15"/>
      <c r="I149" s="11"/>
      <c r="J149" s="45"/>
      <c r="L149" s="15"/>
      <c r="M149" s="15"/>
      <c r="N149" s="22"/>
    </row>
    <row r="150" spans="1:14" ht="12.75">
      <c r="A150" s="31" t="s">
        <v>901</v>
      </c>
      <c r="B150" s="30">
        <f>SUMIF($E$134:$E$136,"8",$B$134:$B$136)</f>
        <v>4230</v>
      </c>
      <c r="C150" s="36"/>
      <c r="D150" s="221"/>
      <c r="E150" s="47"/>
      <c r="F150" s="135"/>
      <c r="G150" s="135"/>
      <c r="H150" s="15"/>
      <c r="I150" s="11"/>
      <c r="J150" s="45"/>
      <c r="L150" s="15"/>
      <c r="M150" s="15"/>
      <c r="N150" s="22"/>
    </row>
    <row r="151" spans="1:14" ht="12.75">
      <c r="A151" s="31" t="s">
        <v>906</v>
      </c>
      <c r="B151" s="30">
        <f>SUMIF($E$134:$E$136,"9",$B$134:$B$136)</f>
        <v>0</v>
      </c>
      <c r="C151" s="36"/>
      <c r="D151" s="217"/>
      <c r="E151" s="16"/>
      <c r="F151" s="135"/>
      <c r="G151" s="135"/>
      <c r="H151" s="15"/>
      <c r="I151" s="11"/>
      <c r="J151" s="45"/>
      <c r="L151" s="15"/>
      <c r="M151" s="15"/>
      <c r="N151" s="22"/>
    </row>
    <row r="152" spans="1:14" ht="12.75">
      <c r="A152" s="173" t="s">
        <v>368</v>
      </c>
      <c r="B152" s="215">
        <f>SUM(B143:B151)</f>
        <v>5130</v>
      </c>
      <c r="C152" s="39"/>
      <c r="D152" s="215">
        <f>SUM(D143:D151)</f>
        <v>5130</v>
      </c>
      <c r="E152" s="21"/>
      <c r="F152" s="135"/>
      <c r="G152" s="135"/>
      <c r="H152" s="15"/>
      <c r="I152" s="11"/>
      <c r="J152" s="45"/>
      <c r="L152" s="15"/>
      <c r="M152" s="15"/>
      <c r="N152" s="22"/>
    </row>
    <row r="154" spans="1:12" ht="95.25" customHeight="1">
      <c r="A154" s="301" t="s">
        <v>538</v>
      </c>
      <c r="B154" s="309"/>
      <c r="C154" s="309"/>
      <c r="D154" s="309"/>
      <c r="E154" s="309"/>
      <c r="F154" s="309"/>
      <c r="G154" s="309"/>
      <c r="H154" s="309"/>
      <c r="I154" s="309"/>
      <c r="J154" s="314"/>
      <c r="K154" s="314"/>
      <c r="L154" s="315"/>
    </row>
  </sheetData>
  <mergeCells count="13">
    <mergeCell ref="D21:E21"/>
    <mergeCell ref="H21:I21"/>
    <mergeCell ref="F66:G66"/>
    <mergeCell ref="A60:L60"/>
    <mergeCell ref="O60:W60"/>
    <mergeCell ref="B132:D132"/>
    <mergeCell ref="A154:L154"/>
    <mergeCell ref="D105:E105"/>
    <mergeCell ref="H105:I105"/>
    <mergeCell ref="F132:G132"/>
    <mergeCell ref="A99:L99"/>
    <mergeCell ref="A126:L126"/>
    <mergeCell ref="B66:D66"/>
  </mergeCells>
  <printOptions/>
  <pageMargins left="0.75" right="0.75" top="1" bottom="1"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AA528"/>
  <sheetViews>
    <sheetView workbookViewId="0" topLeftCell="A39">
      <selection activeCell="L25" sqref="L25"/>
    </sheetView>
  </sheetViews>
  <sheetFormatPr defaultColWidth="9.140625" defaultRowHeight="12.75"/>
  <cols>
    <col min="1" max="1" width="27.140625" style="0" customWidth="1"/>
    <col min="2" max="2" width="7.28125" style="0" customWidth="1"/>
    <col min="3" max="3" width="6.140625" style="0" customWidth="1"/>
    <col min="4" max="4" width="7.28125" style="0" customWidth="1"/>
    <col min="5" max="5" width="6.00390625" style="0" customWidth="1"/>
    <col min="6" max="6" width="7.00390625" style="0" customWidth="1"/>
    <col min="7" max="7" width="6.57421875" style="0" customWidth="1"/>
    <col min="8" max="8" width="6.421875" style="0" customWidth="1"/>
    <col min="9" max="9" width="6.8515625" style="0" customWidth="1"/>
    <col min="10" max="11" width="6.7109375" style="0" customWidth="1"/>
    <col min="12" max="13" width="6.421875" style="0" customWidth="1"/>
    <col min="14" max="14" width="6.8515625" style="0" customWidth="1"/>
    <col min="15" max="16" width="11.00390625" style="0" customWidth="1"/>
    <col min="17" max="17" width="7.7109375" style="0" customWidth="1"/>
    <col min="18" max="18" width="5.28125" style="0" customWidth="1"/>
    <col min="26" max="26" width="14.140625" style="0" customWidth="1"/>
  </cols>
  <sheetData>
    <row r="2" ht="20.25">
      <c r="A2" s="64" t="s">
        <v>132</v>
      </c>
    </row>
    <row r="3" ht="15">
      <c r="A3" s="65" t="s">
        <v>19</v>
      </c>
    </row>
    <row r="5" ht="12.75">
      <c r="H5" s="22"/>
    </row>
    <row r="6" spans="3:8" ht="12.75">
      <c r="C6" s="67" t="s">
        <v>425</v>
      </c>
      <c r="D6" s="68"/>
      <c r="E6" s="68"/>
      <c r="F6" s="51"/>
      <c r="H6" s="22"/>
    </row>
    <row r="7" spans="1:8" ht="12.75">
      <c r="A7" s="2"/>
      <c r="B7" s="2"/>
      <c r="C7" s="144">
        <f>Charts!$D$12</f>
        <v>45</v>
      </c>
      <c r="D7" s="75"/>
      <c r="E7" s="45" t="s">
        <v>890</v>
      </c>
      <c r="F7" s="42"/>
      <c r="G7" s="2"/>
      <c r="H7" s="22"/>
    </row>
    <row r="8" spans="1:8" ht="12.75">
      <c r="A8" s="2"/>
      <c r="B8" s="2"/>
      <c r="C8" s="144">
        <f>Charts!$D$13</f>
        <v>30</v>
      </c>
      <c r="D8" s="45"/>
      <c r="E8" s="45" t="s">
        <v>889</v>
      </c>
      <c r="F8" s="42"/>
      <c r="G8" s="2"/>
      <c r="H8" s="22"/>
    </row>
    <row r="9" spans="1:8" ht="12.75">
      <c r="A9" s="2"/>
      <c r="B9" s="2"/>
      <c r="C9" s="52" t="s">
        <v>305</v>
      </c>
      <c r="D9" s="49" t="s">
        <v>306</v>
      </c>
      <c r="E9" s="45"/>
      <c r="F9" s="42"/>
      <c r="G9" s="2"/>
      <c r="H9" s="22"/>
    </row>
    <row r="10" spans="1:8" ht="12.75">
      <c r="A10" s="2"/>
      <c r="B10" s="2"/>
      <c r="C10" s="144">
        <f>Charts!$D$15</f>
        <v>0</v>
      </c>
      <c r="D10" s="143">
        <f>Charts!$E$15</f>
        <v>5</v>
      </c>
      <c r="E10" s="45" t="s">
        <v>303</v>
      </c>
      <c r="F10" s="42"/>
      <c r="G10" s="2"/>
      <c r="H10" s="22"/>
    </row>
    <row r="11" spans="1:8" ht="12.75">
      <c r="A11" s="2"/>
      <c r="B11" s="2"/>
      <c r="C11" s="144">
        <f>Charts!$D$16</f>
        <v>97</v>
      </c>
      <c r="D11" s="143">
        <f>Charts!$E$16</f>
        <v>99</v>
      </c>
      <c r="E11" s="45" t="s">
        <v>410</v>
      </c>
      <c r="F11" s="42"/>
      <c r="G11" s="2"/>
      <c r="H11" s="22"/>
    </row>
    <row r="12" spans="1:8" ht="12.75">
      <c r="A12" s="2"/>
      <c r="B12" s="2"/>
      <c r="C12" s="144">
        <f>Charts!$D$17</f>
        <v>97</v>
      </c>
      <c r="D12" s="143">
        <f>Charts!$E$17</f>
        <v>99</v>
      </c>
      <c r="E12" s="45" t="s">
        <v>411</v>
      </c>
      <c r="F12" s="69"/>
      <c r="G12" s="2"/>
      <c r="H12" s="22"/>
    </row>
    <row r="13" spans="1:8" ht="12.75">
      <c r="A13" s="2"/>
      <c r="B13" s="2"/>
      <c r="C13" s="144">
        <f>Charts!$D$18</f>
        <v>75</v>
      </c>
      <c r="D13" s="143">
        <f>Charts!$E$18</f>
        <v>85</v>
      </c>
      <c r="E13" s="45" t="s">
        <v>408</v>
      </c>
      <c r="F13" s="42"/>
      <c r="G13" s="2"/>
      <c r="H13" s="22"/>
    </row>
    <row r="14" spans="1:8" ht="12.75">
      <c r="A14" s="2"/>
      <c r="B14" s="2"/>
      <c r="C14" s="144">
        <f>Charts!$D$19</f>
        <v>0</v>
      </c>
      <c r="D14" s="143">
        <f>Charts!$E$19</f>
        <v>20</v>
      </c>
      <c r="E14" s="45" t="s">
        <v>409</v>
      </c>
      <c r="F14" s="42"/>
      <c r="G14" s="2"/>
      <c r="H14" s="22"/>
    </row>
    <row r="15" spans="1:8" ht="12.75">
      <c r="A15" s="2"/>
      <c r="B15" s="2"/>
      <c r="C15" s="144">
        <f>Charts!$D$20</f>
        <v>40</v>
      </c>
      <c r="D15" s="143">
        <f>Charts!$E$20</f>
        <v>60</v>
      </c>
      <c r="E15" s="45" t="s">
        <v>412</v>
      </c>
      <c r="F15" s="42"/>
      <c r="G15" s="2"/>
      <c r="H15" s="22"/>
    </row>
    <row r="16" spans="1:8" ht="13.5" customHeight="1">
      <c r="A16" s="25"/>
      <c r="B16" s="15"/>
      <c r="C16" s="145">
        <f>Charts!$D$21</f>
        <v>65</v>
      </c>
      <c r="D16" s="59">
        <f>Charts!$E$21</f>
        <v>85</v>
      </c>
      <c r="E16" s="43" t="s">
        <v>873</v>
      </c>
      <c r="F16" s="48"/>
      <c r="G16" s="15"/>
      <c r="H16" s="22"/>
    </row>
    <row r="17" spans="1:8" ht="12.75">
      <c r="A17" s="15"/>
      <c r="B17" s="15"/>
      <c r="C17" s="15"/>
      <c r="D17" s="15"/>
      <c r="E17" s="15"/>
      <c r="F17" s="15"/>
      <c r="G17" s="15"/>
      <c r="H17" s="22"/>
    </row>
    <row r="18" spans="1:17" ht="15.75">
      <c r="A18" s="90" t="s">
        <v>810</v>
      </c>
      <c r="B18" s="3"/>
      <c r="C18" s="3"/>
      <c r="D18" s="3"/>
      <c r="E18" s="1"/>
      <c r="F18" s="1"/>
      <c r="G18" s="1"/>
      <c r="H18" s="1"/>
      <c r="I18" s="1"/>
      <c r="J18" s="1"/>
      <c r="K18" s="78"/>
      <c r="L18" s="23"/>
      <c r="M18" s="23"/>
      <c r="N18" s="23"/>
      <c r="O18" s="23"/>
      <c r="P18" s="23"/>
      <c r="Q18" s="23"/>
    </row>
    <row r="19" spans="1:26" ht="12.75">
      <c r="A19" s="74" t="s">
        <v>418</v>
      </c>
      <c r="B19" s="73"/>
      <c r="C19" s="73"/>
      <c r="D19" s="73"/>
      <c r="E19" s="73"/>
      <c r="F19" s="73"/>
      <c r="G19" s="73"/>
      <c r="H19" s="73"/>
      <c r="I19" s="73"/>
      <c r="J19" s="86"/>
      <c r="K19" s="87"/>
      <c r="L19" s="86"/>
      <c r="M19" s="86"/>
      <c r="N19" s="86"/>
      <c r="O19" s="86"/>
      <c r="P19" s="87"/>
      <c r="Q19" s="87"/>
      <c r="R19" s="37"/>
      <c r="S19" s="184"/>
      <c r="T19" s="37"/>
      <c r="U19" s="37"/>
      <c r="V19" s="37"/>
      <c r="W19" s="37"/>
      <c r="X19" s="37"/>
      <c r="Y19" s="37"/>
      <c r="Z19" s="46"/>
    </row>
    <row r="20" spans="1:26" ht="12.75">
      <c r="A20" s="72"/>
      <c r="B20" s="76"/>
      <c r="C20" s="45"/>
      <c r="D20" s="85">
        <v>1912</v>
      </c>
      <c r="E20" s="76"/>
      <c r="F20" s="45"/>
      <c r="G20" s="85">
        <v>1919</v>
      </c>
      <c r="H20" s="76"/>
      <c r="I20" s="45"/>
      <c r="J20" s="85">
        <v>1927</v>
      </c>
      <c r="K20" s="76"/>
      <c r="L20" s="45"/>
      <c r="M20" s="85">
        <v>1958</v>
      </c>
      <c r="N20" s="57" t="s">
        <v>6</v>
      </c>
      <c r="O20" s="5"/>
      <c r="P20" s="5"/>
      <c r="Q20" s="5"/>
      <c r="R20" s="37"/>
      <c r="S20" s="184"/>
      <c r="T20" s="37"/>
      <c r="U20" s="53"/>
      <c r="V20" s="53"/>
      <c r="W20" s="53"/>
      <c r="X20" s="53"/>
      <c r="Y20" s="53"/>
      <c r="Z20" s="46"/>
    </row>
    <row r="21" spans="1:26" ht="24.75" customHeight="1">
      <c r="A21" s="77" t="s">
        <v>293</v>
      </c>
      <c r="B21" s="66" t="s">
        <v>897</v>
      </c>
      <c r="C21" s="45" t="s">
        <v>305</v>
      </c>
      <c r="D21" s="42" t="s">
        <v>306</v>
      </c>
      <c r="E21" s="66" t="s">
        <v>897</v>
      </c>
      <c r="F21" s="45" t="s">
        <v>305</v>
      </c>
      <c r="G21" s="42" t="s">
        <v>306</v>
      </c>
      <c r="H21" s="66" t="s">
        <v>897</v>
      </c>
      <c r="I21" s="45" t="s">
        <v>305</v>
      </c>
      <c r="J21" s="42" t="s">
        <v>306</v>
      </c>
      <c r="K21" s="66" t="s">
        <v>897</v>
      </c>
      <c r="L21" s="45" t="s">
        <v>305</v>
      </c>
      <c r="M21" s="42" t="s">
        <v>306</v>
      </c>
      <c r="N21" s="7" t="s">
        <v>431</v>
      </c>
      <c r="O21" s="8" t="s">
        <v>423</v>
      </c>
      <c r="P21" s="8" t="s">
        <v>424</v>
      </c>
      <c r="Q21" s="49" t="s">
        <v>428</v>
      </c>
      <c r="R21" s="39"/>
      <c r="S21" s="185"/>
      <c r="T21" s="39"/>
      <c r="U21" s="196"/>
      <c r="V21" s="196"/>
      <c r="W21" s="196"/>
      <c r="X21" s="196"/>
      <c r="Y21" s="196"/>
      <c r="Z21" s="48"/>
    </row>
    <row r="22" spans="1:26" ht="17.25" customHeight="1">
      <c r="A22" s="76" t="s">
        <v>210</v>
      </c>
      <c r="B22" s="70">
        <v>1</v>
      </c>
      <c r="C22" s="174">
        <f>$C$12</f>
        <v>97</v>
      </c>
      <c r="D22" s="81">
        <f>$D$12</f>
        <v>99</v>
      </c>
      <c r="E22" s="70">
        <v>1</v>
      </c>
      <c r="F22" s="174">
        <f>$C$12</f>
        <v>97</v>
      </c>
      <c r="G22" s="81">
        <f>$D$12</f>
        <v>99</v>
      </c>
      <c r="H22" s="70">
        <v>1</v>
      </c>
      <c r="I22" s="174">
        <f>$C$12</f>
        <v>97</v>
      </c>
      <c r="J22" s="81">
        <f>$D$12</f>
        <v>99</v>
      </c>
      <c r="K22" s="70">
        <v>1</v>
      </c>
      <c r="L22" s="174">
        <f>$C$12</f>
        <v>97</v>
      </c>
      <c r="M22" s="81">
        <f>$D$12</f>
        <v>99</v>
      </c>
      <c r="N22" s="101"/>
      <c r="O22" s="83"/>
      <c r="P22" s="45" t="s">
        <v>411</v>
      </c>
      <c r="Q22" s="56" t="s">
        <v>201</v>
      </c>
      <c r="R22" s="36"/>
      <c r="S22" s="186"/>
      <c r="T22" s="36"/>
      <c r="U22" s="54"/>
      <c r="V22" s="54"/>
      <c r="W22" s="54"/>
      <c r="X22" s="54"/>
      <c r="Y22" s="54"/>
      <c r="Z22" s="47"/>
    </row>
    <row r="23" spans="1:26" ht="15" customHeight="1">
      <c r="A23" s="70" t="s">
        <v>208</v>
      </c>
      <c r="B23" s="70">
        <v>1</v>
      </c>
      <c r="C23" s="60">
        <f>$C$12</f>
        <v>97</v>
      </c>
      <c r="D23" s="80">
        <f>$D$12</f>
        <v>99</v>
      </c>
      <c r="E23" s="70">
        <v>1</v>
      </c>
      <c r="F23" s="60">
        <f>$C$12</f>
        <v>97</v>
      </c>
      <c r="G23" s="80">
        <f>$D$12</f>
        <v>99</v>
      </c>
      <c r="H23" s="70">
        <v>1</v>
      </c>
      <c r="I23" s="60">
        <f>$C$12</f>
        <v>97</v>
      </c>
      <c r="J23" s="80">
        <f>$D$12</f>
        <v>99</v>
      </c>
      <c r="K23" s="70">
        <v>1</v>
      </c>
      <c r="L23" s="60">
        <f>$C$12</f>
        <v>97</v>
      </c>
      <c r="M23" s="80">
        <f>$D$12</f>
        <v>99</v>
      </c>
      <c r="N23" s="31"/>
      <c r="O23" s="15"/>
      <c r="P23" s="45" t="s">
        <v>411</v>
      </c>
      <c r="Q23" s="24" t="s">
        <v>134</v>
      </c>
      <c r="R23" s="36"/>
      <c r="S23" s="186"/>
      <c r="T23" s="36"/>
      <c r="U23" s="54"/>
      <c r="V23" s="54"/>
      <c r="W23" s="54"/>
      <c r="X23" s="54"/>
      <c r="Y23" s="54"/>
      <c r="Z23" s="47"/>
    </row>
    <row r="24" spans="1:26" ht="15" customHeight="1">
      <c r="A24" s="70" t="s">
        <v>209</v>
      </c>
      <c r="B24" s="70">
        <v>1</v>
      </c>
      <c r="C24" s="60">
        <f>$C$12</f>
        <v>97</v>
      </c>
      <c r="D24" s="80">
        <f>$D$12</f>
        <v>99</v>
      </c>
      <c r="E24" s="70">
        <v>1</v>
      </c>
      <c r="F24" s="60">
        <f>$C$12</f>
        <v>97</v>
      </c>
      <c r="G24" s="80">
        <f>$D$12</f>
        <v>99</v>
      </c>
      <c r="H24" s="70">
        <v>1</v>
      </c>
      <c r="I24" s="60">
        <f>$C$12</f>
        <v>97</v>
      </c>
      <c r="J24" s="80">
        <f>$D$12</f>
        <v>99</v>
      </c>
      <c r="K24" s="70">
        <v>1</v>
      </c>
      <c r="L24" s="60">
        <f>$C$12</f>
        <v>97</v>
      </c>
      <c r="M24" s="80">
        <f>$D$12</f>
        <v>99</v>
      </c>
      <c r="N24" s="31"/>
      <c r="O24" s="15"/>
      <c r="P24" s="45" t="s">
        <v>411</v>
      </c>
      <c r="Q24" s="24" t="s">
        <v>134</v>
      </c>
      <c r="R24" s="36"/>
      <c r="S24" s="186"/>
      <c r="T24" s="36"/>
      <c r="U24" s="54"/>
      <c r="V24" s="54"/>
      <c r="W24" s="54"/>
      <c r="X24" s="54"/>
      <c r="Y24" s="54"/>
      <c r="Z24" s="47"/>
    </row>
    <row r="25" spans="1:26" ht="14.25" customHeight="1">
      <c r="A25" s="70" t="s">
        <v>434</v>
      </c>
      <c r="B25" s="70">
        <v>1</v>
      </c>
      <c r="C25" s="60">
        <f>$C$12</f>
        <v>97</v>
      </c>
      <c r="D25" s="80">
        <f>$D$12</f>
        <v>99</v>
      </c>
      <c r="E25" s="70">
        <v>1</v>
      </c>
      <c r="F25" s="60">
        <f>$C$12</f>
        <v>97</v>
      </c>
      <c r="G25" s="80">
        <f>$D$12</f>
        <v>99</v>
      </c>
      <c r="H25" s="70">
        <v>1</v>
      </c>
      <c r="I25" s="60">
        <f>$C$12</f>
        <v>97</v>
      </c>
      <c r="J25" s="80">
        <f>$D$12</f>
        <v>99</v>
      </c>
      <c r="K25" s="70">
        <v>1</v>
      </c>
      <c r="L25" s="60">
        <f>$C$12</f>
        <v>97</v>
      </c>
      <c r="M25" s="80">
        <f>$D$12</f>
        <v>99</v>
      </c>
      <c r="N25" s="31"/>
      <c r="O25" s="15"/>
      <c r="P25" s="45" t="s">
        <v>411</v>
      </c>
      <c r="Q25" s="24" t="s">
        <v>134</v>
      </c>
      <c r="R25" s="36"/>
      <c r="S25" s="186"/>
      <c r="T25" s="36"/>
      <c r="U25" s="54"/>
      <c r="V25" s="54"/>
      <c r="W25" s="54"/>
      <c r="X25" s="54"/>
      <c r="Y25" s="54"/>
      <c r="Z25" s="47"/>
    </row>
    <row r="26" spans="1:26" ht="13.5" customHeight="1">
      <c r="A26" s="70" t="s">
        <v>245</v>
      </c>
      <c r="B26" s="77">
        <f>IF($D$20-N26&gt;=$C$7,2,IF($D$20-N26&gt;=$C$7*2/3,3,IF($D$20-N26&gt;=$C$7*1/3,4,5)))</f>
        <v>5</v>
      </c>
      <c r="C26" s="130">
        <f>MAX($C$16,MIN($C$11,($C$16+($C$11-$C$16)*($D$20-N26)/$C$8)))</f>
        <v>65</v>
      </c>
      <c r="D26" s="131">
        <f>MAX($D$16,MIN($D$11,($D$16+($D$11-$D$16)*($D$20-N26)/$C$8)))</f>
        <v>85</v>
      </c>
      <c r="E26" s="77">
        <f>IF($G$20-N26&gt;=$C$7,2,IF($G$20-N26&gt;=$C$7*2/3,3,IF($G$20-N26&gt;=$C$7*1/3,4,5)))</f>
        <v>5</v>
      </c>
      <c r="F26" s="130">
        <f>MAX($C$16,MIN($C$11,($C$16+($C$11-$C$16)*($G$20-N26)/$C$8)))</f>
        <v>65</v>
      </c>
      <c r="G26" s="131">
        <f>MAX($D$16,MIN($D$11,($D$16+($D$11-$D$16)*($G$20-N26)/$C$8)))</f>
        <v>85</v>
      </c>
      <c r="H26" s="77">
        <f>IF($J$20-N26&gt;=$C$7,2,IF($J$20-N26&gt;=$C$7*2/3,3,IF($J$20-N26&gt;=$C$7*1/3,4,5)))</f>
        <v>5</v>
      </c>
      <c r="I26" s="130">
        <f>MAX($C$16,MIN($C$11,($C$16+($C$11-$C$16)*($J$20-N26)/$C$8)))</f>
        <v>72.46666666666667</v>
      </c>
      <c r="J26" s="131">
        <f>MAX($D$16,MIN($D$11,($D$16+($D$11-$D$16)*($J$20-N26)/$C$8)))</f>
        <v>88.26666666666667</v>
      </c>
      <c r="K26" s="77">
        <f>IF($M$20-N26&gt;=$C$7,2,IF($M$20-N26&gt;=$C$7*2/3,3,IF($M$20-N26&gt;=$C$7*1/3,4,5)))</f>
        <v>3</v>
      </c>
      <c r="L26" s="130">
        <f>MAX($C$16,MIN($C$11,($C$16+($C$11-$C$16)*($M$20-N26)/$C$8)))</f>
        <v>97</v>
      </c>
      <c r="M26" s="131">
        <f>MAX($D$16,MIN($D$11,($D$16+($D$11-$D$16)*($M$20-N26)/$C$8)))</f>
        <v>99</v>
      </c>
      <c r="N26" s="31">
        <v>1920</v>
      </c>
      <c r="O26" s="11" t="s">
        <v>427</v>
      </c>
      <c r="P26" s="11" t="s">
        <v>873</v>
      </c>
      <c r="Q26" s="45" t="s">
        <v>38</v>
      </c>
      <c r="R26" s="36"/>
      <c r="S26" s="186"/>
      <c r="T26" s="36"/>
      <c r="U26" s="54"/>
      <c r="V26" s="54"/>
      <c r="W26" s="54"/>
      <c r="X26" s="54"/>
      <c r="Y26" s="54"/>
      <c r="Z26" s="47"/>
    </row>
    <row r="27" spans="1:26" ht="12.75" customHeight="1">
      <c r="A27" s="70" t="s">
        <v>294</v>
      </c>
      <c r="B27" s="70">
        <v>1</v>
      </c>
      <c r="C27" s="60">
        <f aca="true" t="shared" si="0" ref="C27:C46">$C$12</f>
        <v>97</v>
      </c>
      <c r="D27" s="80">
        <f aca="true" t="shared" si="1" ref="D27:D46">$D$12</f>
        <v>99</v>
      </c>
      <c r="E27" s="70">
        <v>1</v>
      </c>
      <c r="F27" s="60">
        <f aca="true" t="shared" si="2" ref="F27:F46">$C$12</f>
        <v>97</v>
      </c>
      <c r="G27" s="80">
        <f aca="true" t="shared" si="3" ref="G27:G46">$D$12</f>
        <v>99</v>
      </c>
      <c r="H27" s="70">
        <v>1</v>
      </c>
      <c r="I27" s="60">
        <f aca="true" t="shared" si="4" ref="I27:I46">$C$12</f>
        <v>97</v>
      </c>
      <c r="J27" s="80">
        <f aca="true" t="shared" si="5" ref="J27:J46">$D$12</f>
        <v>99</v>
      </c>
      <c r="K27" s="70">
        <v>1</v>
      </c>
      <c r="L27" s="60">
        <f aca="true" t="shared" si="6" ref="L27:L46">$C$12</f>
        <v>97</v>
      </c>
      <c r="M27" s="80">
        <f aca="true" t="shared" si="7" ref="M27:M46">$D$12</f>
        <v>99</v>
      </c>
      <c r="N27" s="31"/>
      <c r="O27" s="15"/>
      <c r="P27" s="45" t="s">
        <v>411</v>
      </c>
      <c r="Q27" s="45" t="s">
        <v>59</v>
      </c>
      <c r="R27" s="36"/>
      <c r="S27" s="186"/>
      <c r="T27" s="36"/>
      <c r="U27" s="54"/>
      <c r="V27" s="54"/>
      <c r="W27" s="54"/>
      <c r="X27" s="54"/>
      <c r="Y27" s="54"/>
      <c r="Z27" s="47"/>
    </row>
    <row r="28" spans="1:26" ht="13.5" customHeight="1">
      <c r="A28" s="70" t="s">
        <v>281</v>
      </c>
      <c r="B28" s="70">
        <v>1</v>
      </c>
      <c r="C28" s="60">
        <f t="shared" si="0"/>
        <v>97</v>
      </c>
      <c r="D28" s="80">
        <f t="shared" si="1"/>
        <v>99</v>
      </c>
      <c r="E28" s="70">
        <v>1</v>
      </c>
      <c r="F28" s="60">
        <f t="shared" si="2"/>
        <v>97</v>
      </c>
      <c r="G28" s="80">
        <f t="shared" si="3"/>
        <v>99</v>
      </c>
      <c r="H28" s="70">
        <v>1</v>
      </c>
      <c r="I28" s="60">
        <f t="shared" si="4"/>
        <v>97</v>
      </c>
      <c r="J28" s="80">
        <f t="shared" si="5"/>
        <v>99</v>
      </c>
      <c r="K28" s="70">
        <v>1</v>
      </c>
      <c r="L28" s="60">
        <f t="shared" si="6"/>
        <v>97</v>
      </c>
      <c r="M28" s="80">
        <f t="shared" si="7"/>
        <v>99</v>
      </c>
      <c r="N28" s="31"/>
      <c r="O28" s="15"/>
      <c r="P28" s="45" t="s">
        <v>411</v>
      </c>
      <c r="Q28" s="24" t="s">
        <v>0</v>
      </c>
      <c r="R28" s="36"/>
      <c r="S28" s="186"/>
      <c r="T28" s="36"/>
      <c r="U28" s="54"/>
      <c r="V28" s="54"/>
      <c r="W28" s="54"/>
      <c r="X28" s="54"/>
      <c r="Y28" s="54"/>
      <c r="Z28" s="47"/>
    </row>
    <row r="29" spans="1:26" ht="12.75" customHeight="1">
      <c r="A29" s="70" t="s">
        <v>211</v>
      </c>
      <c r="B29" s="70">
        <v>1</v>
      </c>
      <c r="C29" s="60">
        <f t="shared" si="0"/>
        <v>97</v>
      </c>
      <c r="D29" s="80">
        <f t="shared" si="1"/>
        <v>99</v>
      </c>
      <c r="E29" s="70">
        <v>1</v>
      </c>
      <c r="F29" s="60">
        <f t="shared" si="2"/>
        <v>97</v>
      </c>
      <c r="G29" s="80">
        <f t="shared" si="3"/>
        <v>99</v>
      </c>
      <c r="H29" s="70">
        <v>1</v>
      </c>
      <c r="I29" s="60">
        <f t="shared" si="4"/>
        <v>97</v>
      </c>
      <c r="J29" s="80">
        <f t="shared" si="5"/>
        <v>99</v>
      </c>
      <c r="K29" s="70">
        <v>1</v>
      </c>
      <c r="L29" s="60">
        <f t="shared" si="6"/>
        <v>97</v>
      </c>
      <c r="M29" s="80">
        <f t="shared" si="7"/>
        <v>99</v>
      </c>
      <c r="N29" s="31"/>
      <c r="O29" s="15"/>
      <c r="P29" s="45" t="s">
        <v>411</v>
      </c>
      <c r="Q29" s="24" t="s">
        <v>156</v>
      </c>
      <c r="R29" s="36"/>
      <c r="S29" s="186"/>
      <c r="T29" s="36"/>
      <c r="U29" s="54"/>
      <c r="V29" s="54"/>
      <c r="W29" s="54"/>
      <c r="X29" s="54"/>
      <c r="Y29" s="54"/>
      <c r="Z29" s="47"/>
    </row>
    <row r="30" spans="1:26" ht="13.5" customHeight="1">
      <c r="A30" s="70" t="s">
        <v>437</v>
      </c>
      <c r="B30" s="70">
        <v>1</v>
      </c>
      <c r="C30" s="60">
        <f t="shared" si="0"/>
        <v>97</v>
      </c>
      <c r="D30" s="80">
        <f t="shared" si="1"/>
        <v>99</v>
      </c>
      <c r="E30" s="70">
        <v>1</v>
      </c>
      <c r="F30" s="60">
        <f t="shared" si="2"/>
        <v>97</v>
      </c>
      <c r="G30" s="80">
        <f t="shared" si="3"/>
        <v>99</v>
      </c>
      <c r="H30" s="70">
        <v>1</v>
      </c>
      <c r="I30" s="60">
        <f t="shared" si="4"/>
        <v>97</v>
      </c>
      <c r="J30" s="80">
        <f t="shared" si="5"/>
        <v>99</v>
      </c>
      <c r="K30" s="70">
        <v>1</v>
      </c>
      <c r="L30" s="60">
        <f t="shared" si="6"/>
        <v>97</v>
      </c>
      <c r="M30" s="80">
        <f t="shared" si="7"/>
        <v>99</v>
      </c>
      <c r="N30" s="31"/>
      <c r="O30" s="15"/>
      <c r="P30" s="45" t="s">
        <v>411</v>
      </c>
      <c r="Q30" s="24" t="s">
        <v>916</v>
      </c>
      <c r="R30" s="36"/>
      <c r="S30" s="186"/>
      <c r="T30" s="36"/>
      <c r="U30" s="54"/>
      <c r="V30" s="54"/>
      <c r="W30" s="54"/>
      <c r="X30" s="54"/>
      <c r="Y30" s="54"/>
      <c r="Z30" s="47"/>
    </row>
    <row r="31" spans="1:26" ht="12.75" customHeight="1">
      <c r="A31" s="70" t="s">
        <v>212</v>
      </c>
      <c r="B31" s="70">
        <v>1</v>
      </c>
      <c r="C31" s="60">
        <f t="shared" si="0"/>
        <v>97</v>
      </c>
      <c r="D31" s="80">
        <f t="shared" si="1"/>
        <v>99</v>
      </c>
      <c r="E31" s="70">
        <v>1</v>
      </c>
      <c r="F31" s="60">
        <f t="shared" si="2"/>
        <v>97</v>
      </c>
      <c r="G31" s="80">
        <f t="shared" si="3"/>
        <v>99</v>
      </c>
      <c r="H31" s="70">
        <v>1</v>
      </c>
      <c r="I31" s="60">
        <f t="shared" si="4"/>
        <v>97</v>
      </c>
      <c r="J31" s="80">
        <f t="shared" si="5"/>
        <v>99</v>
      </c>
      <c r="K31" s="70">
        <v>1</v>
      </c>
      <c r="L31" s="60">
        <f t="shared" si="6"/>
        <v>97</v>
      </c>
      <c r="M31" s="80">
        <f t="shared" si="7"/>
        <v>99</v>
      </c>
      <c r="N31" s="31"/>
      <c r="O31" s="15"/>
      <c r="P31" s="45" t="s">
        <v>411</v>
      </c>
      <c r="Q31" s="24" t="s">
        <v>158</v>
      </c>
      <c r="R31" s="36"/>
      <c r="S31" s="186"/>
      <c r="T31" s="36"/>
      <c r="U31" s="54"/>
      <c r="V31" s="54"/>
      <c r="W31" s="54"/>
      <c r="X31" s="54"/>
      <c r="Y31" s="54"/>
      <c r="Z31" s="47"/>
    </row>
    <row r="32" spans="1:26" ht="13.5" customHeight="1">
      <c r="A32" s="70" t="s">
        <v>213</v>
      </c>
      <c r="B32" s="77">
        <f>IF($D$20-N32&gt;=$C$7,2,IF($D$20-N32&gt;=$C$7*2/3,3,IF($D$20-N32&gt;=$C$7*1/3,4,5)))</f>
        <v>5</v>
      </c>
      <c r="C32" s="130">
        <f>MAX($C$15,MIN($C$11,($C$15+($C$11-$C$15)*($D$20-N32)/$C$8)))</f>
        <v>53.3</v>
      </c>
      <c r="D32" s="131">
        <f>MAX($D$15,MIN($D$11,($D$15+($D$11-$D$15)*($D$20-N32)/$C$8)))</f>
        <v>69.1</v>
      </c>
      <c r="E32" s="77">
        <f>IF($G$20-N32&gt;=$C$7,2,IF($G$20-N32&gt;=$C$7*2/3,3,IF($G$20-N32&gt;=$C$7*1/3,4,5)))</f>
        <v>5</v>
      </c>
      <c r="F32" s="130">
        <f>MAX($C$15,MIN($C$11,($C$15+($C$11-$C$15)*($G$20-N32)/$C$8)))</f>
        <v>66.6</v>
      </c>
      <c r="G32" s="131">
        <f>MAX($D$15,MIN($D$11,($D$15+($D$11-$D$15)*($G$20-N32)/$C$8)))</f>
        <v>78.2</v>
      </c>
      <c r="H32" s="77">
        <f>IF($J$20-N32&gt;=$C$7,2,IF($J$20-N32&gt;=$C$7*2/3,3,IF($J$20-N32&gt;=$C$7*1/3,4,5)))</f>
        <v>4</v>
      </c>
      <c r="I32" s="130">
        <f>MAX($C$15,MIN($C$11,($C$15+($C$11-$C$15)*($J$20-N32)/$C$8)))</f>
        <v>81.8</v>
      </c>
      <c r="J32" s="131">
        <f>MAX($D$15,MIN($D$11,($D$15+($D$11-$D$15)*($J$20-N32)/$C$8)))</f>
        <v>88.6</v>
      </c>
      <c r="K32" s="77">
        <f>IF($M$20-N32&gt;=$C$7,2,IF($M$20-N32&gt;=$C$7*2/3,3,IF($M$20-N32&gt;=$C$7*1/3,4,5)))</f>
        <v>2</v>
      </c>
      <c r="L32" s="130">
        <f>MAX($C$15,MIN($C$11,($C$15+($C$11-$C$15)*($M$20-N32)/$C$8)))</f>
        <v>97</v>
      </c>
      <c r="M32" s="131">
        <f>MAX($D$15,MIN($D$11,($D$15+($D$11-$D$15)*($M$20-N32)/$C$8)))</f>
        <v>99</v>
      </c>
      <c r="N32" s="31">
        <v>1905</v>
      </c>
      <c r="O32" s="11" t="s">
        <v>427</v>
      </c>
      <c r="P32" s="15" t="s">
        <v>412</v>
      </c>
      <c r="Q32" s="24" t="s">
        <v>914</v>
      </c>
      <c r="R32" s="36"/>
      <c r="S32" s="186"/>
      <c r="T32" s="36"/>
      <c r="U32" s="54"/>
      <c r="V32" s="54"/>
      <c r="W32" s="54"/>
      <c r="X32" s="54"/>
      <c r="Y32" s="54"/>
      <c r="Z32" s="47"/>
    </row>
    <row r="33" spans="1:26" ht="12.75" customHeight="1">
      <c r="A33" s="70" t="s">
        <v>214</v>
      </c>
      <c r="B33" s="70">
        <v>1</v>
      </c>
      <c r="C33" s="60">
        <f t="shared" si="0"/>
        <v>97</v>
      </c>
      <c r="D33" s="80">
        <f t="shared" si="1"/>
        <v>99</v>
      </c>
      <c r="E33" s="70">
        <v>1</v>
      </c>
      <c r="F33" s="60">
        <f t="shared" si="2"/>
        <v>97</v>
      </c>
      <c r="G33" s="80">
        <f t="shared" si="3"/>
        <v>99</v>
      </c>
      <c r="H33" s="70">
        <v>1</v>
      </c>
      <c r="I33" s="60">
        <f t="shared" si="4"/>
        <v>97</v>
      </c>
      <c r="J33" s="80">
        <f t="shared" si="5"/>
        <v>99</v>
      </c>
      <c r="K33" s="70">
        <v>1</v>
      </c>
      <c r="L33" s="60">
        <f t="shared" si="6"/>
        <v>97</v>
      </c>
      <c r="M33" s="80">
        <f t="shared" si="7"/>
        <v>99</v>
      </c>
      <c r="N33" s="31"/>
      <c r="O33" s="15"/>
      <c r="P33" s="45" t="s">
        <v>411</v>
      </c>
      <c r="Q33" s="24" t="s">
        <v>65</v>
      </c>
      <c r="R33" s="36"/>
      <c r="S33" s="186"/>
      <c r="T33" s="36"/>
      <c r="U33" s="54"/>
      <c r="V33" s="54"/>
      <c r="W33" s="54"/>
      <c r="X33" s="54"/>
      <c r="Y33" s="54"/>
      <c r="Z33" s="47"/>
    </row>
    <row r="34" spans="1:26" ht="13.5" customHeight="1">
      <c r="A34" s="70" t="s">
        <v>226</v>
      </c>
      <c r="B34" s="70">
        <v>1</v>
      </c>
      <c r="C34" s="60">
        <f t="shared" si="0"/>
        <v>97</v>
      </c>
      <c r="D34" s="80">
        <f t="shared" si="1"/>
        <v>99</v>
      </c>
      <c r="E34" s="70">
        <v>1</v>
      </c>
      <c r="F34" s="60">
        <f t="shared" si="2"/>
        <v>97</v>
      </c>
      <c r="G34" s="80">
        <f t="shared" si="3"/>
        <v>99</v>
      </c>
      <c r="H34" s="70">
        <v>1</v>
      </c>
      <c r="I34" s="60">
        <f t="shared" si="4"/>
        <v>97</v>
      </c>
      <c r="J34" s="80">
        <f t="shared" si="5"/>
        <v>99</v>
      </c>
      <c r="K34" s="70">
        <v>1</v>
      </c>
      <c r="L34" s="60">
        <f t="shared" si="6"/>
        <v>97</v>
      </c>
      <c r="M34" s="80">
        <f t="shared" si="7"/>
        <v>99</v>
      </c>
      <c r="N34" s="31"/>
      <c r="O34" s="15"/>
      <c r="P34" s="45" t="s">
        <v>411</v>
      </c>
      <c r="Q34" s="24" t="s">
        <v>49</v>
      </c>
      <c r="R34" s="36"/>
      <c r="S34" s="186"/>
      <c r="T34" s="36"/>
      <c r="U34" s="54"/>
      <c r="V34" s="54"/>
      <c r="W34" s="54"/>
      <c r="X34" s="54"/>
      <c r="Y34" s="54"/>
      <c r="Z34" s="47"/>
    </row>
    <row r="35" spans="1:26" ht="14.25" customHeight="1">
      <c r="A35" s="70" t="s">
        <v>236</v>
      </c>
      <c r="B35" s="70">
        <v>1</v>
      </c>
      <c r="C35" s="60">
        <f t="shared" si="0"/>
        <v>97</v>
      </c>
      <c r="D35" s="80">
        <f t="shared" si="1"/>
        <v>99</v>
      </c>
      <c r="E35" s="70">
        <v>1</v>
      </c>
      <c r="F35" s="60">
        <f t="shared" si="2"/>
        <v>97</v>
      </c>
      <c r="G35" s="80">
        <f t="shared" si="3"/>
        <v>99</v>
      </c>
      <c r="H35" s="70">
        <v>1</v>
      </c>
      <c r="I35" s="60">
        <f t="shared" si="4"/>
        <v>97</v>
      </c>
      <c r="J35" s="80">
        <f t="shared" si="5"/>
        <v>99</v>
      </c>
      <c r="K35" s="70">
        <v>1</v>
      </c>
      <c r="L35" s="60">
        <f t="shared" si="6"/>
        <v>97</v>
      </c>
      <c r="M35" s="80">
        <f t="shared" si="7"/>
        <v>99</v>
      </c>
      <c r="N35" s="31"/>
      <c r="O35" s="15"/>
      <c r="P35" s="45" t="s">
        <v>411</v>
      </c>
      <c r="Q35" s="24" t="s">
        <v>50</v>
      </c>
      <c r="R35" s="36"/>
      <c r="S35" s="186"/>
      <c r="T35" s="36"/>
      <c r="U35" s="54"/>
      <c r="V35" s="54"/>
      <c r="W35" s="54"/>
      <c r="X35" s="54"/>
      <c r="Y35" s="54"/>
      <c r="Z35" s="47"/>
    </row>
    <row r="36" spans="1:26" ht="12.75" customHeight="1">
      <c r="A36" s="70" t="s">
        <v>223</v>
      </c>
      <c r="B36" s="70">
        <v>1</v>
      </c>
      <c r="C36" s="60">
        <f t="shared" si="0"/>
        <v>97</v>
      </c>
      <c r="D36" s="80">
        <f t="shared" si="1"/>
        <v>99</v>
      </c>
      <c r="E36" s="70">
        <v>1</v>
      </c>
      <c r="F36" s="60">
        <f t="shared" si="2"/>
        <v>97</v>
      </c>
      <c r="G36" s="80">
        <f t="shared" si="3"/>
        <v>99</v>
      </c>
      <c r="H36" s="70">
        <v>1</v>
      </c>
      <c r="I36" s="60">
        <f t="shared" si="4"/>
        <v>97</v>
      </c>
      <c r="J36" s="80">
        <f t="shared" si="5"/>
        <v>99</v>
      </c>
      <c r="K36" s="70">
        <v>1</v>
      </c>
      <c r="L36" s="60">
        <f t="shared" si="6"/>
        <v>97</v>
      </c>
      <c r="M36" s="80">
        <f t="shared" si="7"/>
        <v>99</v>
      </c>
      <c r="N36" s="31"/>
      <c r="O36" s="15"/>
      <c r="P36" s="45" t="s">
        <v>411</v>
      </c>
      <c r="Q36" s="24" t="s">
        <v>47</v>
      </c>
      <c r="R36" s="36"/>
      <c r="S36" s="186"/>
      <c r="T36" s="36"/>
      <c r="U36" s="54"/>
      <c r="V36" s="54"/>
      <c r="W36" s="54"/>
      <c r="X36" s="54"/>
      <c r="Y36" s="54"/>
      <c r="Z36" s="47"/>
    </row>
    <row r="37" spans="1:26" ht="13.5" customHeight="1">
      <c r="A37" s="70" t="s">
        <v>224</v>
      </c>
      <c r="B37" s="70">
        <v>1</v>
      </c>
      <c r="C37" s="60">
        <f t="shared" si="0"/>
        <v>97</v>
      </c>
      <c r="D37" s="80">
        <f t="shared" si="1"/>
        <v>99</v>
      </c>
      <c r="E37" s="70">
        <v>1</v>
      </c>
      <c r="F37" s="60">
        <f t="shared" si="2"/>
        <v>97</v>
      </c>
      <c r="G37" s="80">
        <f t="shared" si="3"/>
        <v>99</v>
      </c>
      <c r="H37" s="70">
        <v>1</v>
      </c>
      <c r="I37" s="60">
        <f t="shared" si="4"/>
        <v>97</v>
      </c>
      <c r="J37" s="80">
        <f t="shared" si="5"/>
        <v>99</v>
      </c>
      <c r="K37" s="70">
        <v>1</v>
      </c>
      <c r="L37" s="60">
        <f t="shared" si="6"/>
        <v>97</v>
      </c>
      <c r="M37" s="80">
        <f t="shared" si="7"/>
        <v>99</v>
      </c>
      <c r="N37" s="31"/>
      <c r="O37" s="15"/>
      <c r="P37" s="45" t="s">
        <v>411</v>
      </c>
      <c r="Q37" s="24" t="s">
        <v>51</v>
      </c>
      <c r="R37" s="36"/>
      <c r="S37" s="186"/>
      <c r="T37" s="36"/>
      <c r="U37" s="54"/>
      <c r="V37" s="54"/>
      <c r="W37" s="54"/>
      <c r="X37" s="54"/>
      <c r="Y37" s="54"/>
      <c r="Z37" s="47"/>
    </row>
    <row r="38" spans="1:26" ht="12.75">
      <c r="A38" s="70" t="s">
        <v>440</v>
      </c>
      <c r="B38" s="70">
        <v>1</v>
      </c>
      <c r="C38" s="60">
        <f t="shared" si="0"/>
        <v>97</v>
      </c>
      <c r="D38" s="80">
        <f t="shared" si="1"/>
        <v>99</v>
      </c>
      <c r="E38" s="70">
        <v>1</v>
      </c>
      <c r="F38" s="60">
        <f t="shared" si="2"/>
        <v>97</v>
      </c>
      <c r="G38" s="80">
        <f t="shared" si="3"/>
        <v>99</v>
      </c>
      <c r="H38" s="70">
        <v>1</v>
      </c>
      <c r="I38" s="60">
        <f t="shared" si="4"/>
        <v>97</v>
      </c>
      <c r="J38" s="80">
        <f t="shared" si="5"/>
        <v>99</v>
      </c>
      <c r="K38" s="70">
        <v>1</v>
      </c>
      <c r="L38" s="60">
        <f t="shared" si="6"/>
        <v>97</v>
      </c>
      <c r="M38" s="80">
        <f t="shared" si="7"/>
        <v>99</v>
      </c>
      <c r="N38" s="31"/>
      <c r="O38" s="15"/>
      <c r="P38" s="45" t="s">
        <v>411</v>
      </c>
      <c r="Q38" s="24" t="s">
        <v>52</v>
      </c>
      <c r="R38" s="36"/>
      <c r="S38" s="186"/>
      <c r="T38" s="36"/>
      <c r="U38" s="54"/>
      <c r="V38" s="54"/>
      <c r="W38" s="54"/>
      <c r="X38" s="54"/>
      <c r="Y38" s="54"/>
      <c r="Z38" s="47"/>
    </row>
    <row r="39" spans="1:26" ht="12.75" customHeight="1">
      <c r="A39" s="70" t="s">
        <v>225</v>
      </c>
      <c r="B39" s="70">
        <v>1</v>
      </c>
      <c r="C39" s="60">
        <f t="shared" si="0"/>
        <v>97</v>
      </c>
      <c r="D39" s="80">
        <f t="shared" si="1"/>
        <v>99</v>
      </c>
      <c r="E39" s="70">
        <v>1</v>
      </c>
      <c r="F39" s="60">
        <f t="shared" si="2"/>
        <v>97</v>
      </c>
      <c r="G39" s="80">
        <f t="shared" si="3"/>
        <v>99</v>
      </c>
      <c r="H39" s="70">
        <v>1</v>
      </c>
      <c r="I39" s="60">
        <f t="shared" si="4"/>
        <v>97</v>
      </c>
      <c r="J39" s="80">
        <f t="shared" si="5"/>
        <v>99</v>
      </c>
      <c r="K39" s="70">
        <v>1</v>
      </c>
      <c r="L39" s="60">
        <f t="shared" si="6"/>
        <v>97</v>
      </c>
      <c r="M39" s="80">
        <f t="shared" si="7"/>
        <v>99</v>
      </c>
      <c r="N39" s="31"/>
      <c r="O39" s="15"/>
      <c r="P39" s="45" t="s">
        <v>411</v>
      </c>
      <c r="Q39" s="24" t="s">
        <v>156</v>
      </c>
      <c r="R39" s="36"/>
      <c r="S39" s="186"/>
      <c r="T39" s="36"/>
      <c r="U39" s="54"/>
      <c r="V39" s="54"/>
      <c r="W39" s="54"/>
      <c r="X39" s="54"/>
      <c r="Y39" s="54"/>
      <c r="Z39" s="47"/>
    </row>
    <row r="40" spans="1:26" ht="13.5" customHeight="1">
      <c r="A40" s="70" t="s">
        <v>441</v>
      </c>
      <c r="B40" s="77">
        <f>IF($D$20-N40&gt;=$C$7,2,IF($D$20-N40&gt;=$C$7*2/3,3,IF($D$20-N40&gt;=$C$7*1/3,4,5)))</f>
        <v>5</v>
      </c>
      <c r="C40" s="130">
        <f>MAX($C$15,MIN($C$11,($C$15+($C$11-$C$15)*($D$20-N40)/$C$8)))</f>
        <v>62.8</v>
      </c>
      <c r="D40" s="131">
        <f>MAX($D$15,MIN($D$11,($D$15+($D$11-$D$15)*($D$20-N40)/$C$8)))</f>
        <v>75.6</v>
      </c>
      <c r="E40" s="77">
        <f>IF($G$20-N40&gt;=$C$7,2,IF($G$20-N40&gt;=$C$7*2/3,3,IF($G$20-N40&gt;=$C$7*1/3,4,5)))</f>
        <v>4</v>
      </c>
      <c r="F40" s="130">
        <f>MAX($C$15,MIN($C$11,($C$15+($C$11-$C$15)*($G$20-N40)/$C$8)))</f>
        <v>76.1</v>
      </c>
      <c r="G40" s="131">
        <f>MAX($D$15,MIN($D$11,($D$15+($D$11-$D$15)*($G$20-N40)/$C$8)))</f>
        <v>84.7</v>
      </c>
      <c r="H40" s="77">
        <f>IF($J$20-N40&gt;=$C$7,2,IF($J$20-N40&gt;=$C$7*2/3,3,IF($J$20-N40&gt;=$C$7*1/3,4,5)))</f>
        <v>4</v>
      </c>
      <c r="I40" s="130">
        <f>MAX($C$15,MIN($C$11,($C$15+($C$11-$C$15)*($J$20-N40)/$C$8)))</f>
        <v>91.3</v>
      </c>
      <c r="J40" s="131">
        <f>MAX($D$15,MIN($D$11,($D$15+($D$11-$D$15)*($J$20-N40)/$C$8)))</f>
        <v>95.1</v>
      </c>
      <c r="K40" s="77">
        <f>IF($M$20-N40&gt;=$C$7,2,IF($M$20-N40&gt;=$C$7*2/3,3,IF($M$20-N40&gt;=$C$7*1/3,4,5)))</f>
        <v>2</v>
      </c>
      <c r="L40" s="130">
        <f>MAX($C$15,MIN($C$11,($C$15+($C$11-$C$15)*($M$20-N40)/$C$8)))</f>
        <v>97</v>
      </c>
      <c r="M40" s="131">
        <f>MAX($D$15,MIN($D$11,($D$15+($D$11-$D$15)*($M$20-N40)/$C$8)))</f>
        <v>99</v>
      </c>
      <c r="N40" s="31">
        <v>1900</v>
      </c>
      <c r="O40" s="15" t="s">
        <v>427</v>
      </c>
      <c r="P40" s="15" t="s">
        <v>412</v>
      </c>
      <c r="Q40" s="24" t="s">
        <v>915</v>
      </c>
      <c r="R40" s="36"/>
      <c r="S40" s="186"/>
      <c r="T40" s="36"/>
      <c r="U40" s="54"/>
      <c r="V40" s="54"/>
      <c r="W40" s="54"/>
      <c r="X40" s="54"/>
      <c r="Y40" s="54"/>
      <c r="Z40" s="47"/>
    </row>
    <row r="41" spans="1:26" ht="12.75" customHeight="1">
      <c r="A41" s="70" t="s">
        <v>227</v>
      </c>
      <c r="B41" s="70">
        <v>1</v>
      </c>
      <c r="C41" s="60">
        <f t="shared" si="0"/>
        <v>97</v>
      </c>
      <c r="D41" s="80">
        <f t="shared" si="1"/>
        <v>99</v>
      </c>
      <c r="E41" s="70">
        <v>1</v>
      </c>
      <c r="F41" s="60">
        <f t="shared" si="2"/>
        <v>97</v>
      </c>
      <c r="G41" s="80">
        <f t="shared" si="3"/>
        <v>99</v>
      </c>
      <c r="H41" s="70">
        <v>1</v>
      </c>
      <c r="I41" s="60">
        <f t="shared" si="4"/>
        <v>97</v>
      </c>
      <c r="J41" s="80">
        <f t="shared" si="5"/>
        <v>99</v>
      </c>
      <c r="K41" s="70">
        <v>1</v>
      </c>
      <c r="L41" s="60">
        <f t="shared" si="6"/>
        <v>97</v>
      </c>
      <c r="M41" s="80">
        <f t="shared" si="7"/>
        <v>99</v>
      </c>
      <c r="N41" s="31"/>
      <c r="O41" s="15"/>
      <c r="P41" s="45" t="s">
        <v>411</v>
      </c>
      <c r="Q41" s="24" t="s">
        <v>51</v>
      </c>
      <c r="R41" s="36"/>
      <c r="S41" s="186"/>
      <c r="T41" s="36"/>
      <c r="U41" s="54"/>
      <c r="V41" s="54"/>
      <c r="W41" s="54"/>
      <c r="X41" s="54"/>
      <c r="Y41" s="54"/>
      <c r="Z41" s="47"/>
    </row>
    <row r="42" spans="1:26" ht="12.75">
      <c r="A42" s="70" t="s">
        <v>228</v>
      </c>
      <c r="B42" s="70">
        <v>1</v>
      </c>
      <c r="C42" s="60">
        <f t="shared" si="0"/>
        <v>97</v>
      </c>
      <c r="D42" s="80">
        <f t="shared" si="1"/>
        <v>99</v>
      </c>
      <c r="E42" s="70">
        <v>1</v>
      </c>
      <c r="F42" s="60">
        <f t="shared" si="2"/>
        <v>97</v>
      </c>
      <c r="G42" s="80">
        <f t="shared" si="3"/>
        <v>99</v>
      </c>
      <c r="H42" s="70">
        <v>1</v>
      </c>
      <c r="I42" s="60">
        <f t="shared" si="4"/>
        <v>97</v>
      </c>
      <c r="J42" s="80">
        <f t="shared" si="5"/>
        <v>99</v>
      </c>
      <c r="K42" s="70">
        <v>1</v>
      </c>
      <c r="L42" s="60">
        <f t="shared" si="6"/>
        <v>97</v>
      </c>
      <c r="M42" s="80">
        <f t="shared" si="7"/>
        <v>99</v>
      </c>
      <c r="N42" s="31"/>
      <c r="O42" s="15"/>
      <c r="P42" s="45" t="s">
        <v>411</v>
      </c>
      <c r="Q42" s="24" t="s">
        <v>66</v>
      </c>
      <c r="R42" s="36"/>
      <c r="S42" s="186"/>
      <c r="T42" s="36"/>
      <c r="U42" s="54"/>
      <c r="V42" s="54"/>
      <c r="W42" s="54"/>
      <c r="X42" s="54"/>
      <c r="Y42" s="54"/>
      <c r="Z42" s="47"/>
    </row>
    <row r="43" spans="1:26" ht="13.5" customHeight="1">
      <c r="A43" s="70" t="s">
        <v>207</v>
      </c>
      <c r="B43" s="70">
        <v>1</v>
      </c>
      <c r="C43" s="60">
        <f t="shared" si="0"/>
        <v>97</v>
      </c>
      <c r="D43" s="80">
        <f t="shared" si="1"/>
        <v>99</v>
      </c>
      <c r="E43" s="70">
        <v>1</v>
      </c>
      <c r="F43" s="60">
        <f t="shared" si="2"/>
        <v>97</v>
      </c>
      <c r="G43" s="80">
        <f t="shared" si="3"/>
        <v>99</v>
      </c>
      <c r="H43" s="70">
        <v>1</v>
      </c>
      <c r="I43" s="60">
        <f t="shared" si="4"/>
        <v>97</v>
      </c>
      <c r="J43" s="80">
        <f t="shared" si="5"/>
        <v>99</v>
      </c>
      <c r="K43" s="70">
        <v>1</v>
      </c>
      <c r="L43" s="60">
        <f t="shared" si="6"/>
        <v>97</v>
      </c>
      <c r="M43" s="80">
        <f t="shared" si="7"/>
        <v>99</v>
      </c>
      <c r="N43" s="31"/>
      <c r="O43" s="15"/>
      <c r="P43" s="45" t="s">
        <v>411</v>
      </c>
      <c r="Q43" s="24" t="s">
        <v>161</v>
      </c>
      <c r="R43" s="36"/>
      <c r="S43" s="186"/>
      <c r="T43" s="36"/>
      <c r="U43" s="54"/>
      <c r="V43" s="54"/>
      <c r="W43" s="54"/>
      <c r="X43" s="54"/>
      <c r="Y43" s="54"/>
      <c r="Z43" s="47"/>
    </row>
    <row r="44" spans="1:26" ht="14.25" customHeight="1">
      <c r="A44" s="70" t="s">
        <v>182</v>
      </c>
      <c r="B44" s="70">
        <v>1</v>
      </c>
      <c r="C44" s="60">
        <f t="shared" si="0"/>
        <v>97</v>
      </c>
      <c r="D44" s="80">
        <f t="shared" si="1"/>
        <v>99</v>
      </c>
      <c r="E44" s="70">
        <v>1</v>
      </c>
      <c r="F44" s="60">
        <f t="shared" si="2"/>
        <v>97</v>
      </c>
      <c r="G44" s="80">
        <f t="shared" si="3"/>
        <v>99</v>
      </c>
      <c r="H44" s="70">
        <v>1</v>
      </c>
      <c r="I44" s="60">
        <f t="shared" si="4"/>
        <v>97</v>
      </c>
      <c r="J44" s="80">
        <f t="shared" si="5"/>
        <v>99</v>
      </c>
      <c r="K44" s="70">
        <v>1</v>
      </c>
      <c r="L44" s="60">
        <f t="shared" si="6"/>
        <v>97</v>
      </c>
      <c r="M44" s="80">
        <f t="shared" si="7"/>
        <v>99</v>
      </c>
      <c r="N44" s="31"/>
      <c r="O44" s="15"/>
      <c r="P44" s="45" t="s">
        <v>411</v>
      </c>
      <c r="Q44" s="24" t="s">
        <v>162</v>
      </c>
      <c r="R44" s="36"/>
      <c r="S44" s="186"/>
      <c r="T44" s="36"/>
      <c r="U44" s="54"/>
      <c r="V44" s="54"/>
      <c r="W44" s="54"/>
      <c r="X44" s="54"/>
      <c r="Y44" s="54"/>
      <c r="Z44" s="47"/>
    </row>
    <row r="45" spans="1:26" ht="14.25" customHeight="1">
      <c r="A45" s="70" t="s">
        <v>283</v>
      </c>
      <c r="B45" s="70">
        <v>1</v>
      </c>
      <c r="C45" s="60">
        <f t="shared" si="0"/>
        <v>97</v>
      </c>
      <c r="D45" s="80">
        <f t="shared" si="1"/>
        <v>99</v>
      </c>
      <c r="E45" s="70">
        <v>1</v>
      </c>
      <c r="F45" s="60">
        <f t="shared" si="2"/>
        <v>97</v>
      </c>
      <c r="G45" s="80">
        <f t="shared" si="3"/>
        <v>99</v>
      </c>
      <c r="H45" s="70">
        <v>1</v>
      </c>
      <c r="I45" s="60">
        <f t="shared" si="4"/>
        <v>97</v>
      </c>
      <c r="J45" s="80">
        <f t="shared" si="5"/>
        <v>99</v>
      </c>
      <c r="K45" s="70">
        <v>1</v>
      </c>
      <c r="L45" s="60">
        <f t="shared" si="6"/>
        <v>97</v>
      </c>
      <c r="M45" s="80">
        <f t="shared" si="7"/>
        <v>99</v>
      </c>
      <c r="N45" s="31"/>
      <c r="O45" s="15"/>
      <c r="P45" s="45" t="s">
        <v>411</v>
      </c>
      <c r="Q45" s="24" t="s">
        <v>163</v>
      </c>
      <c r="R45" s="36"/>
      <c r="S45" s="186"/>
      <c r="T45" s="36"/>
      <c r="U45" s="54"/>
      <c r="V45" s="54"/>
      <c r="W45" s="54"/>
      <c r="X45" s="54"/>
      <c r="Y45" s="54"/>
      <c r="Z45" s="47"/>
    </row>
    <row r="46" spans="1:26" ht="15.75" customHeight="1">
      <c r="A46" s="70" t="s">
        <v>204</v>
      </c>
      <c r="B46" s="70">
        <v>1</v>
      </c>
      <c r="C46" s="60">
        <f t="shared" si="0"/>
        <v>97</v>
      </c>
      <c r="D46" s="80">
        <f t="shared" si="1"/>
        <v>99</v>
      </c>
      <c r="E46" s="70">
        <v>1</v>
      </c>
      <c r="F46" s="60">
        <f t="shared" si="2"/>
        <v>97</v>
      </c>
      <c r="G46" s="80">
        <f t="shared" si="3"/>
        <v>99</v>
      </c>
      <c r="H46" s="70">
        <v>1</v>
      </c>
      <c r="I46" s="60">
        <f t="shared" si="4"/>
        <v>97</v>
      </c>
      <c r="J46" s="80">
        <f t="shared" si="5"/>
        <v>99</v>
      </c>
      <c r="K46" s="70">
        <v>1</v>
      </c>
      <c r="L46" s="60">
        <f t="shared" si="6"/>
        <v>97</v>
      </c>
      <c r="M46" s="80">
        <f t="shared" si="7"/>
        <v>99</v>
      </c>
      <c r="N46" s="31"/>
      <c r="O46" s="15"/>
      <c r="P46" s="45" t="s">
        <v>411</v>
      </c>
      <c r="Q46" s="24" t="s">
        <v>156</v>
      </c>
      <c r="R46" s="36"/>
      <c r="S46" s="186"/>
      <c r="T46" s="36"/>
      <c r="U46" s="54"/>
      <c r="V46" s="54"/>
      <c r="W46" s="54"/>
      <c r="X46" s="54"/>
      <c r="Y46" s="54"/>
      <c r="Z46" s="47"/>
    </row>
    <row r="47" spans="1:26" ht="23.25" customHeight="1">
      <c r="A47" s="70" t="s">
        <v>285</v>
      </c>
      <c r="B47" s="77">
        <f>IF($D$20-N47&gt;=$C$7,6,7)</f>
        <v>7</v>
      </c>
      <c r="C47" s="130">
        <f>MAX($C$13,MIN($C$11,($C$13+($C$11-$C$13)*($D$20-N47)/$C$8)))</f>
        <v>75</v>
      </c>
      <c r="D47" s="131">
        <f>MAX($D$13,MIN($D$11,($D$13+($D$11-$D$13)*($D$20-N47)/$C$8)))</f>
        <v>85</v>
      </c>
      <c r="E47" s="77">
        <f>IF($D$20-N47&gt;=$C$7,6,7)</f>
        <v>7</v>
      </c>
      <c r="F47" s="130">
        <f>MAX($C$13,MIN($C$11,($C$13+($C$11-$C$13)*($G$20-N47)/$C$8)))</f>
        <v>75</v>
      </c>
      <c r="G47" s="131">
        <f>MAX($D$13,MIN($D$11,($D$13+($D$11-$D$13)*($G$20-N47)/$C$8)))</f>
        <v>85</v>
      </c>
      <c r="H47" s="77">
        <f>IF($D$20-N47&gt;=$C$7,6,7)</f>
        <v>7</v>
      </c>
      <c r="I47" s="130">
        <f>MAX($C$13,MIN($C$11,($C$13+($C$11-$C$13)*($J$20-N47)/$C$8)))</f>
        <v>80.13333333333334</v>
      </c>
      <c r="J47" s="131">
        <f>MAX($D$13,MIN($D$11,($D$13+($D$11-$D$13)*($J$20-N47)/$C$8)))</f>
        <v>88.26666666666667</v>
      </c>
      <c r="K47" s="77">
        <f>IF($D$20-N47&gt;=$C$7,6,7)</f>
        <v>7</v>
      </c>
      <c r="L47" s="130">
        <f>MAX($C$13,MIN($C$11,($C$13+($C$11-$C$13)*($M$20-N47)/$C$8)))</f>
        <v>97</v>
      </c>
      <c r="M47" s="131">
        <f>MAX($D$13,MIN($D$11,($D$13+($D$11-$D$13)*($M$20-N47)/$C$8)))</f>
        <v>99</v>
      </c>
      <c r="N47" s="31">
        <v>1920</v>
      </c>
      <c r="O47" s="11" t="s">
        <v>124</v>
      </c>
      <c r="P47" s="15" t="s">
        <v>408</v>
      </c>
      <c r="Q47" s="24" t="s">
        <v>39</v>
      </c>
      <c r="R47" s="36"/>
      <c r="S47" s="186"/>
      <c r="T47" s="36"/>
      <c r="U47" s="54"/>
      <c r="V47" s="54"/>
      <c r="W47" s="54"/>
      <c r="X47" s="54"/>
      <c r="Y47" s="54"/>
      <c r="Z47" s="47"/>
    </row>
    <row r="48" spans="1:26" ht="12.75" customHeight="1">
      <c r="A48" s="70" t="s">
        <v>229</v>
      </c>
      <c r="B48" s="77">
        <f>IF($D$20-N48&gt;=$C$7,2,IF($D$20-N48&gt;=$C$7*2/3,3,IF($D$20-N48&gt;=$C$7*1/3,4,IF($D$20-N48&gt;=0,5,8))))</f>
        <v>8</v>
      </c>
      <c r="C48" s="130">
        <f>MAX($C$10,MIN($C$11,($C$14+($C$11-$C$14)*($D$20-N48)/$C$7)))</f>
        <v>0</v>
      </c>
      <c r="D48" s="131">
        <f>MAX($D$10,MIN($D$11,($D$14+($D$11-$D$14)*($D$20-N48)/$C$7)))</f>
        <v>14.733333333333334</v>
      </c>
      <c r="E48" s="77">
        <f>IF($G$20-N48&gt;=$C$7,2,IF($G$20-N48&gt;=$C$7*2/3,3,IF($G$20-N48&gt;=$C$7*1/3,4,IF($G$20-N48&gt;=0,5,8))))</f>
        <v>5</v>
      </c>
      <c r="F48" s="130">
        <f>MAX($C$10,MIN($C$11,($C$14+($C$11-$C$14)*($G$20-N48)/$C$7)))</f>
        <v>8.622222222222222</v>
      </c>
      <c r="G48" s="131">
        <f>MAX($D$10,MIN($D$11,($D$14+($D$11-$D$14)*($G$20-N48)/$C$7)))</f>
        <v>27.022222222222222</v>
      </c>
      <c r="H48" s="77">
        <f>IF($J$20-N48&gt;=$C$7,2,IF($J$20-N48&gt;=$C$7*2/3,3,IF($J$20-N48&gt;=$C$7*1/3,4,IF($J$20-N48&gt;=0,5,8))))</f>
        <v>5</v>
      </c>
      <c r="I48" s="130">
        <f>MAX($C$10,MIN($C$11,($C$14+($C$11-$C$14)*($J$20-N48)/$C$7)))</f>
        <v>25.866666666666667</v>
      </c>
      <c r="J48" s="131">
        <f>MAX($D$10,MIN($D$11,($D$14+($D$11-$D$14)*($J$20-N48)/$C$7)))</f>
        <v>41.06666666666666</v>
      </c>
      <c r="K48" s="77">
        <f>IF($M$20-N48&gt;=$C$7,2,IF($M$20-N48&gt;=$C$7*2/3,3,IF($M$20-N48&gt;=$C$7*1/3,4,IF($M$20-N48&gt;=0,5,8))))</f>
        <v>3</v>
      </c>
      <c r="L48" s="130">
        <f>MAX($C$10,MIN($C$11,($C$14+($C$11-$C$14)*($M$20-N48)/$C$7)))</f>
        <v>92.68888888888888</v>
      </c>
      <c r="M48" s="131">
        <f>MAX($D$10,MIN($D$11,($D$14+($D$11-$D$14)*($M$20-N48)/$C$7)))</f>
        <v>95.4888888888889</v>
      </c>
      <c r="N48" s="31">
        <v>1915</v>
      </c>
      <c r="O48" s="11" t="s">
        <v>426</v>
      </c>
      <c r="P48" s="15" t="s">
        <v>303</v>
      </c>
      <c r="Q48" s="24" t="s">
        <v>41</v>
      </c>
      <c r="R48" s="36"/>
      <c r="S48" s="186"/>
      <c r="T48" s="36"/>
      <c r="U48" s="54"/>
      <c r="V48" s="54"/>
      <c r="W48" s="54"/>
      <c r="X48" s="54"/>
      <c r="Y48" s="54"/>
      <c r="Z48" s="47"/>
    </row>
    <row r="49" spans="1:26" ht="12.75" customHeight="1">
      <c r="A49" s="70" t="s">
        <v>286</v>
      </c>
      <c r="B49" s="77">
        <f>IF($D$20-N49&gt;=$C$7,2,IF($D$20-N49&gt;=$C$7*2/3,3,IF($D$20-N49&gt;=$C$7*1/3,4,5)))</f>
        <v>5</v>
      </c>
      <c r="C49" s="130">
        <f>MAX($C$15,MIN($C$11,($C$15+($C$11-$C$15)*($D$20-N49)/$C$8)))</f>
        <v>62.8</v>
      </c>
      <c r="D49" s="131">
        <f>MAX($D$15,MIN($D$11,($D$15+($D$11-$D$15)*($D$20-N49)/$C$8)))</f>
        <v>75.6</v>
      </c>
      <c r="E49" s="77">
        <f>IF($G$20-N49&gt;=$C$7,2,IF($G$20-N49&gt;=$C$7*2/3,3,IF($G$20-N49&gt;=$C$7*1/3,4,5)))</f>
        <v>4</v>
      </c>
      <c r="F49" s="130">
        <f>MAX($C$15,MIN($C$11,($C$15+($C$11-$C$15)*($G$20-N49)/$C$8)))</f>
        <v>76.1</v>
      </c>
      <c r="G49" s="131">
        <f>MAX($D$15,MIN($D$11,($D$15+($D$11-$D$15)*($G$20-N49)/$C$8)))</f>
        <v>84.7</v>
      </c>
      <c r="H49" s="77">
        <f>IF($J$20-N49&gt;=$C$7,2,IF($J$20-N49&gt;=$C$7*2/3,3,IF($J$20-N49&gt;=$C$7*1/3,4,5)))</f>
        <v>4</v>
      </c>
      <c r="I49" s="130">
        <f>MAX($C$15,MIN($C$11,($C$15+($C$11-$C$15)*($J$20-N49)/$C$8)))</f>
        <v>91.3</v>
      </c>
      <c r="J49" s="131">
        <f>MAX($D$15,MIN($D$11,($D$15+($D$11-$D$15)*($J$20-N49)/$C$8)))</f>
        <v>95.1</v>
      </c>
      <c r="K49" s="77">
        <f>IF($M$20-N49&gt;=$C$7,2,IF($M$20-N49&gt;=$C$7*2/3,3,IF($M$20-N49&gt;=$C$7*1/3,4,5)))</f>
        <v>2</v>
      </c>
      <c r="L49" s="130">
        <f>MAX($C$15,MIN($C$11,($C$15+($C$11-$C$15)*($M$20-N49)/$C$8)))</f>
        <v>97</v>
      </c>
      <c r="M49" s="131">
        <f>MAX($D$15,MIN($D$11,($D$15+($D$11-$D$15)*($M$20-N49)/$C$8)))</f>
        <v>99</v>
      </c>
      <c r="N49" s="31">
        <v>1900</v>
      </c>
      <c r="O49" s="11" t="s">
        <v>427</v>
      </c>
      <c r="P49" s="15" t="s">
        <v>412</v>
      </c>
      <c r="Q49" s="24" t="s">
        <v>40</v>
      </c>
      <c r="R49" s="36"/>
      <c r="S49" s="186"/>
      <c r="T49" s="36"/>
      <c r="U49" s="54"/>
      <c r="V49" s="54"/>
      <c r="W49" s="54"/>
      <c r="X49" s="54"/>
      <c r="Y49" s="54"/>
      <c r="Z49" s="47"/>
    </row>
    <row r="50" spans="1:26" ht="14.25" customHeight="1">
      <c r="A50" s="70" t="s">
        <v>284</v>
      </c>
      <c r="B50" s="70">
        <v>1</v>
      </c>
      <c r="C50" s="60">
        <f>$C$12</f>
        <v>97</v>
      </c>
      <c r="D50" s="80">
        <f>$D$12</f>
        <v>99</v>
      </c>
      <c r="E50" s="70">
        <v>1</v>
      </c>
      <c r="F50" s="60">
        <f>$C$12</f>
        <v>97</v>
      </c>
      <c r="G50" s="80">
        <f>$D$12</f>
        <v>99</v>
      </c>
      <c r="H50" s="70">
        <v>1</v>
      </c>
      <c r="I50" s="60">
        <f>$C$12</f>
        <v>97</v>
      </c>
      <c r="J50" s="80">
        <f>$D$12</f>
        <v>99</v>
      </c>
      <c r="K50" s="70">
        <v>1</v>
      </c>
      <c r="L50" s="60">
        <f>$C$12</f>
        <v>97</v>
      </c>
      <c r="M50" s="80">
        <f>$D$12</f>
        <v>99</v>
      </c>
      <c r="N50" s="31"/>
      <c r="O50" s="11"/>
      <c r="P50" s="45" t="s">
        <v>411</v>
      </c>
      <c r="Q50" s="24" t="s">
        <v>44</v>
      </c>
      <c r="R50" s="36"/>
      <c r="S50" s="186"/>
      <c r="T50" s="36"/>
      <c r="U50" s="54"/>
      <c r="V50" s="54"/>
      <c r="W50" s="54"/>
      <c r="X50" s="54"/>
      <c r="Y50" s="54"/>
      <c r="Z50" s="47"/>
    </row>
    <row r="51" spans="1:26" ht="12.75" customHeight="1">
      <c r="A51" s="70" t="s">
        <v>282</v>
      </c>
      <c r="B51" s="77">
        <f>IF($D$20-N51&gt;=$C$7,2,IF($D$20-N51&gt;=$C$7*2/3,3,IF($D$20-N51&gt;=$C$7*1/3,4,IF($D$20-N51&gt;=0,5,8))))</f>
        <v>8</v>
      </c>
      <c r="C51" s="130">
        <f>MAX($C$10,MIN($C$11,($C$14+($C$11-$C$14)*($D$20-N51)/$C$7)))</f>
        <v>0</v>
      </c>
      <c r="D51" s="131">
        <f>MAX($D$10,MIN($D$11,($D$14+($D$11-$D$14)*($D$20-N51)/$C$7)))</f>
        <v>14.733333333333334</v>
      </c>
      <c r="E51" s="77">
        <f>IF($G$20-N51&gt;=$C$7,2,IF($G$20-N51&gt;=$C$7*2/3,3,IF($G$20-N51&gt;=$C$7*1/3,4,IF($G$20-N51&gt;=0,5,8))))</f>
        <v>5</v>
      </c>
      <c r="F51" s="130">
        <f>MAX($C$10,MIN($C$11,($C$14+($C$11-$C$14)*($G$20-N51)/$C$7)))</f>
        <v>8.622222222222222</v>
      </c>
      <c r="G51" s="131">
        <f>MAX($D$10,MIN($D$11,($D$14+($D$11-$D$14)*($G$20-N51)/$C$7)))</f>
        <v>27.022222222222222</v>
      </c>
      <c r="H51" s="77">
        <f>IF($J$20-N51&gt;=$C$7,2,IF($J$20-N51&gt;=$C$7*2/3,3,IF($J$20-N51&gt;=$C$7*1/3,4,IF($J$20-N51&gt;=0,5,8))))</f>
        <v>5</v>
      </c>
      <c r="I51" s="130">
        <f>MAX($C$10,MIN($C$11,($C$14+($C$11-$C$14)*($J$20-N51)/$C$7)))</f>
        <v>25.866666666666667</v>
      </c>
      <c r="J51" s="131">
        <f>MAX($D$10,MIN($D$11,($D$14+($D$11-$D$14)*($J$20-N51)/$C$7)))</f>
        <v>41.06666666666666</v>
      </c>
      <c r="K51" s="77">
        <f>IF($M$20-N51&gt;=$C$7,2,IF($M$20-N51&gt;=$C$7*2/3,3,IF($M$20-N51&gt;=$C$7*1/3,4,IF($M$20-N51&gt;=0,5,8))))</f>
        <v>3</v>
      </c>
      <c r="L51" s="130">
        <f>MAX($C$10,MIN($C$11,($C$14+($C$11-$C$14)*($M$20-N51)/$C$7)))</f>
        <v>92.68888888888888</v>
      </c>
      <c r="M51" s="131">
        <f>MAX($D$10,MIN($D$11,($D$14+($D$11-$D$14)*($M$20-N51)/$C$7)))</f>
        <v>95.4888888888889</v>
      </c>
      <c r="N51" s="31">
        <v>1915</v>
      </c>
      <c r="O51" s="11" t="s">
        <v>426</v>
      </c>
      <c r="P51" s="15" t="s">
        <v>303</v>
      </c>
      <c r="Q51" s="24" t="s">
        <v>162</v>
      </c>
      <c r="R51" s="36"/>
      <c r="S51" s="186"/>
      <c r="T51" s="36"/>
      <c r="U51" s="54"/>
      <c r="V51" s="54"/>
      <c r="W51" s="54"/>
      <c r="X51" s="54"/>
      <c r="Y51" s="54"/>
      <c r="Z51" s="47"/>
    </row>
    <row r="52" spans="1:26" ht="12.75">
      <c r="A52" s="70" t="s">
        <v>32</v>
      </c>
      <c r="B52" s="70">
        <v>1</v>
      </c>
      <c r="C52" s="60">
        <f>$C$12</f>
        <v>97</v>
      </c>
      <c r="D52" s="80">
        <f>$D$12</f>
        <v>99</v>
      </c>
      <c r="E52" s="70">
        <v>1</v>
      </c>
      <c r="F52" s="60">
        <f>$C$12</f>
        <v>97</v>
      </c>
      <c r="G52" s="80">
        <f>$D$12</f>
        <v>99</v>
      </c>
      <c r="H52" s="70">
        <v>1</v>
      </c>
      <c r="I52" s="60">
        <f>$C$12</f>
        <v>97</v>
      </c>
      <c r="J52" s="80">
        <f>$D$12</f>
        <v>99</v>
      </c>
      <c r="K52" s="70">
        <v>1</v>
      </c>
      <c r="L52" s="60">
        <f>$C$12</f>
        <v>97</v>
      </c>
      <c r="M52" s="80">
        <f>$D$12</f>
        <v>99</v>
      </c>
      <c r="N52" s="31"/>
      <c r="O52" s="15"/>
      <c r="P52" s="45" t="s">
        <v>411</v>
      </c>
      <c r="Q52" s="24" t="s">
        <v>52</v>
      </c>
      <c r="R52" s="36"/>
      <c r="S52" s="186"/>
      <c r="T52" s="36"/>
      <c r="U52" s="54"/>
      <c r="V52" s="54"/>
      <c r="W52" s="54"/>
      <c r="X52" s="54"/>
      <c r="Y52" s="54"/>
      <c r="Z52" s="47"/>
    </row>
    <row r="53" spans="1:26" ht="12.75" customHeight="1">
      <c r="A53" s="70" t="s">
        <v>256</v>
      </c>
      <c r="B53" s="70">
        <v>1</v>
      </c>
      <c r="C53" s="60">
        <f>$C$12</f>
        <v>97</v>
      </c>
      <c r="D53" s="80">
        <f>$D$12</f>
        <v>99</v>
      </c>
      <c r="E53" s="70">
        <v>1</v>
      </c>
      <c r="F53" s="60">
        <f>$C$12</f>
        <v>97</v>
      </c>
      <c r="G53" s="80">
        <f>$D$12</f>
        <v>99</v>
      </c>
      <c r="H53" s="70">
        <v>1</v>
      </c>
      <c r="I53" s="60">
        <f>$C$12</f>
        <v>97</v>
      </c>
      <c r="J53" s="80">
        <f>$D$12</f>
        <v>99</v>
      </c>
      <c r="K53" s="70">
        <v>1</v>
      </c>
      <c r="L53" s="60">
        <f>$C$12</f>
        <v>97</v>
      </c>
      <c r="M53" s="80">
        <f>$D$12</f>
        <v>99</v>
      </c>
      <c r="N53" s="31"/>
      <c r="O53" s="15"/>
      <c r="P53" s="45" t="s">
        <v>411</v>
      </c>
      <c r="Q53" s="24" t="s">
        <v>62</v>
      </c>
      <c r="R53" s="36"/>
      <c r="S53" s="186"/>
      <c r="T53" s="36"/>
      <c r="U53" s="54"/>
      <c r="V53" s="54"/>
      <c r="W53" s="54"/>
      <c r="X53" s="54"/>
      <c r="Y53" s="54"/>
      <c r="Z53" s="47"/>
    </row>
    <row r="54" spans="1:26" ht="14.25" customHeight="1">
      <c r="A54" s="70" t="s">
        <v>230</v>
      </c>
      <c r="B54" s="77">
        <f>IF($D$20-N54&gt;=$C$7,2,IF($D$20-N54&gt;=$C$7*2/3,3,IF($D$20-N54&gt;=$C$7*1/3,4,5)))</f>
        <v>5</v>
      </c>
      <c r="C54" s="130">
        <f>MAX($C$15,MIN($C$11,($C$15+($C$11-$C$15)*($D$20-N54)/$C$8)))</f>
        <v>40</v>
      </c>
      <c r="D54" s="131">
        <f>MAX($D$15,MIN($D$11,($D$15+($D$11-$D$15)*($D$20-N54)/$C$8)))</f>
        <v>60</v>
      </c>
      <c r="E54" s="77">
        <f>IF($G$20-N54&gt;=$C$7,2,IF($G$20-N54&gt;=$C$7*2/3,3,IF($G$20-N54&gt;=$C$7*1/3,4,5)))</f>
        <v>5</v>
      </c>
      <c r="F54" s="130">
        <f>MAX($C$15,MIN($C$11,($C$15+($C$11-$C$15)*($G$20-N54)/$C$8)))</f>
        <v>47.6</v>
      </c>
      <c r="G54" s="131">
        <f>MAX($D$15,MIN($D$11,($D$15+($D$11-$D$15)*($G$20-N54)/$C$8)))</f>
        <v>65.2</v>
      </c>
      <c r="H54" s="77">
        <f>IF($J$20-N54&gt;=$C$7,2,IF($J$20-N54&gt;=$C$7*2/3,3,IF($J$20-N54&gt;=$C$7*1/3,4,5)))</f>
        <v>5</v>
      </c>
      <c r="I54" s="130">
        <f>MAX($C$15,MIN($C$11,($C$15+($C$11-$C$15)*($J$20-N54)/$C$8)))</f>
        <v>62.8</v>
      </c>
      <c r="J54" s="131">
        <f>MAX($D$15,MIN($D$11,($D$15+($D$11-$D$15)*($J$20-N54)/$C$8)))</f>
        <v>75.6</v>
      </c>
      <c r="K54" s="77">
        <f>IF($M$20-N54&gt;=$C$7,2,IF($M$20-N54&gt;=$C$7*2/3,3,IF($M$20-N54&gt;=$C$7*1/3,4,5)))</f>
        <v>3</v>
      </c>
      <c r="L54" s="130">
        <f>MAX($C$15,MIN($C$11,($C$15+($C$11-$C$15)*($M$20-N54)/$C$8)))</f>
        <v>97</v>
      </c>
      <c r="M54" s="131">
        <f>MAX($D$15,MIN($D$11,($D$15+($D$11-$D$15)*($M$20-N54)/$C$8)))</f>
        <v>99</v>
      </c>
      <c r="N54" s="31">
        <v>1915</v>
      </c>
      <c r="O54" s="11" t="s">
        <v>427</v>
      </c>
      <c r="P54" s="15" t="s">
        <v>412</v>
      </c>
      <c r="Q54" s="24" t="s">
        <v>41</v>
      </c>
      <c r="R54" s="36"/>
      <c r="S54" s="186"/>
      <c r="T54" s="36"/>
      <c r="U54" s="54"/>
      <c r="V54" s="54"/>
      <c r="W54" s="54"/>
      <c r="X54" s="54"/>
      <c r="Y54" s="54"/>
      <c r="Z54" s="47"/>
    </row>
    <row r="55" spans="1:26" ht="15" customHeight="1">
      <c r="A55" s="70" t="s">
        <v>257</v>
      </c>
      <c r="B55" s="77">
        <f>IF($D$20-N55&gt;=$C$7,2,IF($D$20-N55&gt;=$C$7*2/3,3,IF($D$20-N55&gt;=$C$7*1/3,4,5)))</f>
        <v>5</v>
      </c>
      <c r="C55" s="130">
        <f>MAX($C$15,MIN($C$11,($C$15+($C$11-$C$15)*($D$20-N55)/$C$8)))</f>
        <v>53.3</v>
      </c>
      <c r="D55" s="131">
        <f>MAX($D$15,MIN($D$11,($D$15+($D$11-$D$15)*($D$20-N55)/$C$8)))</f>
        <v>69.1</v>
      </c>
      <c r="E55" s="77">
        <f>IF($G$20-N55&gt;=$C$7,2,IF($G$20-N55&gt;=$C$7*2/3,3,IF($G$20-N55&gt;=$C$7*1/3,4,5)))</f>
        <v>5</v>
      </c>
      <c r="F55" s="130">
        <f>MAX($C$15,MIN($C$11,($C$15+($C$11-$C$15)*($G$20-N55)/$C$8)))</f>
        <v>66.6</v>
      </c>
      <c r="G55" s="131">
        <f>MAX($D$15,MIN($D$11,($D$15+($D$11-$D$15)*($G$20-N55)/$C$8)))</f>
        <v>78.2</v>
      </c>
      <c r="H55" s="77">
        <f>IF($J$20-N55&gt;=$C$7,2,IF($J$20-N55&gt;=$C$7*2/3,3,IF($J$20-N55&gt;=$C$7*1/3,4,5)))</f>
        <v>4</v>
      </c>
      <c r="I55" s="130">
        <f>MAX($C$15,MIN($C$11,($C$15+($C$11-$C$15)*($J$20-N55)/$C$8)))</f>
        <v>81.8</v>
      </c>
      <c r="J55" s="131">
        <f>MAX($D$15,MIN($D$11,($D$15+($D$11-$D$15)*($J$20-N55)/$C$8)))</f>
        <v>88.6</v>
      </c>
      <c r="K55" s="77">
        <f>IF($M$20-N55&gt;=$C$7,2,IF($M$20-N55&gt;=$C$7*2/3,3,IF($M$20-N55&gt;=$C$7*1/3,4,5)))</f>
        <v>2</v>
      </c>
      <c r="L55" s="130">
        <f>MAX($C$15,MIN($C$11,($C$15+($C$11-$C$15)*($M$20-N55)/$C$8)))</f>
        <v>97</v>
      </c>
      <c r="M55" s="131">
        <f>MAX($D$15,MIN($D$11,($D$15+($D$11-$D$15)*($M$20-N55)/$C$8)))</f>
        <v>99</v>
      </c>
      <c r="N55" s="31">
        <v>1905</v>
      </c>
      <c r="O55" s="11" t="s">
        <v>427</v>
      </c>
      <c r="P55" s="15" t="s">
        <v>412</v>
      </c>
      <c r="Q55" s="24" t="s">
        <v>121</v>
      </c>
      <c r="R55" s="36"/>
      <c r="S55" s="186"/>
      <c r="T55" s="36"/>
      <c r="U55" s="54"/>
      <c r="V55" s="54"/>
      <c r="W55" s="54"/>
      <c r="X55" s="54"/>
      <c r="Y55" s="54"/>
      <c r="Z55" s="47"/>
    </row>
    <row r="56" spans="1:26" ht="15" customHeight="1">
      <c r="A56" s="70" t="s">
        <v>181</v>
      </c>
      <c r="B56" s="77">
        <f>IF($D$20-N56&gt;=$C$7,2,IF($D$20-N56&gt;=$C$7*2/3,3,IF($D$20-N56&gt;=$C$7*1/3,4,5)))</f>
        <v>5</v>
      </c>
      <c r="C56" s="130">
        <f>MAX($C$15,MIN($C$11,($C$15+($C$11-$C$15)*($D$20-N56)/$C$8)))</f>
        <v>53.3</v>
      </c>
      <c r="D56" s="131">
        <f>MAX($D$15,MIN($D$11,($D$15+($D$11-$D$15)*($D$20-N56)/$C$8)))</f>
        <v>69.1</v>
      </c>
      <c r="E56" s="77">
        <f>IF($G$20-N56&gt;=$C$7,2,IF($G$20-N56&gt;=$C$7*2/3,3,IF($G$20-N56&gt;=$C$7*1/3,4,5)))</f>
        <v>5</v>
      </c>
      <c r="F56" s="130">
        <f>MAX($C$15,MIN($C$11,($C$15+($C$11-$C$15)*($G$20-N56)/$C$8)))</f>
        <v>66.6</v>
      </c>
      <c r="G56" s="131">
        <f>MAX($D$15,MIN($D$11,($D$15+($D$11-$D$15)*($G$20-N56)/$C$8)))</f>
        <v>78.2</v>
      </c>
      <c r="H56" s="77">
        <f>IF($J$20-N56&gt;=$C$7,2,IF($J$20-N56&gt;=$C$7*2/3,3,IF($J$20-N56&gt;=$C$7*1/3,4,5)))</f>
        <v>4</v>
      </c>
      <c r="I56" s="130">
        <f>MAX($C$15,MIN($C$11,($C$15+($C$11-$C$15)*($J$20-N56)/$C$8)))</f>
        <v>81.8</v>
      </c>
      <c r="J56" s="131">
        <f>MAX($D$15,MIN($D$11,($D$15+($D$11-$D$15)*($J$20-N56)/$C$8)))</f>
        <v>88.6</v>
      </c>
      <c r="K56" s="77">
        <f>IF($M$20-N56&gt;=$C$7,2,IF($M$20-N56&gt;=$C$7*2/3,3,IF($M$20-N56&gt;=$C$7*1/3,4,5)))</f>
        <v>2</v>
      </c>
      <c r="L56" s="130">
        <f>MAX($C$15,MIN($C$11,($C$15+($C$11-$C$15)*($M$20-N56)/$C$8)))</f>
        <v>97</v>
      </c>
      <c r="M56" s="131">
        <f>MAX($D$15,MIN($D$11,($D$15+($D$11-$D$15)*($M$20-N56)/$C$8)))</f>
        <v>99</v>
      </c>
      <c r="N56" s="31">
        <v>1905</v>
      </c>
      <c r="O56" s="11" t="s">
        <v>427</v>
      </c>
      <c r="P56" s="15" t="s">
        <v>412</v>
      </c>
      <c r="Q56" s="24" t="s">
        <v>129</v>
      </c>
      <c r="R56" s="36"/>
      <c r="S56" s="186"/>
      <c r="T56" s="36"/>
      <c r="U56" s="54"/>
      <c r="V56" s="54"/>
      <c r="W56" s="54"/>
      <c r="X56" s="54"/>
      <c r="Y56" s="54"/>
      <c r="Z56" s="47"/>
    </row>
    <row r="57" spans="1:26" ht="14.25" customHeight="1">
      <c r="A57" s="70" t="s">
        <v>152</v>
      </c>
      <c r="B57" s="77">
        <f>IF($D$20-N57&gt;=$C$7,2,IF($D$20-N57&gt;=$C$7*2/3,3,IF($D$20-N57&gt;=$C$7*1/3,4,IF($D$20-N57&gt;=0,5,8))))</f>
        <v>8</v>
      </c>
      <c r="C57" s="130">
        <f>MAX($C$10,MIN($C$11,($C$14+($C$11-$C$14)*($D$20-N57)/$C$7)))</f>
        <v>0</v>
      </c>
      <c r="D57" s="131">
        <f>MAX($D$10,MIN($D$11,($D$14+($D$11-$D$14)*($D$20-N57)/$C$7)))</f>
        <v>14.733333333333334</v>
      </c>
      <c r="E57" s="77">
        <f>IF($G$20-N57&gt;=$C$7,2,IF($G$20-N57&gt;=$C$7*2/3,3,IF($G$20-N57&gt;=$C$7*1/3,4,IF($G$20-N57&gt;=0,5,8))))</f>
        <v>5</v>
      </c>
      <c r="F57" s="130">
        <f>MAX($C$10,MIN($C$11,($C$14+($C$11-$C$14)*($G$20-N57)/$C$7)))</f>
        <v>8.622222222222222</v>
      </c>
      <c r="G57" s="131">
        <f>MAX($D$10,MIN($D$11,($D$14+($D$11-$D$14)*($G$20-N57)/$C$7)))</f>
        <v>27.022222222222222</v>
      </c>
      <c r="H57" s="77">
        <f>IF($J$20-N57&gt;=$C$7,2,IF($J$20-N57&gt;=$C$7*2/3,3,IF($J$20-N57&gt;=$C$7*1/3,4,IF($J$20-N57&gt;=0,5,8))))</f>
        <v>5</v>
      </c>
      <c r="I57" s="130">
        <f>MAX($C$10,MIN($C$11,($C$14+($C$11-$C$14)*($J$20-N57)/$C$7)))</f>
        <v>25.866666666666667</v>
      </c>
      <c r="J57" s="131">
        <f>MAX($D$10,MIN($D$11,($D$14+($D$11-$D$14)*($J$20-N57)/$C$7)))</f>
        <v>41.06666666666666</v>
      </c>
      <c r="K57" s="77">
        <f>IF($M$20-N57&gt;=$C$7,2,IF($M$20-N57&gt;=$C$7*2/3,3,IF($M$20-N57&gt;=$C$7*1/3,4,IF($M$20-N57&gt;=0,5,8))))</f>
        <v>3</v>
      </c>
      <c r="L57" s="130">
        <f>MAX($C$10,MIN($C$11,($C$14+($C$11-$C$14)*($M$20-N57)/$C$7)))</f>
        <v>92.68888888888888</v>
      </c>
      <c r="M57" s="131">
        <f>MAX($D$10,MIN($D$11,($D$14+($D$11-$D$14)*($M$20-N57)/$C$7)))</f>
        <v>95.4888888888889</v>
      </c>
      <c r="N57" s="31">
        <v>1915</v>
      </c>
      <c r="O57" s="15" t="s">
        <v>426</v>
      </c>
      <c r="P57" s="15" t="s">
        <v>303</v>
      </c>
      <c r="Q57" s="24" t="s">
        <v>45</v>
      </c>
      <c r="R57" s="36"/>
      <c r="S57" s="186"/>
      <c r="T57" s="36"/>
      <c r="U57" s="54"/>
      <c r="V57" s="54"/>
      <c r="W57" s="54"/>
      <c r="X57" s="54"/>
      <c r="Y57" s="54"/>
      <c r="Z57" s="47"/>
    </row>
    <row r="58" spans="1:26" ht="13.5" customHeight="1">
      <c r="A58" s="70" t="s">
        <v>251</v>
      </c>
      <c r="B58" s="70">
        <v>1</v>
      </c>
      <c r="C58" s="60">
        <f>$C$12</f>
        <v>97</v>
      </c>
      <c r="D58" s="80">
        <f>$D$12</f>
        <v>99</v>
      </c>
      <c r="E58" s="70">
        <v>1</v>
      </c>
      <c r="F58" s="60">
        <f>$C$12</f>
        <v>97</v>
      </c>
      <c r="G58" s="80">
        <f>$D$12</f>
        <v>99</v>
      </c>
      <c r="H58" s="70">
        <v>1</v>
      </c>
      <c r="I58" s="60">
        <f>$C$12</f>
        <v>97</v>
      </c>
      <c r="J58" s="80">
        <f>$D$12</f>
        <v>99</v>
      </c>
      <c r="K58" s="70">
        <v>1</v>
      </c>
      <c r="L58" s="60">
        <f>$C$12</f>
        <v>97</v>
      </c>
      <c r="M58" s="80">
        <f>$D$12</f>
        <v>99</v>
      </c>
      <c r="N58" s="31"/>
      <c r="O58" s="15"/>
      <c r="P58" s="45" t="s">
        <v>411</v>
      </c>
      <c r="Q58" s="24" t="s">
        <v>53</v>
      </c>
      <c r="R58" s="36"/>
      <c r="S58" s="186"/>
      <c r="T58" s="36"/>
      <c r="U58" s="54"/>
      <c r="V58" s="54"/>
      <c r="W58" s="54"/>
      <c r="X58" s="54"/>
      <c r="Y58" s="54"/>
      <c r="Z58" s="47"/>
    </row>
    <row r="59" spans="1:26" ht="12" customHeight="1">
      <c r="A59" s="70" t="s">
        <v>287</v>
      </c>
      <c r="B59" s="70">
        <v>1</v>
      </c>
      <c r="C59" s="60">
        <f>$C$12</f>
        <v>97</v>
      </c>
      <c r="D59" s="80">
        <f>$D$12</f>
        <v>99</v>
      </c>
      <c r="E59" s="70">
        <v>1</v>
      </c>
      <c r="F59" s="60">
        <f>$C$12</f>
        <v>97</v>
      </c>
      <c r="G59" s="80">
        <f>$D$12</f>
        <v>99</v>
      </c>
      <c r="H59" s="70">
        <v>1</v>
      </c>
      <c r="I59" s="60">
        <f>$C$12</f>
        <v>97</v>
      </c>
      <c r="J59" s="80">
        <f>$D$12</f>
        <v>99</v>
      </c>
      <c r="K59" s="70">
        <v>1</v>
      </c>
      <c r="L59" s="60">
        <f>$C$12</f>
        <v>97</v>
      </c>
      <c r="M59" s="80">
        <f>$D$12</f>
        <v>99</v>
      </c>
      <c r="N59" s="31"/>
      <c r="O59" s="15"/>
      <c r="P59" s="45" t="s">
        <v>411</v>
      </c>
      <c r="Q59" s="24" t="s">
        <v>67</v>
      </c>
      <c r="R59" s="36"/>
      <c r="S59" s="186"/>
      <c r="T59" s="36"/>
      <c r="U59" s="54"/>
      <c r="V59" s="54"/>
      <c r="W59" s="54"/>
      <c r="X59" s="54"/>
      <c r="Y59" s="54"/>
      <c r="Z59" s="47"/>
    </row>
    <row r="60" spans="1:26" ht="12.75" customHeight="1">
      <c r="A60" s="70" t="s">
        <v>258</v>
      </c>
      <c r="B60" s="70">
        <v>1</v>
      </c>
      <c r="C60" s="60">
        <f>$C$12</f>
        <v>97</v>
      </c>
      <c r="D60" s="80">
        <f>$D$12</f>
        <v>99</v>
      </c>
      <c r="E60" s="70">
        <v>1</v>
      </c>
      <c r="F60" s="60">
        <f>$C$12</f>
        <v>97</v>
      </c>
      <c r="G60" s="80">
        <f>$D$12</f>
        <v>99</v>
      </c>
      <c r="H60" s="70">
        <v>1</v>
      </c>
      <c r="I60" s="60">
        <f>$C$12</f>
        <v>97</v>
      </c>
      <c r="J60" s="80">
        <f>$D$12</f>
        <v>99</v>
      </c>
      <c r="K60" s="70">
        <v>1</v>
      </c>
      <c r="L60" s="60">
        <f>$C$12</f>
        <v>97</v>
      </c>
      <c r="M60" s="80">
        <f>$D$12</f>
        <v>99</v>
      </c>
      <c r="N60" s="31"/>
      <c r="O60" s="15"/>
      <c r="P60" s="45" t="s">
        <v>411</v>
      </c>
      <c r="Q60" s="24" t="s">
        <v>1</v>
      </c>
      <c r="R60" s="36"/>
      <c r="S60" s="186"/>
      <c r="T60" s="36"/>
      <c r="U60" s="54"/>
      <c r="V60" s="54"/>
      <c r="W60" s="54"/>
      <c r="X60" s="54"/>
      <c r="Y60" s="54"/>
      <c r="Z60" s="47"/>
    </row>
    <row r="61" spans="1:26" ht="12.75" customHeight="1">
      <c r="A61" s="70" t="s">
        <v>288</v>
      </c>
      <c r="B61" s="70">
        <v>1</v>
      </c>
      <c r="C61" s="60">
        <f>$C$12</f>
        <v>97</v>
      </c>
      <c r="D61" s="80">
        <f>$D$12</f>
        <v>99</v>
      </c>
      <c r="E61" s="70">
        <v>1</v>
      </c>
      <c r="F61" s="60">
        <f>$C$12</f>
        <v>97</v>
      </c>
      <c r="G61" s="80">
        <f>$D$12</f>
        <v>99</v>
      </c>
      <c r="H61" s="70">
        <v>1</v>
      </c>
      <c r="I61" s="60">
        <f>$C$12</f>
        <v>97</v>
      </c>
      <c r="J61" s="80">
        <f>$D$12</f>
        <v>99</v>
      </c>
      <c r="K61" s="70">
        <v>1</v>
      </c>
      <c r="L61" s="60">
        <f>$C$12</f>
        <v>97</v>
      </c>
      <c r="M61" s="80">
        <f>$D$12</f>
        <v>99</v>
      </c>
      <c r="N61" s="31"/>
      <c r="O61" s="15"/>
      <c r="P61" s="45" t="s">
        <v>411</v>
      </c>
      <c r="Q61" s="24" t="s">
        <v>41</v>
      </c>
      <c r="R61" s="36"/>
      <c r="S61" s="186"/>
      <c r="T61" s="36"/>
      <c r="U61" s="54"/>
      <c r="V61" s="54"/>
      <c r="W61" s="54"/>
      <c r="X61" s="54"/>
      <c r="Y61" s="54"/>
      <c r="Z61" s="47"/>
    </row>
    <row r="62" spans="1:26" ht="13.5" customHeight="1">
      <c r="A62" s="70" t="s">
        <v>292</v>
      </c>
      <c r="B62" s="70">
        <v>1</v>
      </c>
      <c r="C62" s="60">
        <f>$C$12</f>
        <v>97</v>
      </c>
      <c r="D62" s="80">
        <f>$D$12</f>
        <v>99</v>
      </c>
      <c r="E62" s="70">
        <v>1</v>
      </c>
      <c r="F62" s="60">
        <f>$C$12</f>
        <v>97</v>
      </c>
      <c r="G62" s="80">
        <f>$D$12</f>
        <v>99</v>
      </c>
      <c r="H62" s="70">
        <v>1</v>
      </c>
      <c r="I62" s="60">
        <f>$C$12</f>
        <v>97</v>
      </c>
      <c r="J62" s="80">
        <f>$D$12</f>
        <v>99</v>
      </c>
      <c r="K62" s="70">
        <v>1</v>
      </c>
      <c r="L62" s="60">
        <f>$C$12</f>
        <v>97</v>
      </c>
      <c r="M62" s="80">
        <f>$D$12</f>
        <v>99</v>
      </c>
      <c r="N62" s="31"/>
      <c r="O62" s="15"/>
      <c r="P62" s="45" t="s">
        <v>411</v>
      </c>
      <c r="Q62" s="24" t="s">
        <v>41</v>
      </c>
      <c r="R62" s="36"/>
      <c r="S62" s="186"/>
      <c r="T62" s="36"/>
      <c r="U62" s="54"/>
      <c r="V62" s="54"/>
      <c r="W62" s="54"/>
      <c r="X62" s="54"/>
      <c r="Y62" s="54"/>
      <c r="Z62" s="47"/>
    </row>
    <row r="63" spans="1:26" ht="15" customHeight="1">
      <c r="A63" s="70" t="s">
        <v>192</v>
      </c>
      <c r="B63" s="77">
        <f>IF($D$20-N63&gt;=$C$7,2,IF($D$20-N63&gt;=$C$7*2/3,3,IF($D$20-N63&gt;=$C$7*1/3,4,IF($D$20-N63&gt;=0,5,8))))</f>
        <v>8</v>
      </c>
      <c r="C63" s="130">
        <f>MAX($C$10,MIN($C$11,($C$14+($C$11-$C$14)*($D$20-N63)/$C$7)))</f>
        <v>0</v>
      </c>
      <c r="D63" s="131">
        <f>MAX($D$10,MIN($D$11,($D$14+($D$11-$D$14)*($D$20-N63)/$C$7)))</f>
        <v>14.733333333333334</v>
      </c>
      <c r="E63" s="77">
        <f>IF($G$20-N63&gt;=$C$7,2,IF($G$20-N63&gt;=$C$7*2/3,3,IF($G$20-N63&gt;=$C$7*1/3,4,IF($G$20-N63&gt;=0,5,8))))</f>
        <v>5</v>
      </c>
      <c r="F63" s="130">
        <f>MAX($C$10,MIN($C$11,($C$14+($C$11-$C$14)*($G$20-N63)/$C$7)))</f>
        <v>8.622222222222222</v>
      </c>
      <c r="G63" s="131">
        <f>MAX($D$10,MIN($D$11,($D$14+($D$11-$D$14)*($G$20-N63)/$C$7)))</f>
        <v>27.022222222222222</v>
      </c>
      <c r="H63" s="77">
        <f>IF($J$20-N63&gt;=$C$7,2,IF($J$20-N63&gt;=$C$7*2/3,3,IF($J$20-N63&gt;=$C$7*1/3,4,IF($J$20-N63&gt;=0,5,8))))</f>
        <v>5</v>
      </c>
      <c r="I63" s="130">
        <f>MAX($C$10,MIN($C$11,($C$14+($C$11-$C$14)*($J$20-N63)/$C$7)))</f>
        <v>25.866666666666667</v>
      </c>
      <c r="J63" s="131">
        <f>MAX($D$10,MIN($D$11,($D$14+($D$11-$D$14)*($J$20-N63)/$C$7)))</f>
        <v>41.06666666666666</v>
      </c>
      <c r="K63" s="77">
        <f>IF($M$20-N63&gt;=$C$7,2,IF($M$20-N63&gt;=$C$7*2/3,3,IF($M$20-N63&gt;=$C$7*1/3,4,IF($M$20-N63&gt;=0,5,8))))</f>
        <v>3</v>
      </c>
      <c r="L63" s="130">
        <f>MAX($C$10,MIN($C$11,($C$14+($C$11-$C$14)*($M$20-N63)/$C$7)))</f>
        <v>92.68888888888888</v>
      </c>
      <c r="M63" s="131">
        <f>MAX($D$10,MIN($D$11,($D$14+($D$11-$D$14)*($M$20-N63)/$C$7)))</f>
        <v>95.4888888888889</v>
      </c>
      <c r="N63" s="31">
        <v>1915</v>
      </c>
      <c r="O63" s="15" t="s">
        <v>426</v>
      </c>
      <c r="P63" s="15" t="s">
        <v>303</v>
      </c>
      <c r="Q63" s="24" t="s">
        <v>166</v>
      </c>
      <c r="R63" s="36"/>
      <c r="S63" s="186"/>
      <c r="T63" s="36"/>
      <c r="U63" s="54"/>
      <c r="V63" s="54"/>
      <c r="W63" s="54"/>
      <c r="X63" s="54"/>
      <c r="Y63" s="54"/>
      <c r="Z63" s="47"/>
    </row>
    <row r="64" spans="1:26" ht="14.25" customHeight="1">
      <c r="A64" s="70" t="s">
        <v>238</v>
      </c>
      <c r="B64" s="77">
        <f>IF($D$20-N64&gt;=$C$7,2,IF($D$20-N64&gt;=$C$7*2/3,3,IF($D$20-N64&gt;=$C$7*1/3,4,IF($D$20-N64&gt;=0,5,8))))</f>
        <v>8</v>
      </c>
      <c r="C64" s="130">
        <f>MAX($C$10,MIN($C$11,($C$14+($C$11-$C$14)*($D$20-N64)/$C$7)))</f>
        <v>0</v>
      </c>
      <c r="D64" s="131">
        <f>MAX($D$10,MIN($D$11,($D$14+($D$11-$D$14)*($D$20-N64)/$C$7)))</f>
        <v>14.733333333333334</v>
      </c>
      <c r="E64" s="77">
        <f>IF($G$20-N64&gt;=$C$7,2,IF($G$20-N64&gt;=$C$7*2/3,3,IF($G$20-N64&gt;=$C$7*1/3,4,IF($G$20-N64&gt;=0,5,8))))</f>
        <v>5</v>
      </c>
      <c r="F64" s="130">
        <f>MAX($C$10,MIN($C$11,($C$14+($C$11-$C$14)*($G$20-N64)/$C$7)))</f>
        <v>8.622222222222222</v>
      </c>
      <c r="G64" s="131">
        <f>MAX($D$10,MIN($D$11,($D$14+($D$11-$D$14)*($G$20-N64)/$C$7)))</f>
        <v>27.022222222222222</v>
      </c>
      <c r="H64" s="77">
        <f>IF($J$20-N64&gt;=$C$7,2,IF($J$20-N64&gt;=$C$7*2/3,3,IF($J$20-N64&gt;=$C$7*1/3,4,IF($J$20-N64&gt;=0,5,8))))</f>
        <v>5</v>
      </c>
      <c r="I64" s="130">
        <f>MAX($C$10,MIN($C$11,($C$14+($C$11-$C$14)*($J$20-N64)/$C$7)))</f>
        <v>25.866666666666667</v>
      </c>
      <c r="J64" s="131">
        <f>MAX($D$10,MIN($D$11,($D$14+($D$11-$D$14)*($J$20-N64)/$C$7)))</f>
        <v>41.06666666666666</v>
      </c>
      <c r="K64" s="77">
        <f>IF($M$20-N64&gt;=$C$7,2,IF($M$20-N64&gt;=$C$7*2/3,3,IF($M$20-N64&gt;=$C$7*1/3,4,IF($M$20-N64&gt;=0,5,8))))</f>
        <v>3</v>
      </c>
      <c r="L64" s="130">
        <f>MAX($C$10,MIN($C$11,($C$14+($C$11-$C$14)*($M$20-N64)/$C$7)))</f>
        <v>92.68888888888888</v>
      </c>
      <c r="M64" s="131">
        <f>MAX($D$10,MIN($D$11,($D$14+($D$11-$D$14)*($M$20-N64)/$C$7)))</f>
        <v>95.4888888888889</v>
      </c>
      <c r="N64" s="31">
        <v>1915</v>
      </c>
      <c r="O64" s="15" t="s">
        <v>426</v>
      </c>
      <c r="P64" s="15" t="s">
        <v>303</v>
      </c>
      <c r="Q64" s="24" t="s">
        <v>157</v>
      </c>
      <c r="R64" s="36"/>
      <c r="S64" s="186"/>
      <c r="T64" s="36"/>
      <c r="U64" s="54"/>
      <c r="V64" s="54"/>
      <c r="W64" s="54"/>
      <c r="X64" s="54"/>
      <c r="Y64" s="54"/>
      <c r="Z64" s="47"/>
    </row>
    <row r="65" spans="1:26" ht="12.75" customHeight="1">
      <c r="A65" s="70" t="s">
        <v>259</v>
      </c>
      <c r="B65" s="77">
        <f>IF($D$20-N65&gt;=$C$7,2,IF($D$20-N65&gt;=$C$7*2/3,3,IF($D$20-N65&gt;=$C$7*1/3,4,IF($D$20-N65&gt;=0,5,8))))</f>
        <v>4</v>
      </c>
      <c r="C65" s="130">
        <f>MAX($C$10,MIN($C$11,($C$14+($C$11-$C$14)*($D$20-N65)/$C$7)))</f>
        <v>58.2</v>
      </c>
      <c r="D65" s="131">
        <f>MAX($D$10,MIN($D$11,($D$14+($D$11-$D$14)*($D$20-N65)/$C$7)))</f>
        <v>67.4</v>
      </c>
      <c r="E65" s="77">
        <f>IF($G$20-N65&gt;=$C$7,2,IF($G$20-N65&gt;=$C$7*2/3,3,IF($G$20-N65&gt;=$C$7*1/3,4,IF($G$20-N65&gt;=0,5,8))))</f>
        <v>3</v>
      </c>
      <c r="F65" s="130">
        <f>MAX($C$10,MIN($C$11,($C$14+($C$11-$C$14)*($G$20-N65)/$C$7)))</f>
        <v>73.28888888888889</v>
      </c>
      <c r="G65" s="131">
        <f>MAX($D$10,MIN($D$11,($D$14+($D$11-$D$14)*($G$20-N65)/$C$7)))</f>
        <v>79.6888888888889</v>
      </c>
      <c r="H65" s="77">
        <f>IF($J$20-N65&gt;=$C$7,2,IF($J$20-N65&gt;=$C$7*2/3,3,IF($J$20-N65&gt;=$C$7*1/3,4,IF($J$20-N65&gt;=0,5,8))))</f>
        <v>3</v>
      </c>
      <c r="I65" s="130">
        <f>MAX($C$10,MIN($C$11,($C$14+($C$11-$C$14)*($J$20-N65)/$C$7)))</f>
        <v>90.53333333333333</v>
      </c>
      <c r="J65" s="131">
        <f>MAX($D$10,MIN($D$11,($D$14+($D$11-$D$14)*($J$20-N65)/$C$7)))</f>
        <v>93.73333333333333</v>
      </c>
      <c r="K65" s="77">
        <f>IF($M$20-N65&gt;=$C$7,2,IF($M$20-N65&gt;=$C$7*2/3,3,IF($M$20-N65&gt;=$C$7*1/3,4,IF($M$20-N65&gt;=0,5,8))))</f>
        <v>2</v>
      </c>
      <c r="L65" s="130">
        <f>MAX($C$10,MIN($C$11,($C$14+($C$11-$C$14)*($M$20-N65)/$C$7)))</f>
        <v>97</v>
      </c>
      <c r="M65" s="131">
        <f>MAX($D$10,MIN($D$11,($D$14+($D$11-$D$14)*($M$20-N65)/$C$7)))</f>
        <v>99</v>
      </c>
      <c r="N65" s="31">
        <v>1885</v>
      </c>
      <c r="O65" s="15" t="s">
        <v>426</v>
      </c>
      <c r="P65" s="15" t="s">
        <v>303</v>
      </c>
      <c r="Q65" s="24" t="s">
        <v>127</v>
      </c>
      <c r="R65" s="36"/>
      <c r="S65" s="186"/>
      <c r="T65" s="36"/>
      <c r="U65" s="54"/>
      <c r="V65" s="54"/>
      <c r="W65" s="54"/>
      <c r="X65" s="54"/>
      <c r="Y65" s="54"/>
      <c r="Z65" s="47"/>
    </row>
    <row r="66" spans="1:26" ht="14.25" customHeight="1">
      <c r="A66" s="70" t="s">
        <v>147</v>
      </c>
      <c r="B66" s="77">
        <f>IF($D$20-N66&gt;=$C$7,2,IF($D$20-N66&gt;=$C$7*2/3,3,IF($D$20-N66&gt;=$C$7*1/3,4,IF($D$20-N66&gt;=0,5,8))))</f>
        <v>8</v>
      </c>
      <c r="C66" s="130">
        <f>MAX($C$10,MIN($C$11,($C$14+($C$11-$C$14)*($D$20-N66)/$C$7)))</f>
        <v>0</v>
      </c>
      <c r="D66" s="131">
        <f>MAX($D$10,MIN($D$11,($D$14+($D$11-$D$14)*($D$20-N66)/$C$7)))</f>
        <v>14.733333333333334</v>
      </c>
      <c r="E66" s="77">
        <f>IF($G$20-N66&gt;=$C$7,2,IF($G$20-N66&gt;=$C$7*2/3,3,IF($G$20-N66&gt;=$C$7*1/3,4,IF($G$20-N66&gt;=0,5,8))))</f>
        <v>5</v>
      </c>
      <c r="F66" s="130">
        <f>MAX($C$10,MIN($C$11,($C$14+($C$11-$C$14)*($G$20-N66)/$C$7)))</f>
        <v>8.622222222222222</v>
      </c>
      <c r="G66" s="131">
        <f>MAX($D$10,MIN($D$11,($D$14+($D$11-$D$14)*($G$20-N66)/$C$7)))</f>
        <v>27.022222222222222</v>
      </c>
      <c r="H66" s="77">
        <f>IF($J$20-N66&gt;=$C$7,2,IF($J$20-N66&gt;=$C$7*2/3,3,IF($J$20-N66&gt;=$C$7*1/3,4,IF($J$20-N66&gt;=0,5,8))))</f>
        <v>5</v>
      </c>
      <c r="I66" s="130">
        <f>MAX($C$10,MIN($C$11,($C$14+($C$11-$C$14)*($J$20-N66)/$C$7)))</f>
        <v>25.866666666666667</v>
      </c>
      <c r="J66" s="131">
        <f>MAX($D$10,MIN($D$11,($D$14+($D$11-$D$14)*($J$20-N66)/$C$7)))</f>
        <v>41.06666666666666</v>
      </c>
      <c r="K66" s="77">
        <f>IF($M$20-N66&gt;=$C$7,2,IF($M$20-N66&gt;=$C$7*2/3,3,IF($M$20-N66&gt;=$C$7*1/3,4,IF($M$20-N66&gt;=0,5,8))))</f>
        <v>3</v>
      </c>
      <c r="L66" s="130">
        <f>MAX($C$10,MIN($C$11,($C$14+($C$11-$C$14)*($M$20-N66)/$C$7)))</f>
        <v>92.68888888888888</v>
      </c>
      <c r="M66" s="131">
        <f>MAX($D$10,MIN($D$11,($D$14+($D$11-$D$14)*($M$20-N66)/$C$7)))</f>
        <v>95.4888888888889</v>
      </c>
      <c r="N66" s="31">
        <v>1915</v>
      </c>
      <c r="O66" s="15" t="s">
        <v>426</v>
      </c>
      <c r="P66" s="15" t="s">
        <v>303</v>
      </c>
      <c r="Q66" s="24" t="s">
        <v>165</v>
      </c>
      <c r="R66" s="36"/>
      <c r="S66" s="186"/>
      <c r="T66" s="36"/>
      <c r="U66" s="54"/>
      <c r="V66" s="54"/>
      <c r="W66" s="54"/>
      <c r="X66" s="54"/>
      <c r="Y66" s="54"/>
      <c r="Z66" s="47"/>
    </row>
    <row r="67" spans="1:26" ht="12.75" customHeight="1">
      <c r="A67" s="70" t="s">
        <v>184</v>
      </c>
      <c r="B67" s="70">
        <v>1</v>
      </c>
      <c r="C67" s="60">
        <f>$C$12</f>
        <v>97</v>
      </c>
      <c r="D67" s="80">
        <f>$D$12</f>
        <v>99</v>
      </c>
      <c r="E67" s="70">
        <v>1</v>
      </c>
      <c r="F67" s="60">
        <f>$C$12</f>
        <v>97</v>
      </c>
      <c r="G67" s="80">
        <f>$D$12</f>
        <v>99</v>
      </c>
      <c r="H67" s="70">
        <v>1</v>
      </c>
      <c r="I67" s="60">
        <f>$C$12</f>
        <v>97</v>
      </c>
      <c r="J67" s="80">
        <f>$D$12</f>
        <v>99</v>
      </c>
      <c r="K67" s="70">
        <v>1</v>
      </c>
      <c r="L67" s="60">
        <f>$C$12</f>
        <v>97</v>
      </c>
      <c r="M67" s="80">
        <f>$D$12</f>
        <v>99</v>
      </c>
      <c r="N67" s="31"/>
      <c r="O67" s="15"/>
      <c r="P67" s="45" t="s">
        <v>411</v>
      </c>
      <c r="Q67" s="24" t="s">
        <v>170</v>
      </c>
      <c r="R67" s="36"/>
      <c r="S67" s="186"/>
      <c r="T67" s="36"/>
      <c r="U67" s="54"/>
      <c r="V67" s="54"/>
      <c r="W67" s="54"/>
      <c r="X67" s="54"/>
      <c r="Y67" s="54"/>
      <c r="Z67" s="47"/>
    </row>
    <row r="68" spans="1:26" ht="12.75">
      <c r="A68" s="70" t="s">
        <v>336</v>
      </c>
      <c r="B68" s="70">
        <v>8</v>
      </c>
      <c r="C68" s="60">
        <f>$C$10</f>
        <v>0</v>
      </c>
      <c r="D68" s="80">
        <f>$D$10</f>
        <v>5</v>
      </c>
      <c r="E68" s="70">
        <v>8</v>
      </c>
      <c r="F68" s="60">
        <f>$C$10</f>
        <v>0</v>
      </c>
      <c r="G68" s="80">
        <f>$D$10</f>
        <v>5</v>
      </c>
      <c r="H68" s="70">
        <v>8</v>
      </c>
      <c r="I68" s="60">
        <f>$C$10</f>
        <v>0</v>
      </c>
      <c r="J68" s="80">
        <f>$D$10</f>
        <v>5</v>
      </c>
      <c r="K68" s="70">
        <v>8</v>
      </c>
      <c r="L68" s="60">
        <f>$C$10</f>
        <v>0</v>
      </c>
      <c r="M68" s="80">
        <f>$D$10</f>
        <v>5</v>
      </c>
      <c r="N68" s="31"/>
      <c r="O68" s="15"/>
      <c r="P68" s="45" t="s">
        <v>303</v>
      </c>
      <c r="Q68" s="24" t="s">
        <v>171</v>
      </c>
      <c r="R68" s="186"/>
      <c r="S68" s="186"/>
      <c r="T68" s="36"/>
      <c r="U68" s="54"/>
      <c r="V68" s="54"/>
      <c r="W68" s="54"/>
      <c r="X68" s="54"/>
      <c r="Y68" s="54"/>
      <c r="Z68" s="47"/>
    </row>
    <row r="69" spans="1:26" ht="12.75">
      <c r="A69" s="70" t="s">
        <v>262</v>
      </c>
      <c r="B69" s="77">
        <f>IF($D$20-N69&gt;=$C$7,2,IF($D$20-N69&gt;=$C$7*2/3,3,IF($D$20-N69&gt;=$C$7*1/3,4,IF($D$20-N69&gt;=0,5,8))))</f>
        <v>4</v>
      </c>
      <c r="C69" s="130">
        <f>MAX($C$10,MIN($C$11,($C$14+($C$11-$C$14)*($D$20-N69)/$C$7)))</f>
        <v>47.422222222222224</v>
      </c>
      <c r="D69" s="131">
        <f>MAX($D$10,MIN($D$11,($D$14+($D$11-$D$14)*($D$20-N69)/$C$7)))</f>
        <v>58.62222222222222</v>
      </c>
      <c r="E69" s="77">
        <f>IF($G$20-N69&gt;=$C$7,2,IF($G$20-N69&gt;=$C$7*2/3,3,IF($G$20-N69&gt;=$C$7*1/3,4,IF($G$20-N69&gt;=0,5,8))))</f>
        <v>4</v>
      </c>
      <c r="F69" s="130">
        <f>MAX($C$10,MIN($C$11,($C$14+($C$11-$C$14)*($G$20-N69)/$C$7)))</f>
        <v>62.51111111111111</v>
      </c>
      <c r="G69" s="131">
        <f>MAX($D$10,MIN($D$11,($D$14+($D$11-$D$14)*($G$20-N69)/$C$7)))</f>
        <v>70.91111111111111</v>
      </c>
      <c r="H69" s="77">
        <f>IF($J$20-N69&gt;=$C$7,2,IF($J$20-N69&gt;=$C$7*2/3,3,IF($J$20-N69&gt;=$C$7*1/3,4,IF($J$20-N69&gt;=0,5,8))))</f>
        <v>3</v>
      </c>
      <c r="I69" s="130">
        <f>MAX($C$10,MIN($C$11,($C$14+($C$11-$C$14)*($J$20-N69)/$C$7)))</f>
        <v>79.75555555555556</v>
      </c>
      <c r="J69" s="131">
        <f>MAX($D$10,MIN($D$11,($D$14+($D$11-$D$14)*($J$20-N69)/$C$7)))</f>
        <v>84.95555555555555</v>
      </c>
      <c r="K69" s="77">
        <f>IF($M$20-N69&gt;=$C$7,2,IF($M$20-N69&gt;=$C$7*2/3,3,IF($M$20-N69&gt;=$C$7*1/3,4,IF($M$20-N69&gt;=0,5,8))))</f>
        <v>2</v>
      </c>
      <c r="L69" s="130">
        <f>MAX($C$10,MIN($C$11,($C$14+($C$11-$C$14)*($M$20-N69)/$C$7)))</f>
        <v>97</v>
      </c>
      <c r="M69" s="131">
        <f>MAX($D$10,MIN($D$11,($D$14+($D$11-$D$14)*($M$20-N69)/$C$7)))</f>
        <v>99</v>
      </c>
      <c r="N69" s="31">
        <v>1890</v>
      </c>
      <c r="O69" s="15" t="s">
        <v>426</v>
      </c>
      <c r="P69" s="15" t="s">
        <v>303</v>
      </c>
      <c r="Q69" s="24" t="s">
        <v>69</v>
      </c>
      <c r="R69" s="186"/>
      <c r="S69" s="186"/>
      <c r="T69" s="36"/>
      <c r="U69" s="54"/>
      <c r="V69" s="54"/>
      <c r="W69" s="54"/>
      <c r="X69" s="54"/>
      <c r="Y69" s="54"/>
      <c r="Z69" s="47"/>
    </row>
    <row r="70" spans="1:26" ht="12.75">
      <c r="A70" s="70" t="s">
        <v>203</v>
      </c>
      <c r="B70" s="70">
        <v>1</v>
      </c>
      <c r="C70" s="60">
        <f>$C$12</f>
        <v>97</v>
      </c>
      <c r="D70" s="80">
        <f>$D$12</f>
        <v>99</v>
      </c>
      <c r="E70" s="70">
        <v>1</v>
      </c>
      <c r="F70" s="60">
        <f>$C$12</f>
        <v>97</v>
      </c>
      <c r="G70" s="80">
        <f>$D$12</f>
        <v>99</v>
      </c>
      <c r="H70" s="70">
        <v>1</v>
      </c>
      <c r="I70" s="60">
        <f>$C$12</f>
        <v>97</v>
      </c>
      <c r="J70" s="80">
        <f>$D$12</f>
        <v>99</v>
      </c>
      <c r="K70" s="70">
        <v>1</v>
      </c>
      <c r="L70" s="60">
        <f aca="true" t="shared" si="8" ref="L70:L75">$C$12</f>
        <v>97</v>
      </c>
      <c r="M70" s="80">
        <f aca="true" t="shared" si="9" ref="M70:M75">$D$12</f>
        <v>99</v>
      </c>
      <c r="N70" s="31"/>
      <c r="O70" s="15"/>
      <c r="P70" s="45" t="s">
        <v>411</v>
      </c>
      <c r="Q70" s="24" t="s">
        <v>174</v>
      </c>
      <c r="R70" s="186"/>
      <c r="S70" s="186"/>
      <c r="T70" s="36"/>
      <c r="U70" s="54"/>
      <c r="V70" s="54"/>
      <c r="W70" s="54"/>
      <c r="X70" s="54"/>
      <c r="Y70" s="54"/>
      <c r="Z70" s="47"/>
    </row>
    <row r="71" spans="1:26" ht="12.75">
      <c r="A71" s="70" t="s">
        <v>188</v>
      </c>
      <c r="B71" s="77">
        <f>IF($D$20-N71&gt;=$C$7,2,IF($D$20-N71&gt;=$C$7*2/3,3,IF($D$20-N71&gt;=$C$7*1/3,4,IF($D$20-N71&gt;=0,5,8))))</f>
        <v>5</v>
      </c>
      <c r="C71" s="130">
        <f>MAX($C$10,MIN($C$11,($C$14+($C$11-$C$14)*($D$20-N71)/$C$7)))</f>
        <v>15.088888888888889</v>
      </c>
      <c r="D71" s="131">
        <f>MAX($D$10,MIN($D$11,($D$14+($D$11-$D$14)*($D$20-N71)/$C$7)))</f>
        <v>32.28888888888889</v>
      </c>
      <c r="E71" s="77">
        <f>IF($G$20-N71&gt;=$C$7,2,IF($G$20-N71&gt;=$C$7*2/3,3,IF($G$20-N71&gt;=$C$7*1/3,4,IF($G$20-N71&gt;=0,5,8))))</f>
        <v>5</v>
      </c>
      <c r="F71" s="130">
        <f>MAX($C$10,MIN($C$11,($C$14+($C$11-$C$14)*($G$20-N71)/$C$7)))</f>
        <v>30.177777777777777</v>
      </c>
      <c r="G71" s="131">
        <f>MAX($D$10,MIN($D$11,($D$14+($D$11-$D$14)*($G$20-N71)/$C$7)))</f>
        <v>44.57777777777778</v>
      </c>
      <c r="H71" s="77">
        <f>IF($J$20-N71&gt;=$C$7,2,IF($J$20-N71&gt;=$C$7*2/3,3,IF($J$20-N71&gt;=$C$7*1/3,4,IF($J$20-N71&gt;=0,5,8))))</f>
        <v>4</v>
      </c>
      <c r="I71" s="130">
        <f>MAX($C$10,MIN($C$11,($C$14+($C$11-$C$14)*($J$20-N71)/$C$7)))</f>
        <v>47.422222222222224</v>
      </c>
      <c r="J71" s="131">
        <f>MAX($D$10,MIN($D$11,($D$14+($D$11-$D$14)*($J$20-N71)/$C$7)))</f>
        <v>58.62222222222222</v>
      </c>
      <c r="K71" s="77">
        <f>IF($M$20-N71&gt;=$C$7,2,IF($M$20-N71&gt;=$C$7*2/3,3,IF($M$20-N71&gt;=$C$7*1/3,4,IF($M$20-N71&gt;=0,5,8))))</f>
        <v>2</v>
      </c>
      <c r="L71" s="130">
        <f>MAX($C$10,MIN($C$11,($C$14+($C$11-$C$14)*($M$20-N71)/$C$7)))</f>
        <v>97</v>
      </c>
      <c r="M71" s="131">
        <f>MAX($D$10,MIN($D$11,($D$14+($D$11-$D$14)*($M$20-N71)/$C$7)))</f>
        <v>99</v>
      </c>
      <c r="N71" s="31">
        <v>1905</v>
      </c>
      <c r="O71" s="15" t="s">
        <v>426</v>
      </c>
      <c r="P71" s="15" t="s">
        <v>303</v>
      </c>
      <c r="Q71" s="24" t="s">
        <v>175</v>
      </c>
      <c r="R71" s="186"/>
      <c r="S71" s="186"/>
      <c r="T71" s="36"/>
      <c r="U71" s="54"/>
      <c r="V71" s="54"/>
      <c r="W71" s="54"/>
      <c r="X71" s="54"/>
      <c r="Y71" s="54"/>
      <c r="Z71" s="47"/>
    </row>
    <row r="72" spans="1:26" ht="12.75">
      <c r="A72" s="70" t="s">
        <v>183</v>
      </c>
      <c r="B72" s="77">
        <f>IF($D$20-N72&gt;=$C$7,2,IF($D$20-N72&gt;=$C$7*2/3,3,IF($D$20-N72&gt;=$C$7*1/3,4,IF($D$20-N72&gt;=0,5,8))))</f>
        <v>4</v>
      </c>
      <c r="C72" s="130">
        <f>MAX($C$10,MIN($C$11,($C$14+($C$11-$C$14)*($D$20-N72)/$C$7)))</f>
        <v>47.422222222222224</v>
      </c>
      <c r="D72" s="131">
        <f>MAX($D$10,MIN($D$11,($D$14+($D$11-$D$14)*($D$20-N72)/$C$7)))</f>
        <v>58.62222222222222</v>
      </c>
      <c r="E72" s="77">
        <f>IF($G$20-N72&gt;=$C$7,2,IF($G$20-N72&gt;=$C$7*2/3,3,IF($G$20-N72&gt;=$C$7*1/3,4,IF($G$20-N72&gt;=0,5,8))))</f>
        <v>4</v>
      </c>
      <c r="F72" s="130">
        <f>MAX($C$10,MIN($C$11,($C$14+($C$11-$C$14)*($G$20-N72)/$C$7)))</f>
        <v>62.51111111111111</v>
      </c>
      <c r="G72" s="131">
        <f>MAX($D$10,MIN($D$11,($D$14+($D$11-$D$14)*($G$20-N72)/$C$7)))</f>
        <v>70.91111111111111</v>
      </c>
      <c r="H72" s="77">
        <f>IF($J$20-N72&gt;=$C$7,2,IF($J$20-N72&gt;=$C$7*2/3,3,IF($J$20-N72&gt;=$C$7*1/3,4,IF($J$20-N72&gt;=0,5,8))))</f>
        <v>3</v>
      </c>
      <c r="I72" s="130">
        <f>MAX($C$10,MIN($C$11,($C$14+($C$11-$C$14)*($J$20-N72)/$C$7)))</f>
        <v>79.75555555555556</v>
      </c>
      <c r="J72" s="131">
        <f>MAX($D$10,MIN($D$11,($D$14+($D$11-$D$14)*($J$20-N72)/$C$7)))</f>
        <v>84.95555555555555</v>
      </c>
      <c r="K72" s="77">
        <f>IF($M$20-N72&gt;=$C$7,2,IF($M$20-N72&gt;=$C$7*2/3,3,IF($M$20-N72&gt;=$C$7*1/3,4,IF($M$20-N72&gt;=0,5,8))))</f>
        <v>2</v>
      </c>
      <c r="L72" s="130">
        <f>MAX($C$10,MIN($C$11,($C$14+($C$11-$C$14)*($M$20-N72)/$C$7)))</f>
        <v>97</v>
      </c>
      <c r="M72" s="131">
        <f>MAX($D$10,MIN($D$11,($D$14+($D$11-$D$14)*($M$20-N72)/$C$7)))</f>
        <v>99</v>
      </c>
      <c r="N72" s="31">
        <v>1890</v>
      </c>
      <c r="O72" s="15" t="s">
        <v>426</v>
      </c>
      <c r="P72" s="15" t="s">
        <v>303</v>
      </c>
      <c r="Q72" s="24" t="s">
        <v>110</v>
      </c>
      <c r="R72" s="186"/>
      <c r="S72" s="186"/>
      <c r="T72" s="36"/>
      <c r="U72" s="54"/>
      <c r="V72" s="54"/>
      <c r="W72" s="54"/>
      <c r="X72" s="54"/>
      <c r="Y72" s="54"/>
      <c r="Z72" s="47"/>
    </row>
    <row r="73" spans="1:26" ht="12.75">
      <c r="A73" s="70" t="s">
        <v>189</v>
      </c>
      <c r="B73" s="70">
        <v>1</v>
      </c>
      <c r="C73" s="60">
        <f>$C$12</f>
        <v>97</v>
      </c>
      <c r="D73" s="80">
        <f>$D$12</f>
        <v>99</v>
      </c>
      <c r="E73" s="70">
        <v>1</v>
      </c>
      <c r="F73" s="60">
        <f>$C$12</f>
        <v>97</v>
      </c>
      <c r="G73" s="80">
        <f>$D$12</f>
        <v>99</v>
      </c>
      <c r="H73" s="70">
        <v>1</v>
      </c>
      <c r="I73" s="60">
        <f>$C$12</f>
        <v>97</v>
      </c>
      <c r="J73" s="80">
        <f>$D$12</f>
        <v>99</v>
      </c>
      <c r="K73" s="70">
        <v>1</v>
      </c>
      <c r="L73" s="60">
        <f t="shared" si="8"/>
        <v>97</v>
      </c>
      <c r="M73" s="80">
        <f t="shared" si="9"/>
        <v>99</v>
      </c>
      <c r="N73" s="31"/>
      <c r="O73" s="15"/>
      <c r="P73" s="45" t="s">
        <v>411</v>
      </c>
      <c r="Q73" s="24" t="s">
        <v>110</v>
      </c>
      <c r="R73" s="186"/>
      <c r="S73" s="186"/>
      <c r="T73" s="36"/>
      <c r="U73" s="54"/>
      <c r="V73" s="54"/>
      <c r="W73" s="54"/>
      <c r="X73" s="54"/>
      <c r="Y73" s="54"/>
      <c r="Z73" s="47"/>
    </row>
    <row r="74" spans="1:26" ht="12.75">
      <c r="A74" s="70" t="s">
        <v>263</v>
      </c>
      <c r="B74" s="70">
        <v>1</v>
      </c>
      <c r="C74" s="60">
        <f>$C$12</f>
        <v>97</v>
      </c>
      <c r="D74" s="80">
        <f>$D$12</f>
        <v>99</v>
      </c>
      <c r="E74" s="70">
        <v>1</v>
      </c>
      <c r="F74" s="60">
        <f>$C$12</f>
        <v>97</v>
      </c>
      <c r="G74" s="80">
        <f>$D$12</f>
        <v>99</v>
      </c>
      <c r="H74" s="70">
        <v>1</v>
      </c>
      <c r="I74" s="60">
        <f>$C$12</f>
        <v>97</v>
      </c>
      <c r="J74" s="80">
        <f>$D$12</f>
        <v>99</v>
      </c>
      <c r="K74" s="70">
        <v>1</v>
      </c>
      <c r="L74" s="60">
        <f t="shared" si="8"/>
        <v>97</v>
      </c>
      <c r="M74" s="80">
        <f t="shared" si="9"/>
        <v>99</v>
      </c>
      <c r="N74" s="31"/>
      <c r="O74" s="15"/>
      <c r="P74" s="45" t="s">
        <v>411</v>
      </c>
      <c r="Q74" s="24" t="s">
        <v>65</v>
      </c>
      <c r="R74" s="186"/>
      <c r="S74" s="186"/>
      <c r="T74" s="36"/>
      <c r="U74" s="54"/>
      <c r="V74" s="54"/>
      <c r="W74" s="54"/>
      <c r="X74" s="54"/>
      <c r="Y74" s="54"/>
      <c r="Z74" s="47"/>
    </row>
    <row r="75" spans="1:26" ht="12.75">
      <c r="A75" s="70" t="s">
        <v>289</v>
      </c>
      <c r="B75" s="70">
        <v>1</v>
      </c>
      <c r="C75" s="60">
        <f>$C$12</f>
        <v>97</v>
      </c>
      <c r="D75" s="80">
        <f>$D$12</f>
        <v>99</v>
      </c>
      <c r="E75" s="70">
        <v>1</v>
      </c>
      <c r="F75" s="60">
        <f>$C$12</f>
        <v>97</v>
      </c>
      <c r="G75" s="80">
        <f>$D$12</f>
        <v>99</v>
      </c>
      <c r="H75" s="70">
        <v>1</v>
      </c>
      <c r="I75" s="60">
        <f>$C$12</f>
        <v>97</v>
      </c>
      <c r="J75" s="80">
        <f>$D$12</f>
        <v>99</v>
      </c>
      <c r="K75" s="70">
        <v>1</v>
      </c>
      <c r="L75" s="60">
        <f t="shared" si="8"/>
        <v>97</v>
      </c>
      <c r="M75" s="80">
        <f t="shared" si="9"/>
        <v>99</v>
      </c>
      <c r="N75" s="31"/>
      <c r="O75" s="15"/>
      <c r="P75" s="45" t="s">
        <v>411</v>
      </c>
      <c r="Q75" s="24" t="s">
        <v>68</v>
      </c>
      <c r="R75" s="186"/>
      <c r="S75" s="186"/>
      <c r="T75" s="36"/>
      <c r="U75" s="54"/>
      <c r="V75" s="54"/>
      <c r="W75" s="54"/>
      <c r="X75" s="54"/>
      <c r="Y75" s="54"/>
      <c r="Z75" s="47"/>
    </row>
    <row r="76" spans="1:26" ht="12.75">
      <c r="A76" s="70" t="s">
        <v>264</v>
      </c>
      <c r="B76" s="77">
        <f>IF($D$20-N76&gt;=$C$7,2,IF($D$20-N76&gt;=$C$7*2/3,3,IF($D$20-N76&gt;=$C$7*1/3,4,IF($D$20-N76&gt;=0,5,8))))</f>
        <v>5</v>
      </c>
      <c r="C76" s="130">
        <f>MAX($C$10,MIN($C$11,($C$14+($C$11-$C$14)*($D$20-N76)/$C$7)))</f>
        <v>25.866666666666667</v>
      </c>
      <c r="D76" s="131">
        <f>MAX($D$10,MIN($D$11,($D$14+($D$11-$D$14)*($D$20-N76)/$C$7)))</f>
        <v>41.06666666666666</v>
      </c>
      <c r="E76" s="77">
        <f>IF($G$20-N76&gt;=$C$7,2,IF($G$20-N76&gt;=$C$7*2/3,3,IF($G$20-N76&gt;=$C$7*1/3,4,IF($G$20-N76&gt;=0,5,8))))</f>
        <v>4</v>
      </c>
      <c r="F76" s="130">
        <f>MAX($C$10,MIN($C$11,($C$14+($C$11-$C$14)*($G$20-N76)/$C$7)))</f>
        <v>40.955555555555556</v>
      </c>
      <c r="G76" s="131">
        <f>MAX($D$10,MIN($D$11,($D$14+($D$11-$D$14)*($G$20-N76)/$C$7)))</f>
        <v>53.355555555555554</v>
      </c>
      <c r="H76" s="77">
        <f>IF($J$20-N76&gt;=$C$7,2,IF($J$20-N76&gt;=$C$7*2/3,3,IF($J$20-N76&gt;=$C$7*1/3,4,IF($J$20-N76&gt;=0,5,8))))</f>
        <v>4</v>
      </c>
      <c r="I76" s="130">
        <f>MAX($C$10,MIN($C$11,($C$14+($C$11-$C$14)*($J$20-N76)/$C$7)))</f>
        <v>58.2</v>
      </c>
      <c r="J76" s="131">
        <f>MAX($D$10,MIN($D$11,($D$14+($D$11-$D$14)*($J$20-N76)/$C$7)))</f>
        <v>67.4</v>
      </c>
      <c r="K76" s="77">
        <f>IF($M$20-N76&gt;=$C$7,2,IF($M$20-N76&gt;=$C$7*2/3,3,IF($M$20-N76&gt;=$C$7*1/3,4,IF($M$20-N76&gt;=0,5,8))))</f>
        <v>2</v>
      </c>
      <c r="L76" s="130">
        <f>MAX($C$10,MIN($C$11,($C$14+($C$11-$C$14)*($M$20-N76)/$C$7)))</f>
        <v>97</v>
      </c>
      <c r="M76" s="131">
        <f>MAX($D$10,MIN($D$11,($D$14+($D$11-$D$14)*($M$20-N76)/$C$7)))</f>
        <v>99</v>
      </c>
      <c r="N76" s="31">
        <v>1900</v>
      </c>
      <c r="O76" s="15" t="s">
        <v>426</v>
      </c>
      <c r="P76" s="15" t="s">
        <v>303</v>
      </c>
      <c r="Q76" s="24" t="s">
        <v>164</v>
      </c>
      <c r="R76" s="186"/>
      <c r="S76" s="186"/>
      <c r="T76" s="36"/>
      <c r="U76" s="54"/>
      <c r="V76" s="54"/>
      <c r="W76" s="54"/>
      <c r="X76" s="54"/>
      <c r="Y76" s="54"/>
      <c r="Z76" s="47"/>
    </row>
    <row r="77" spans="1:26" ht="12.75">
      <c r="A77" s="70" t="s">
        <v>268</v>
      </c>
      <c r="B77" s="77">
        <f>IF($D$20-N77&gt;=$C$7,2,IF($D$20-N77&gt;=$C$7*2/3,3,IF($D$20-N77&gt;=$C$7*1/3,4,IF($D$20-N77&gt;=0,5,8))))</f>
        <v>5</v>
      </c>
      <c r="C77" s="130">
        <f>MAX($C$10,MIN($C$11,($C$14+($C$11-$C$14)*($D$20-N77)/$C$7)))</f>
        <v>10.777777777777779</v>
      </c>
      <c r="D77" s="131">
        <f>MAX($D$10,MIN($D$11,($D$14+($D$11-$D$14)*($D$20-N77)/$C$7)))</f>
        <v>28.77777777777778</v>
      </c>
      <c r="E77" s="77">
        <f>IF($G$20-N77&gt;=$C$7,2,IF($G$20-N77&gt;=$C$7*2/3,3,IF($G$20-N77&gt;=$C$7*1/3,4,IF($G$20-N77&gt;=0,5,8))))</f>
        <v>5</v>
      </c>
      <c r="F77" s="130">
        <f>MAX($C$10,MIN($C$11,($C$14+($C$11-$C$14)*($G$20-N77)/$C$7)))</f>
        <v>25.866666666666667</v>
      </c>
      <c r="G77" s="131">
        <f>MAX($D$10,MIN($D$11,($D$14+($D$11-$D$14)*($G$20-N77)/$C$7)))</f>
        <v>41.06666666666666</v>
      </c>
      <c r="H77" s="77">
        <f>IF($J$20-N77&gt;=$C$7,2,IF($J$20-N77&gt;=$C$7*2/3,3,IF($J$20-N77&gt;=$C$7*1/3,4,IF($J$20-N77&gt;=0,5,8))))</f>
        <v>4</v>
      </c>
      <c r="I77" s="130">
        <f>MAX($C$10,MIN($C$11,($C$14+($C$11-$C$14)*($J$20-N77)/$C$7)))</f>
        <v>43.111111111111114</v>
      </c>
      <c r="J77" s="131">
        <f>MAX($D$10,MIN($D$11,($D$14+($D$11-$D$14)*($J$20-N77)/$C$7)))</f>
        <v>55.111111111111114</v>
      </c>
      <c r="K77" s="77">
        <f>IF($M$20-N77&gt;=$C$7,2,IF($M$20-N77&gt;=$C$7*2/3,3,IF($M$20-N77&gt;=$C$7*1/3,4,IF($M$20-N77&gt;=0,5,8))))</f>
        <v>2</v>
      </c>
      <c r="L77" s="130">
        <f>MAX($C$10,MIN($C$11,($C$14+($C$11-$C$14)*($M$20-N77)/$C$7)))</f>
        <v>97</v>
      </c>
      <c r="M77" s="131">
        <f>MAX($D$10,MIN($D$11,($D$14+($D$11-$D$14)*($M$20-N77)/$C$7)))</f>
        <v>99</v>
      </c>
      <c r="N77" s="31">
        <v>1907</v>
      </c>
      <c r="O77" s="15" t="s">
        <v>426</v>
      </c>
      <c r="P77" s="15" t="s">
        <v>303</v>
      </c>
      <c r="Q77" s="24" t="s">
        <v>42</v>
      </c>
      <c r="R77" s="186"/>
      <c r="S77" s="186"/>
      <c r="T77" s="36"/>
      <c r="U77" s="54"/>
      <c r="V77" s="54"/>
      <c r="W77" s="54"/>
      <c r="X77" s="54"/>
      <c r="Y77" s="54"/>
      <c r="Z77" s="47"/>
    </row>
    <row r="78" spans="1:26" ht="13.5" customHeight="1">
      <c r="A78" s="70" t="s">
        <v>655</v>
      </c>
      <c r="B78" s="70">
        <v>5</v>
      </c>
      <c r="C78" s="130">
        <f>$C$15</f>
        <v>40</v>
      </c>
      <c r="D78" s="131">
        <f>$D$15</f>
        <v>60</v>
      </c>
      <c r="E78" s="70">
        <v>5</v>
      </c>
      <c r="F78" s="130">
        <f>$C$15</f>
        <v>40</v>
      </c>
      <c r="G78" s="131">
        <f>$D$15</f>
        <v>60</v>
      </c>
      <c r="H78" s="70">
        <v>5</v>
      </c>
      <c r="I78" s="130">
        <f>$C$15</f>
        <v>40</v>
      </c>
      <c r="J78" s="131">
        <f>$D$15</f>
        <v>60</v>
      </c>
      <c r="K78" s="70">
        <v>5</v>
      </c>
      <c r="L78" s="130">
        <f>$C$15</f>
        <v>40</v>
      </c>
      <c r="M78" s="131">
        <f>$D$15</f>
        <v>60</v>
      </c>
      <c r="N78" s="31"/>
      <c r="O78" s="15"/>
      <c r="P78" s="15" t="s">
        <v>412</v>
      </c>
      <c r="Q78" s="24" t="s">
        <v>121</v>
      </c>
      <c r="R78" s="186"/>
      <c r="S78" s="186"/>
      <c r="T78" s="36"/>
      <c r="U78" s="54"/>
      <c r="V78" s="54"/>
      <c r="W78" s="54"/>
      <c r="X78" s="54"/>
      <c r="Y78" s="54"/>
      <c r="Z78" s="47"/>
    </row>
    <row r="79" spans="1:26" ht="12.75">
      <c r="A79" s="70" t="s">
        <v>656</v>
      </c>
      <c r="B79" s="77">
        <f>IF($D$20-N79&gt;=$C$7,2,IF($D$20-N79&gt;=$C$7*2/3,3,IF($D$20-N79&gt;=$C$7*1/3,4,IF($D$20-N79&gt;=0,5,8))))</f>
        <v>5</v>
      </c>
      <c r="C79" s="130">
        <f>MAX($C$10,MIN($C$11,($C$14+($C$11-$C$14)*($D$20-N79)/$C$7)))</f>
        <v>25.866666666666667</v>
      </c>
      <c r="D79" s="131">
        <f>MAX($D$10,MIN($D$11,($D$14+($D$11-$D$14)*($D$20-N79)/$C$7)))</f>
        <v>41.06666666666666</v>
      </c>
      <c r="E79" s="77">
        <f>IF($G$20-N79&gt;=$C$7,2,IF($G$20-N79&gt;=$C$7*2/3,3,IF($G$20-N79&gt;=$C$7*1/3,4,IF($G$20-N79&gt;=0,5,8))))</f>
        <v>4</v>
      </c>
      <c r="F79" s="130">
        <f>MAX($C$10,MIN($C$11,($C$14+($C$11-$C$14)*($G$20-N79)/$C$7)))</f>
        <v>40.955555555555556</v>
      </c>
      <c r="G79" s="131">
        <f>MAX($D$10,MIN($D$11,($D$14+($D$11-$D$14)*($G$20-N79)/$C$7)))</f>
        <v>53.355555555555554</v>
      </c>
      <c r="H79" s="77">
        <f>IF($J$20-N79&gt;=$C$7,2,IF($J$20-N79&gt;=$C$7*2/3,3,IF($J$20-N79&gt;=$C$7*1/3,4,IF($J$20-N79&gt;=0,5,8))))</f>
        <v>4</v>
      </c>
      <c r="I79" s="130">
        <f>MAX($C$10,MIN($C$11,($C$14+($C$11-$C$14)*($J$20-N79)/$C$7)))</f>
        <v>58.2</v>
      </c>
      <c r="J79" s="131">
        <f>MAX($D$10,MIN($D$11,($D$14+($D$11-$D$14)*($J$20-N79)/$C$7)))</f>
        <v>67.4</v>
      </c>
      <c r="K79" s="77">
        <f>IF($M$20-N79&gt;=$C$7,2,IF($M$20-N79&gt;=$C$7*2/3,3,IF($M$20-N79&gt;=$C$7*1/3,4,IF($M$20-N79&gt;=0,5,8))))</f>
        <v>2</v>
      </c>
      <c r="L79" s="130">
        <f>MAX($C$10,MIN($C$11,($C$14+($C$11-$C$14)*($M$20-N79)/$C$7)))</f>
        <v>97</v>
      </c>
      <c r="M79" s="131">
        <f>MAX($D$10,MIN($D$11,($D$14+($D$11-$D$14)*($M$20-N79)/$C$7)))</f>
        <v>99</v>
      </c>
      <c r="N79" s="31">
        <v>1900</v>
      </c>
      <c r="O79" s="15" t="s">
        <v>426</v>
      </c>
      <c r="P79" s="15" t="s">
        <v>303</v>
      </c>
      <c r="Q79" s="24" t="s">
        <v>129</v>
      </c>
      <c r="R79" s="186"/>
      <c r="S79" s="186"/>
      <c r="T79" s="36"/>
      <c r="U79" s="54"/>
      <c r="V79" s="54"/>
      <c r="W79" s="54"/>
      <c r="X79" s="54"/>
      <c r="Y79" s="54"/>
      <c r="Z79" s="47"/>
    </row>
    <row r="80" spans="1:26" ht="12.75">
      <c r="A80" s="70" t="s">
        <v>265</v>
      </c>
      <c r="B80" s="77">
        <f>IF($D$20-N80&gt;=$C$7,2,IF($D$20-N80&gt;=$C$7*2/3,3,IF($D$20-N80&gt;=$C$7*1/3,4,IF($D$20-N80&gt;=0,5,8))))</f>
        <v>3</v>
      </c>
      <c r="C80" s="130">
        <f>MAX($C$10,MIN($C$11,($C$14+($C$11-$C$14)*($D$20-N80)/$C$7)))</f>
        <v>68.97777777777777</v>
      </c>
      <c r="D80" s="131">
        <f>MAX($D$10,MIN($D$11,($D$14+($D$11-$D$14)*($D$20-N80)/$C$7)))</f>
        <v>76.17777777777778</v>
      </c>
      <c r="E80" s="77">
        <f>IF($G$20-N80&gt;=$C$7,2,IF($G$20-N80&gt;=$C$7*2/3,3,IF($G$20-N80&gt;=$C$7*1/3,4,IF($G$20-N80&gt;=0,5,8))))</f>
        <v>3</v>
      </c>
      <c r="F80" s="130">
        <f>MAX($C$10,MIN($C$11,($C$14+($C$11-$C$14)*($G$20-N80)/$C$7)))</f>
        <v>84.06666666666666</v>
      </c>
      <c r="G80" s="131">
        <f>MAX($D$10,MIN($D$11,($D$14+($D$11-$D$14)*($G$20-N80)/$C$7)))</f>
        <v>88.46666666666667</v>
      </c>
      <c r="H80" s="77">
        <f>IF($J$20-N80&gt;=$C$7,2,IF($J$20-N80&gt;=$C$7*2/3,3,IF($J$20-N80&gt;=$C$7*1/3,4,IF($J$20-N80&gt;=0,5,8))))</f>
        <v>2</v>
      </c>
      <c r="I80" s="130">
        <f>MAX($C$10,MIN($C$11,($C$14+($C$11-$C$14)*($J$20-N80)/$C$7)))</f>
        <v>97</v>
      </c>
      <c r="J80" s="131">
        <f>MAX($D$10,MIN($D$11,($D$14+($D$11-$D$14)*($J$20-N80)/$C$7)))</f>
        <v>99</v>
      </c>
      <c r="K80" s="77">
        <f>IF($M$20-N80&gt;=$C$7,2,IF($M$20-N80&gt;=$C$7*2/3,3,IF($M$20-N80&gt;=$C$7*1/3,4,IF($M$20-N80&gt;=0,5,8))))</f>
        <v>2</v>
      </c>
      <c r="L80" s="130">
        <f>MAX($C$10,MIN($C$11,($C$14+($C$11-$C$14)*($M$20-N80)/$C$7)))</f>
        <v>97</v>
      </c>
      <c r="M80" s="131">
        <f>MAX($D$10,MIN($D$11,($D$14+($D$11-$D$14)*($M$20-N80)/$C$7)))</f>
        <v>99</v>
      </c>
      <c r="N80" s="31">
        <v>1880</v>
      </c>
      <c r="O80" s="15" t="s">
        <v>426</v>
      </c>
      <c r="P80" s="15" t="s">
        <v>303</v>
      </c>
      <c r="Q80" s="24" t="s">
        <v>174</v>
      </c>
      <c r="R80" s="186"/>
      <c r="S80" s="186"/>
      <c r="T80" s="36"/>
      <c r="U80" s="54"/>
      <c r="V80" s="54"/>
      <c r="W80" s="54"/>
      <c r="X80" s="54"/>
      <c r="Y80" s="54"/>
      <c r="Z80" s="47"/>
    </row>
    <row r="81" spans="1:26" ht="12.75">
      <c r="A81" s="70" t="s">
        <v>239</v>
      </c>
      <c r="B81" s="77">
        <f>IF($D$20-N81&gt;=$C$7,2,IF($D$20-N81&gt;=$C$7*2/3,3,IF($D$20-N81&gt;=$C$7*1/3,4,IF($D$20-N81&gt;=0,5,8))))</f>
        <v>5</v>
      </c>
      <c r="C81" s="130">
        <f>MAX($C$10,MIN($C$11,($C$14+($C$11-$C$14)*($D$20-N81)/$C$7)))</f>
        <v>25.866666666666667</v>
      </c>
      <c r="D81" s="131">
        <f>MAX($D$10,MIN($D$11,($D$14+($D$11-$D$14)*($D$20-N81)/$C$7)))</f>
        <v>41.06666666666666</v>
      </c>
      <c r="E81" s="77">
        <f>IF($G$20-N81&gt;=$C$7,2,IF($G$20-N81&gt;=$C$7*2/3,3,IF($G$20-N81&gt;=$C$7*1/3,4,IF($G$20-N81&gt;=0,5,8))))</f>
        <v>4</v>
      </c>
      <c r="F81" s="130">
        <f>MAX($C$10,MIN($C$11,($C$14+($C$11-$C$14)*($G$20-N81)/$C$7)))</f>
        <v>40.955555555555556</v>
      </c>
      <c r="G81" s="131">
        <f>MAX($D$10,MIN($D$11,($D$14+($D$11-$D$14)*($G$20-N81)/$C$7)))</f>
        <v>53.355555555555554</v>
      </c>
      <c r="H81" s="77">
        <f>IF($J$20-N81&gt;=$C$7,2,IF($J$20-N81&gt;=$C$7*2/3,3,IF($J$20-N81&gt;=$C$7*1/3,4,IF($J$20-N81&gt;=0,5,8))))</f>
        <v>4</v>
      </c>
      <c r="I81" s="130">
        <f>MAX($C$10,MIN($C$11,($C$14+($C$11-$C$14)*($J$20-N81)/$C$7)))</f>
        <v>58.2</v>
      </c>
      <c r="J81" s="131">
        <f>MAX($D$10,MIN($D$11,($D$14+($D$11-$D$14)*($J$20-N81)/$C$7)))</f>
        <v>67.4</v>
      </c>
      <c r="K81" s="77">
        <f>IF($M$20-N81&gt;=$C$7,2,IF($M$20-N81&gt;=$C$7*2/3,3,IF($M$20-N81&gt;=$C$7*1/3,4,IF($M$20-N81&gt;=0,5,8))))</f>
        <v>2</v>
      </c>
      <c r="L81" s="130">
        <f>MAX($C$10,MIN($C$11,($C$14+($C$11-$C$14)*($M$20-N81)/$C$7)))</f>
        <v>97</v>
      </c>
      <c r="M81" s="131">
        <f>MAX($D$10,MIN($D$11,($D$14+($D$11-$D$14)*($M$20-N81)/$C$7)))</f>
        <v>99</v>
      </c>
      <c r="N81" s="31">
        <v>1900</v>
      </c>
      <c r="O81" s="15" t="s">
        <v>426</v>
      </c>
      <c r="P81" s="15" t="s">
        <v>303</v>
      </c>
      <c r="Q81" s="24" t="s">
        <v>110</v>
      </c>
      <c r="R81" s="186"/>
      <c r="S81" s="186"/>
      <c r="T81" s="36"/>
      <c r="U81" s="54"/>
      <c r="V81" s="54"/>
      <c r="W81" s="54"/>
      <c r="X81" s="54"/>
      <c r="Y81" s="54"/>
      <c r="Z81" s="47"/>
    </row>
    <row r="82" spans="1:26" ht="12.75">
      <c r="A82" s="70" t="s">
        <v>269</v>
      </c>
      <c r="B82" s="77">
        <f>IF($D$20-N82&gt;=$C$7,2,IF($D$20-N82&gt;=$C$7*2/3,3,IF($D$20-N82&gt;=$C$7*1/3,4,IF($D$20-N82&gt;=0,5,8))))</f>
        <v>4</v>
      </c>
      <c r="C82" s="130">
        <f>MAX($C$10,MIN($C$11,($C$14+($C$11-$C$14)*($D$20-N82)/$C$7)))</f>
        <v>47.422222222222224</v>
      </c>
      <c r="D82" s="131">
        <f>MAX($D$10,MIN($D$11,($D$14+($D$11-$D$14)*($D$20-N82)/$C$7)))</f>
        <v>58.62222222222222</v>
      </c>
      <c r="E82" s="77">
        <f>IF($G$20-N82&gt;=$C$7,2,IF($G$20-N82&gt;=$C$7*2/3,3,IF($G$20-N82&gt;=$C$7*1/3,4,IF($G$20-N82&gt;=0,5,8))))</f>
        <v>4</v>
      </c>
      <c r="F82" s="130">
        <f>MAX($C$10,MIN($C$11,($C$14+($C$11-$C$14)*($G$20-N82)/$C$7)))</f>
        <v>62.51111111111111</v>
      </c>
      <c r="G82" s="131">
        <f>MAX($D$10,MIN($D$11,($D$14+($D$11-$D$14)*($G$20-N82)/$C$7)))</f>
        <v>70.91111111111111</v>
      </c>
      <c r="H82" s="77">
        <f>IF($J$20-N82&gt;=$C$7,2,IF($J$20-N82&gt;=$C$7*2/3,3,IF($J$20-N82&gt;=$C$7*1/3,4,IF($J$20-N82&gt;=0,5,8))))</f>
        <v>3</v>
      </c>
      <c r="I82" s="130">
        <f>MAX($C$10,MIN($C$11,($C$14+($C$11-$C$14)*($J$20-N82)/$C$7)))</f>
        <v>79.75555555555556</v>
      </c>
      <c r="J82" s="131">
        <f>MAX($D$10,MIN($D$11,($D$14+($D$11-$D$14)*($J$20-N82)/$C$7)))</f>
        <v>84.95555555555555</v>
      </c>
      <c r="K82" s="77">
        <f>IF($M$20-N82&gt;=$C$7,2,IF($M$20-N82&gt;=$C$7*2/3,3,IF($M$20-N82&gt;=$C$7*1/3,4,IF($M$20-N82&gt;=0,5,8))))</f>
        <v>2</v>
      </c>
      <c r="L82" s="130">
        <f>MAX($C$10,MIN($C$11,($C$14+($C$11-$C$14)*($M$20-N82)/$C$7)))</f>
        <v>97</v>
      </c>
      <c r="M82" s="131">
        <f>MAX($D$10,MIN($D$11,($D$14+($D$11-$D$14)*($M$20-N82)/$C$7)))</f>
        <v>99</v>
      </c>
      <c r="N82" s="31">
        <v>1890</v>
      </c>
      <c r="O82" s="15" t="s">
        <v>426</v>
      </c>
      <c r="P82" s="15" t="s">
        <v>303</v>
      </c>
      <c r="Q82" s="24" t="s">
        <v>42</v>
      </c>
      <c r="R82" s="186"/>
      <c r="S82" s="186"/>
      <c r="T82" s="36"/>
      <c r="U82" s="54"/>
      <c r="V82" s="54"/>
      <c r="W82" s="54"/>
      <c r="X82" s="54"/>
      <c r="Y82" s="54"/>
      <c r="Z82" s="47"/>
    </row>
    <row r="83" spans="1:26" ht="12.75">
      <c r="A83" s="70" t="s">
        <v>266</v>
      </c>
      <c r="B83" s="77">
        <f>IF($D$20-N83&gt;=$C$7,2,IF($D$20-N83&gt;=$C$7*2/3,3,IF($D$20-N83&gt;=$C$7*1/3,4,IF($D$20-N83&gt;=0,5,8))))</f>
        <v>5</v>
      </c>
      <c r="C83" s="130">
        <f>MAX($C$10,MIN($C$11,($C$14+($C$11-$C$14)*($D$20-N83)/$C$7)))</f>
        <v>15.088888888888889</v>
      </c>
      <c r="D83" s="131">
        <f>MAX($D$10,MIN($D$11,($D$14+($D$11-$D$14)*($D$20-N83)/$C$7)))</f>
        <v>32.28888888888889</v>
      </c>
      <c r="E83" s="77">
        <f>IF($G$20-N83&gt;=$C$7,2,IF($G$20-N83&gt;=$C$7*2/3,3,IF($G$20-N83&gt;=$C$7*1/3,4,IF($G$20-N83&gt;=0,5,8))))</f>
        <v>5</v>
      </c>
      <c r="F83" s="130">
        <f>MAX($C$10,MIN($C$11,($C$14+($C$11-$C$14)*($G$20-N83)/$C$7)))</f>
        <v>30.177777777777777</v>
      </c>
      <c r="G83" s="131">
        <f>MAX($D$10,MIN($D$11,($D$14+($D$11-$D$14)*($G$20-N83)/$C$7)))</f>
        <v>44.57777777777778</v>
      </c>
      <c r="H83" s="77">
        <f>IF($J$20-N83&gt;=$C$7,2,IF($J$20-N83&gt;=$C$7*2/3,3,IF($J$20-N83&gt;=$C$7*1/3,4,IF($J$20-N83&gt;=0,5,8))))</f>
        <v>4</v>
      </c>
      <c r="I83" s="130">
        <f>MAX($C$10,MIN($C$11,($C$14+($C$11-$C$14)*($J$20-N83)/$C$7)))</f>
        <v>47.422222222222224</v>
      </c>
      <c r="J83" s="131">
        <f>MAX($D$10,MIN($D$11,($D$14+($D$11-$D$14)*($J$20-N83)/$C$7)))</f>
        <v>58.62222222222222</v>
      </c>
      <c r="K83" s="77">
        <f>IF($M$20-N83&gt;=$C$7,2,IF($M$20-N83&gt;=$C$7*2/3,3,IF($M$20-N83&gt;=$C$7*1/3,4,IF($M$20-N83&gt;=0,5,8))))</f>
        <v>2</v>
      </c>
      <c r="L83" s="130">
        <f>MAX($C$10,MIN($C$11,($C$14+($C$11-$C$14)*($M$20-N83)/$C$7)))</f>
        <v>97</v>
      </c>
      <c r="M83" s="131">
        <f>MAX($D$10,MIN($D$11,($D$14+($D$11-$D$14)*($M$20-N83)/$C$7)))</f>
        <v>99</v>
      </c>
      <c r="N83" s="31">
        <v>1905</v>
      </c>
      <c r="O83" s="15" t="s">
        <v>426</v>
      </c>
      <c r="P83" s="15" t="s">
        <v>303</v>
      </c>
      <c r="Q83" s="24" t="s">
        <v>43</v>
      </c>
      <c r="R83" s="186"/>
      <c r="S83" s="186"/>
      <c r="T83" s="36"/>
      <c r="U83" s="54"/>
      <c r="V83" s="54"/>
      <c r="W83" s="54"/>
      <c r="X83" s="54"/>
      <c r="Y83" s="54"/>
      <c r="Z83" s="47"/>
    </row>
    <row r="84" spans="1:26" ht="12.75">
      <c r="A84" s="70" t="s">
        <v>275</v>
      </c>
      <c r="B84" s="70">
        <v>1</v>
      </c>
      <c r="C84" s="60">
        <f>$C$12</f>
        <v>97</v>
      </c>
      <c r="D84" s="80">
        <f>$D$12</f>
        <v>99</v>
      </c>
      <c r="E84" s="70">
        <v>1</v>
      </c>
      <c r="F84" s="60">
        <f>$C$12</f>
        <v>97</v>
      </c>
      <c r="G84" s="80">
        <f>$D$12</f>
        <v>99</v>
      </c>
      <c r="H84" s="70">
        <v>1</v>
      </c>
      <c r="I84" s="60">
        <f>$C$12</f>
        <v>97</v>
      </c>
      <c r="J84" s="80">
        <f>$D$12</f>
        <v>99</v>
      </c>
      <c r="K84" s="70">
        <v>1</v>
      </c>
      <c r="L84" s="60">
        <f>$C$12</f>
        <v>97</v>
      </c>
      <c r="M84" s="80">
        <f>$D$12</f>
        <v>99</v>
      </c>
      <c r="N84" s="31"/>
      <c r="O84" s="15"/>
      <c r="P84" s="45" t="s">
        <v>411</v>
      </c>
      <c r="Q84" s="24" t="s">
        <v>177</v>
      </c>
      <c r="R84" s="186"/>
      <c r="S84" s="186"/>
      <c r="T84" s="36"/>
      <c r="U84" s="54"/>
      <c r="V84" s="54"/>
      <c r="W84" s="54"/>
      <c r="X84" s="54"/>
      <c r="Y84" s="54"/>
      <c r="Z84" s="47"/>
    </row>
    <row r="85" spans="1:26" ht="12.75">
      <c r="A85" s="70" t="s">
        <v>267</v>
      </c>
      <c r="B85" s="77">
        <f>IF($D$20-N85&gt;=$C$7,2,IF($D$20-N85&gt;=$C$7*2/3,3,IF($D$20-N85&gt;=$C$7*1/3,4,IF($D$20-N85&gt;=0,5,8))))</f>
        <v>8</v>
      </c>
      <c r="C85" s="130">
        <f>MAX($C$10,MIN($C$11,($C$14+($C$11-$C$14)*($D$20-N85)/$C$7)))</f>
        <v>0</v>
      </c>
      <c r="D85" s="131">
        <f>MAX($D$10,MIN($D$11,($D$14+($D$11-$D$14)*($D$20-N85)/$C$7)))</f>
        <v>14.733333333333334</v>
      </c>
      <c r="E85" s="77">
        <f>IF($G$20-N85&gt;=$C$7,2,IF($G$20-N85&gt;=$C$7*2/3,3,IF($G$20-N85&gt;=$C$7*1/3,4,IF($G$20-N85&gt;=0,5,8))))</f>
        <v>5</v>
      </c>
      <c r="F85" s="130">
        <f>MAX($C$10,MIN($C$11,($C$14+($C$11-$C$14)*($G$20-N85)/$C$7)))</f>
        <v>8.622222222222222</v>
      </c>
      <c r="G85" s="131">
        <f>MAX($D$10,MIN($D$11,($D$14+($D$11-$D$14)*($G$20-N85)/$C$7)))</f>
        <v>27.022222222222222</v>
      </c>
      <c r="H85" s="77">
        <f>IF($J$20-N85&gt;=$C$7,2,IF($J$20-N85&gt;=$C$7*2/3,3,IF($J$20-N85&gt;=$C$7*1/3,4,IF($J$20-N85&gt;=0,5,8))))</f>
        <v>5</v>
      </c>
      <c r="I85" s="130">
        <f>MAX($C$10,MIN($C$11,($C$14+($C$11-$C$14)*($J$20-N85)/$C$7)))</f>
        <v>25.866666666666667</v>
      </c>
      <c r="J85" s="131">
        <f>MAX($D$10,MIN($D$11,($D$14+($D$11-$D$14)*($J$20-N85)/$C$7)))</f>
        <v>41.06666666666666</v>
      </c>
      <c r="K85" s="77">
        <f>IF($M$20-N85&gt;=$C$7,2,IF($M$20-N85&gt;=$C$7*2/3,3,IF($M$20-N85&gt;=$C$7*1/3,4,IF($M$20-N85&gt;=0,5,8))))</f>
        <v>3</v>
      </c>
      <c r="L85" s="130">
        <f>MAX($C$10,MIN($C$11,($C$14+($C$11-$C$14)*($M$20-N85)/$C$7)))</f>
        <v>92.68888888888888</v>
      </c>
      <c r="M85" s="131">
        <f>MAX($D$10,MIN($D$11,($D$14+($D$11-$D$14)*($M$20-N85)/$C$7)))</f>
        <v>95.4888888888889</v>
      </c>
      <c r="N85" s="31">
        <v>1915</v>
      </c>
      <c r="O85" s="15" t="s">
        <v>426</v>
      </c>
      <c r="P85" s="15" t="s">
        <v>303</v>
      </c>
      <c r="Q85" s="24" t="s">
        <v>41</v>
      </c>
      <c r="R85" s="186"/>
      <c r="S85" s="186"/>
      <c r="T85" s="36"/>
      <c r="U85" s="54"/>
      <c r="V85" s="54"/>
      <c r="W85" s="54"/>
      <c r="X85" s="54"/>
      <c r="Y85" s="54"/>
      <c r="Z85" s="47"/>
    </row>
    <row r="86" spans="1:26" ht="12.75">
      <c r="A86" s="70" t="s">
        <v>433</v>
      </c>
      <c r="B86" s="77">
        <f>IF($D$20-N86&gt;=$C$7,2,IF($D$20-N86&gt;=$C$7*2/3,3,IF($D$20-N86&gt;=$C$7*1/3,4,IF($D$20-N86&gt;=0,5,8))))</f>
        <v>5</v>
      </c>
      <c r="C86" s="130">
        <f>MAX($C$10,MIN($C$11,($C$14+($C$11-$C$14)*($D$20-N86)/$C$7)))</f>
        <v>25.866666666666667</v>
      </c>
      <c r="D86" s="131">
        <f>MAX($D$10,MIN($D$11,($D$14+($D$11-$D$14)*($D$20-N86)/$C$7)))</f>
        <v>41.06666666666666</v>
      </c>
      <c r="E86" s="77">
        <f>IF($G$20-N86&gt;=$C$7,2,IF($G$20-N86&gt;=$C$7*2/3,3,IF($G$20-N86&gt;=$C$7*1/3,4,IF($G$20-N86&gt;=0,5,8))))</f>
        <v>4</v>
      </c>
      <c r="F86" s="130">
        <f>MAX($C$10,MIN($C$11,($C$14+($C$11-$C$14)*($G$20-N86)/$C$7)))</f>
        <v>40.955555555555556</v>
      </c>
      <c r="G86" s="131">
        <f>MAX($D$10,MIN($D$11,($D$14+($D$11-$D$14)*($G$20-N86)/$C$7)))</f>
        <v>53.355555555555554</v>
      </c>
      <c r="H86" s="77">
        <f>IF($J$20-N86&gt;=$C$7,2,IF($J$20-N86&gt;=$C$7*2/3,3,IF($J$20-N86&gt;=$C$7*1/3,4,IF($J$20-N86&gt;=0,5,8))))</f>
        <v>4</v>
      </c>
      <c r="I86" s="130">
        <f>MAX($C$10,MIN($C$11,($C$14+($C$11-$C$14)*($J$20-N86)/$C$7)))</f>
        <v>58.2</v>
      </c>
      <c r="J86" s="131">
        <f>MAX($D$10,MIN($D$11,($D$14+($D$11-$D$14)*($J$20-N86)/$C$7)))</f>
        <v>67.4</v>
      </c>
      <c r="K86" s="77">
        <f>IF($M$20-N86&gt;=$C$7,2,IF($M$20-N86&gt;=$C$7*2/3,3,IF($M$20-N86&gt;=$C$7*1/3,4,IF($M$20-N86&gt;=0,5,8))))</f>
        <v>2</v>
      </c>
      <c r="L86" s="130">
        <f>MAX($C$10,MIN($C$11,($C$14+($C$11-$C$14)*($M$20-N86)/$C$7)))</f>
        <v>97</v>
      </c>
      <c r="M86" s="131">
        <f>MAX($D$10,MIN($D$11,($D$14+($D$11-$D$14)*($M$20-N86)/$C$7)))</f>
        <v>99</v>
      </c>
      <c r="N86" s="31">
        <v>1900</v>
      </c>
      <c r="O86" s="15" t="s">
        <v>426</v>
      </c>
      <c r="P86" s="15" t="s">
        <v>303</v>
      </c>
      <c r="Q86" s="24" t="s">
        <v>110</v>
      </c>
      <c r="R86" s="186"/>
      <c r="S86" s="186"/>
      <c r="T86" s="36"/>
      <c r="U86" s="54"/>
      <c r="V86" s="54"/>
      <c r="W86" s="54"/>
      <c r="X86" s="54"/>
      <c r="Y86" s="54"/>
      <c r="Z86" s="47"/>
    </row>
    <row r="87" spans="1:26" ht="12.75">
      <c r="A87" s="70" t="s">
        <v>270</v>
      </c>
      <c r="B87" s="70">
        <v>1</v>
      </c>
      <c r="C87" s="60">
        <f>$C$12</f>
        <v>97</v>
      </c>
      <c r="D87" s="80">
        <f>$D$12</f>
        <v>99</v>
      </c>
      <c r="E87" s="70">
        <v>1</v>
      </c>
      <c r="F87" s="60">
        <f>$C$12</f>
        <v>97</v>
      </c>
      <c r="G87" s="80">
        <f>$D$12</f>
        <v>99</v>
      </c>
      <c r="H87" s="70">
        <v>1</v>
      </c>
      <c r="I87" s="60">
        <f>$C$12</f>
        <v>97</v>
      </c>
      <c r="J87" s="80">
        <f>$D$12</f>
        <v>99</v>
      </c>
      <c r="K87" s="70">
        <v>1</v>
      </c>
      <c r="L87" s="60">
        <f>$C$12</f>
        <v>97</v>
      </c>
      <c r="M87" s="80">
        <f>$D$12</f>
        <v>99</v>
      </c>
      <c r="N87" s="31"/>
      <c r="O87" s="15"/>
      <c r="P87" s="45" t="s">
        <v>411</v>
      </c>
      <c r="Q87" s="24" t="s">
        <v>176</v>
      </c>
      <c r="R87" s="186"/>
      <c r="S87" s="186"/>
      <c r="T87" s="36"/>
      <c r="U87" s="54"/>
      <c r="V87" s="54"/>
      <c r="W87" s="54"/>
      <c r="X87" s="54"/>
      <c r="Y87" s="54"/>
      <c r="Z87" s="47"/>
    </row>
    <row r="88" spans="1:26" ht="12.75">
      <c r="A88" s="70" t="s">
        <v>295</v>
      </c>
      <c r="B88" s="70">
        <v>1</v>
      </c>
      <c r="C88" s="60">
        <f>$C$12</f>
        <v>97</v>
      </c>
      <c r="D88" s="80">
        <f>$D$12</f>
        <v>99</v>
      </c>
      <c r="E88" s="70">
        <v>1</v>
      </c>
      <c r="F88" s="60">
        <f>$C$12</f>
        <v>97</v>
      </c>
      <c r="G88" s="80">
        <f>$D$12</f>
        <v>99</v>
      </c>
      <c r="H88" s="70">
        <v>1</v>
      </c>
      <c r="I88" s="60">
        <f>$C$12</f>
        <v>97</v>
      </c>
      <c r="J88" s="80">
        <f>$D$12</f>
        <v>99</v>
      </c>
      <c r="K88" s="70">
        <v>1</v>
      </c>
      <c r="L88" s="60">
        <f>$C$12</f>
        <v>97</v>
      </c>
      <c r="M88" s="80">
        <f>$D$12</f>
        <v>99</v>
      </c>
      <c r="N88" s="31"/>
      <c r="O88" s="15"/>
      <c r="P88" s="45" t="s">
        <v>411</v>
      </c>
      <c r="Q88" s="24" t="s">
        <v>110</v>
      </c>
      <c r="R88" s="186"/>
      <c r="S88" s="186"/>
      <c r="T88" s="36"/>
      <c r="U88" s="54"/>
      <c r="V88" s="54"/>
      <c r="W88" s="54"/>
      <c r="X88" s="54"/>
      <c r="Y88" s="54"/>
      <c r="Z88" s="47"/>
    </row>
    <row r="89" spans="1:26" ht="22.5">
      <c r="A89" s="70" t="s">
        <v>657</v>
      </c>
      <c r="B89" s="77">
        <f>IF($D$20-N89&gt;=$C$7,2,IF($D$20-N89&gt;=$C$7*2/3,3,IF($D$20-N89&gt;=$C$7*1/3,4,5)))</f>
        <v>5</v>
      </c>
      <c r="C89" s="130">
        <f>MAX($C$15,MIN($C$11,($C$15+($C$11-$C$15)*($D$20-N89)/$C$8)))</f>
        <v>40</v>
      </c>
      <c r="D89" s="131">
        <f>MAX($D$15,MIN($D$11,($D$15+($D$11-$D$15)*($D$20-N89)/$C$8)))</f>
        <v>60</v>
      </c>
      <c r="E89" s="77">
        <f>IF($G$20-N89&gt;=$C$7,2,IF($G$20-N89&gt;=$C$7*2/3,3,IF($G$20-N89&gt;=$C$7*1/3,4,5)))</f>
        <v>5</v>
      </c>
      <c r="F89" s="130">
        <f>MAX($C$15,MIN($C$11,($C$15+($C$11-$C$15)*($G$20-N89)/$C$8)))</f>
        <v>40</v>
      </c>
      <c r="G89" s="131">
        <f>MAX($D$15,MIN($D$11,($D$15+($D$11-$D$15)*($G$20-N89)/$C$8)))</f>
        <v>60</v>
      </c>
      <c r="H89" s="77">
        <f>IF($J$20-N89&gt;=$C$7,2,IF($J$20-N89&gt;=$C$7*2/3,3,IF($J$20-N89&gt;=$C$7*1/3,4,5)))</f>
        <v>5</v>
      </c>
      <c r="I89" s="130">
        <f>MAX($C$15,MIN($C$11,($C$15+($C$11-$C$15)*($J$20-N89)/$C$8)))</f>
        <v>53.3</v>
      </c>
      <c r="J89" s="131">
        <f>MAX($D$15,MIN($D$11,($D$15+($D$11-$D$15)*($J$20-N89)/$C$8)))</f>
        <v>69.1</v>
      </c>
      <c r="K89" s="77">
        <f>IF($M$20-N89&gt;=$C$7,2,IF($M$20-N89&gt;=$C$7*2/3,3,IF($M$20-N89&gt;=$C$7*1/3,4,5)))</f>
        <v>3</v>
      </c>
      <c r="L89" s="130">
        <f>MAX($C$15,MIN($C$11,($C$15+($C$11-$C$15)*($M$20-N89)/$C$8)))</f>
        <v>97</v>
      </c>
      <c r="M89" s="131">
        <f>MAX($D$15,MIN($D$11,($D$15+($D$11-$D$15)*($M$20-N89)/$C$8)))</f>
        <v>99</v>
      </c>
      <c r="N89" s="31">
        <v>1920</v>
      </c>
      <c r="O89" s="15" t="s">
        <v>427</v>
      </c>
      <c r="P89" s="15" t="s">
        <v>412</v>
      </c>
      <c r="Q89" s="24" t="s">
        <v>658</v>
      </c>
      <c r="R89" s="186"/>
      <c r="S89" s="186"/>
      <c r="T89" s="36"/>
      <c r="U89" s="54"/>
      <c r="V89" s="54"/>
      <c r="W89" s="54"/>
      <c r="X89" s="54"/>
      <c r="Y89" s="54"/>
      <c r="Z89" s="47"/>
    </row>
    <row r="90" spans="1:26" ht="12.75">
      <c r="A90" s="70" t="s">
        <v>271</v>
      </c>
      <c r="B90" s="77">
        <f>IF($D$20-N90&gt;=$C$7,2,IF($D$20-N90&gt;=$C$7*2/3,3,IF($D$20-N90&gt;=$C$7*1/3,4,IF($D$20-N90&gt;=0,5,8))))</f>
        <v>3</v>
      </c>
      <c r="C90" s="130">
        <f>MAX($C$10,MIN($C$11,($C$14+($C$11-$C$14)*($D$20-N90)/$C$7)))</f>
        <v>68.97777777777777</v>
      </c>
      <c r="D90" s="131">
        <f>MAX($D$10,MIN($D$11,($D$14+($D$11-$D$14)*($D$20-N90)/$C$7)))</f>
        <v>76.17777777777778</v>
      </c>
      <c r="E90" s="77">
        <f>IF($G$20-N90&gt;=$C$7,2,IF($G$20-N90&gt;=$C$7*2/3,3,IF($G$20-N90&gt;=$C$7*1/3,4,IF($G$20-N90&gt;=0,5,8))))</f>
        <v>3</v>
      </c>
      <c r="F90" s="130">
        <f>MAX($C$10,MIN($C$11,($C$14+($C$11-$C$14)*($G$20-N90)/$C$7)))</f>
        <v>84.06666666666666</v>
      </c>
      <c r="G90" s="131">
        <f>MAX($D$10,MIN($D$11,($D$14+($D$11-$D$14)*($G$20-N90)/$C$7)))</f>
        <v>88.46666666666667</v>
      </c>
      <c r="H90" s="77">
        <f>IF($J$20-N90&gt;=$C$7,2,IF($J$20-N90&gt;=$C$7*2/3,3,IF($J$20-N90&gt;=$C$7*1/3,4,IF($J$20-N90&gt;=0,5,8))))</f>
        <v>2</v>
      </c>
      <c r="I90" s="130">
        <f>MAX($C$10,MIN($C$11,($C$14+($C$11-$C$14)*($J$20-N90)/$C$7)))</f>
        <v>97</v>
      </c>
      <c r="J90" s="131">
        <f>MAX($D$10,MIN($D$11,($D$14+($D$11-$D$14)*($J$20-N90)/$C$7)))</f>
        <v>99</v>
      </c>
      <c r="K90" s="77">
        <f>IF($M$20-N90&gt;=$C$7,2,IF($M$20-N90&gt;=$C$7*2/3,3,IF($M$20-N90&gt;=$C$7*1/3,4,IF($M$20-N90&gt;=0,5,8))))</f>
        <v>2</v>
      </c>
      <c r="L90" s="130">
        <f>MAX($C$10,MIN($C$11,($C$14+($C$11-$C$14)*($M$20-N90)/$C$7)))</f>
        <v>97</v>
      </c>
      <c r="M90" s="131">
        <f>MAX($D$10,MIN($D$11,($D$14+($D$11-$D$14)*($M$20-N90)/$C$7)))</f>
        <v>99</v>
      </c>
      <c r="N90" s="31">
        <v>1880</v>
      </c>
      <c r="O90" s="15" t="s">
        <v>426</v>
      </c>
      <c r="P90" s="15" t="s">
        <v>303</v>
      </c>
      <c r="Q90" s="24" t="s">
        <v>133</v>
      </c>
      <c r="R90" s="186"/>
      <c r="S90" s="186"/>
      <c r="T90" s="36"/>
      <c r="U90" s="54"/>
      <c r="V90" s="54"/>
      <c r="W90" s="54"/>
      <c r="X90" s="54"/>
      <c r="Y90" s="54"/>
      <c r="Z90" s="47"/>
    </row>
    <row r="91" spans="1:26" ht="12.75">
      <c r="A91" s="70" t="s">
        <v>272</v>
      </c>
      <c r="B91" s="77">
        <f>IF($D$20-N91&gt;=$C$7,2,IF($D$20-N91&gt;=$C$7*2/3,3,IF($D$20-N91&gt;=$C$7*1/3,4,IF($D$20-N91&gt;=0,5,8))))</f>
        <v>8</v>
      </c>
      <c r="C91" s="130">
        <f>MAX($C$10,MIN($C$11,($C$14+($C$11-$C$14)*($D$20-N91)/$C$7)))</f>
        <v>0</v>
      </c>
      <c r="D91" s="131">
        <f>MAX($D$10,MIN($D$11,($D$14+($D$11-$D$14)*($D$20-N91)/$C$7)))</f>
        <v>14.733333333333334</v>
      </c>
      <c r="E91" s="77">
        <f>IF($G$20-N91&gt;=$C$7,2,IF($G$20-N91&gt;=$C$7*2/3,3,IF($G$20-N91&gt;=$C$7*1/3,4,IF($G$20-N91&gt;=0,5,8))))</f>
        <v>5</v>
      </c>
      <c r="F91" s="130">
        <f>MAX($C$10,MIN($C$11,($C$14+($C$11-$C$14)*($G$20-N91)/$C$7)))</f>
        <v>8.622222222222222</v>
      </c>
      <c r="G91" s="131">
        <f>MAX($D$10,MIN($D$11,($D$14+($D$11-$D$14)*($G$20-N91)/$C$7)))</f>
        <v>27.022222222222222</v>
      </c>
      <c r="H91" s="77">
        <f>IF($J$20-N91&gt;=$C$7,2,IF($J$20-N91&gt;=$C$7*2/3,3,IF($J$20-N91&gt;=$C$7*1/3,4,IF($J$20-N91&gt;=0,5,8))))</f>
        <v>5</v>
      </c>
      <c r="I91" s="130">
        <f>MAX($C$10,MIN($C$11,($C$14+($C$11-$C$14)*($J$20-N91)/$C$7)))</f>
        <v>25.866666666666667</v>
      </c>
      <c r="J91" s="131">
        <f>MAX($D$10,MIN($D$11,($D$14+($D$11-$D$14)*($J$20-N91)/$C$7)))</f>
        <v>41.06666666666666</v>
      </c>
      <c r="K91" s="77">
        <f>IF($M$20-N91&gt;=$C$7,2,IF($M$20-N91&gt;=$C$7*2/3,3,IF($M$20-N91&gt;=$C$7*1/3,4,IF($M$20-N91&gt;=0,5,8))))</f>
        <v>3</v>
      </c>
      <c r="L91" s="130">
        <f>MAX($C$10,MIN($C$11,($C$14+($C$11-$C$14)*($M$20-N91)/$C$7)))</f>
        <v>92.68888888888888</v>
      </c>
      <c r="M91" s="131">
        <f>MAX($D$10,MIN($D$11,($D$14+($D$11-$D$14)*($M$20-N91)/$C$7)))</f>
        <v>95.4888888888889</v>
      </c>
      <c r="N91" s="31">
        <v>1915</v>
      </c>
      <c r="O91" s="15" t="s">
        <v>426</v>
      </c>
      <c r="P91" s="15" t="s">
        <v>303</v>
      </c>
      <c r="Q91" s="24" t="s">
        <v>121</v>
      </c>
      <c r="R91" s="186"/>
      <c r="S91" s="186"/>
      <c r="T91" s="36"/>
      <c r="U91" s="54"/>
      <c r="V91" s="54"/>
      <c r="W91" s="54"/>
      <c r="X91" s="54"/>
      <c r="Y91" s="54"/>
      <c r="Z91" s="47"/>
    </row>
    <row r="92" spans="1:26" ht="12.75">
      <c r="A92" s="70" t="s">
        <v>438</v>
      </c>
      <c r="B92" s="77">
        <f>IF($D$20-N92&gt;=$C$7,2,IF($D$20-N92&gt;=$C$7*2/3,3,IF($D$20-N92&gt;=$C$7*1/3,4,IF($D$20-N92&gt;=0,5,8))))</f>
        <v>3</v>
      </c>
      <c r="C92" s="130">
        <f>MAX($C$10,MIN($C$11,($C$14+($C$11-$C$14)*($D$20-N92)/$C$7)))</f>
        <v>68.97777777777777</v>
      </c>
      <c r="D92" s="131">
        <f>MAX($D$10,MIN($D$11,($D$14+($D$11-$D$14)*($D$20-N92)/$C$7)))</f>
        <v>76.17777777777778</v>
      </c>
      <c r="E92" s="77">
        <f>IF($G$20-N92&gt;=$C$7,2,IF($G$20-N92&gt;=$C$7*2/3,3,IF($G$20-N92&gt;=$C$7*1/3,4,IF($G$20-N92&gt;=0,5,8))))</f>
        <v>3</v>
      </c>
      <c r="F92" s="130">
        <f>MAX($C$10,MIN($C$11,($C$14+($C$11-$C$14)*($G$20-N92)/$C$7)))</f>
        <v>84.06666666666666</v>
      </c>
      <c r="G92" s="131">
        <f>MAX($D$10,MIN($D$11,($D$14+($D$11-$D$14)*($G$20-N92)/$C$7)))</f>
        <v>88.46666666666667</v>
      </c>
      <c r="H92" s="77">
        <f>IF($J$20-N92&gt;=$C$7,2,IF($J$20-N92&gt;=$C$7*2/3,3,IF($J$20-N92&gt;=$C$7*1/3,4,IF($J$20-N92&gt;=0,5,8))))</f>
        <v>2</v>
      </c>
      <c r="I92" s="130">
        <f>MAX($C$10,MIN($C$11,($C$14+($C$11-$C$14)*($J$20-N92)/$C$7)))</f>
        <v>97</v>
      </c>
      <c r="J92" s="131">
        <f>MAX($D$10,MIN($D$11,($D$14+($D$11-$D$14)*($J$20-N92)/$C$7)))</f>
        <v>99</v>
      </c>
      <c r="K92" s="77">
        <f>IF($M$20-N92&gt;=$C$7,2,IF($M$20-N92&gt;=$C$7*2/3,3,IF($M$20-N92&gt;=$C$7*1/3,4,IF($M$20-N92&gt;=0,5,8))))</f>
        <v>2</v>
      </c>
      <c r="L92" s="130">
        <f>MAX($C$10,MIN($C$11,($C$14+($C$11-$C$14)*($M$20-N92)/$C$7)))</f>
        <v>97</v>
      </c>
      <c r="M92" s="131">
        <f>MAX($D$10,MIN($D$11,($D$14+($D$11-$D$14)*($M$20-N92)/$C$7)))</f>
        <v>99</v>
      </c>
      <c r="N92" s="31">
        <v>1880</v>
      </c>
      <c r="O92" s="15" t="s">
        <v>426</v>
      </c>
      <c r="P92" s="15" t="s">
        <v>303</v>
      </c>
      <c r="Q92" s="24" t="s">
        <v>172</v>
      </c>
      <c r="R92" s="186"/>
      <c r="S92" s="186"/>
      <c r="T92" s="36"/>
      <c r="U92" s="54"/>
      <c r="V92" s="54"/>
      <c r="W92" s="54"/>
      <c r="X92" s="54"/>
      <c r="Y92" s="54"/>
      <c r="Z92" s="47"/>
    </row>
    <row r="93" spans="1:26" ht="14.25" customHeight="1">
      <c r="A93" s="70" t="s">
        <v>273</v>
      </c>
      <c r="B93" s="77">
        <f>IF($D$20-N93&gt;=$C$7,2,IF($D$20-N93&gt;=$C$7*2/3,3,IF($D$20-N93&gt;=$C$7*1/3,4,IF($D$20-N93&gt;=0,5,8))))</f>
        <v>4</v>
      </c>
      <c r="C93" s="130">
        <f>MAX($C$10,MIN($C$11,($C$14+($C$11-$C$14)*($D$20-N93)/$C$7)))</f>
        <v>47.422222222222224</v>
      </c>
      <c r="D93" s="131">
        <f>MAX($D$10,MIN($D$11,($D$14+($D$11-$D$14)*($D$20-N93)/$C$7)))</f>
        <v>58.62222222222222</v>
      </c>
      <c r="E93" s="77">
        <f>IF($G$20-N93&gt;=$C$7,2,IF($G$20-N93&gt;=$C$7*2/3,3,IF($G$20-N93&gt;=$C$7*1/3,4,IF($G$20-N93&gt;=0,5,8))))</f>
        <v>4</v>
      </c>
      <c r="F93" s="130">
        <f>MAX($C$10,MIN($C$11,($C$14+($C$11-$C$14)*($G$20-N93)/$C$7)))</f>
        <v>62.51111111111111</v>
      </c>
      <c r="G93" s="131">
        <f>MAX($D$10,MIN($D$11,($D$14+($D$11-$D$14)*($G$20-N93)/$C$7)))</f>
        <v>70.91111111111111</v>
      </c>
      <c r="H93" s="77">
        <f>IF($J$20-N93&gt;=$C$7,2,IF($J$20-N93&gt;=$C$7*2/3,3,IF($J$20-N93&gt;=$C$7*1/3,4,IF($J$20-N93&gt;=0,5,8))))</f>
        <v>3</v>
      </c>
      <c r="I93" s="130">
        <f>MAX($C$10,MIN($C$11,($C$14+($C$11-$C$14)*($J$20-N93)/$C$7)))</f>
        <v>79.75555555555556</v>
      </c>
      <c r="J93" s="131">
        <f>MAX($D$10,MIN($D$11,($D$14+($D$11-$D$14)*($J$20-N93)/$C$7)))</f>
        <v>84.95555555555555</v>
      </c>
      <c r="K93" s="77">
        <f>IF($M$20-N93&gt;=$C$7,2,IF($M$20-N93&gt;=$C$7*2/3,3,IF($M$20-N93&gt;=$C$7*1/3,4,IF($M$20-N93&gt;=0,5,8))))</f>
        <v>2</v>
      </c>
      <c r="L93" s="130">
        <f>MAX($C$10,MIN($C$11,($C$14+($C$11-$C$14)*($M$20-N93)/$C$7)))</f>
        <v>97</v>
      </c>
      <c r="M93" s="131">
        <f>MAX($D$10,MIN($D$11,($D$14+($D$11-$D$14)*($M$20-N93)/$C$7)))</f>
        <v>99</v>
      </c>
      <c r="N93" s="31">
        <v>1890</v>
      </c>
      <c r="O93" s="15" t="s">
        <v>426</v>
      </c>
      <c r="P93" s="15" t="s">
        <v>303</v>
      </c>
      <c r="Q93" s="24" t="s">
        <v>173</v>
      </c>
      <c r="R93" s="186"/>
      <c r="S93" s="186"/>
      <c r="T93" s="36"/>
      <c r="U93" s="54"/>
      <c r="V93" s="54"/>
      <c r="W93" s="54"/>
      <c r="X93" s="54"/>
      <c r="Y93" s="54"/>
      <c r="Z93" s="47"/>
    </row>
    <row r="94" spans="1:26" ht="13.5" customHeight="1">
      <c r="A94" s="70" t="s">
        <v>274</v>
      </c>
      <c r="B94" s="77">
        <f>IF($D$20-N94&gt;=$C$7,2,IF($D$20-N94&gt;=$C$7*2/3,3,IF($D$20-N94&gt;=$C$7*1/3,4,IF($D$20-N94&gt;=0,5,8))))</f>
        <v>5</v>
      </c>
      <c r="C94" s="130">
        <f>MAX($C$10,MIN($C$11,($C$14+($C$11-$C$14)*($D$20-N94)/$C$7)))</f>
        <v>25.866666666666667</v>
      </c>
      <c r="D94" s="131">
        <f>MAX($D$10,MIN($D$11,($D$14+($D$11-$D$14)*($D$20-N94)/$C$7)))</f>
        <v>41.06666666666666</v>
      </c>
      <c r="E94" s="77">
        <f>IF($G$20-N94&gt;=$C$7,2,IF($G$20-N94&gt;=$C$7*2/3,3,IF($G$20-N94&gt;=$C$7*1/3,4,IF($G$20-N94&gt;=0,5,8))))</f>
        <v>4</v>
      </c>
      <c r="F94" s="130">
        <f>MAX($C$10,MIN($C$11,($C$14+($C$11-$C$14)*($G$20-N94)/$C$7)))</f>
        <v>40.955555555555556</v>
      </c>
      <c r="G94" s="131">
        <f>MAX($D$10,MIN($D$11,($D$14+($D$11-$D$14)*($G$20-N94)/$C$7)))</f>
        <v>53.355555555555554</v>
      </c>
      <c r="H94" s="77">
        <f>IF($J$20-N94&gt;=$C$7,2,IF($J$20-N94&gt;=$C$7*2/3,3,IF($J$20-N94&gt;=$C$7*1/3,4,IF($J$20-N94&gt;=0,5,8))))</f>
        <v>4</v>
      </c>
      <c r="I94" s="130">
        <f>MAX($C$10,MIN($C$11,($C$14+($C$11-$C$14)*($J$20-N94)/$C$7)))</f>
        <v>58.2</v>
      </c>
      <c r="J94" s="131">
        <f>MAX($D$10,MIN($D$11,($D$14+($D$11-$D$14)*($J$20-N94)/$C$7)))</f>
        <v>67.4</v>
      </c>
      <c r="K94" s="77">
        <f>IF($M$20-N94&gt;=$C$7,2,IF($M$20-N94&gt;=$C$7*2/3,3,IF($M$20-N94&gt;=$C$7*1/3,4,IF($M$20-N94&gt;=0,5,8))))</f>
        <v>2</v>
      </c>
      <c r="L94" s="130">
        <f>MAX($C$10,MIN($C$11,($C$14+($C$11-$C$14)*($M$20-N94)/$C$7)))</f>
        <v>97</v>
      </c>
      <c r="M94" s="131">
        <f>MAX($D$10,MIN($D$11,($D$14+($D$11-$D$14)*($M$20-N94)/$C$7)))</f>
        <v>99</v>
      </c>
      <c r="N94" s="31">
        <v>1900</v>
      </c>
      <c r="O94" s="15" t="s">
        <v>426</v>
      </c>
      <c r="P94" s="15" t="s">
        <v>303</v>
      </c>
      <c r="Q94" s="24" t="s">
        <v>173</v>
      </c>
      <c r="R94" s="186"/>
      <c r="S94" s="186"/>
      <c r="T94" s="36"/>
      <c r="U94" s="54"/>
      <c r="V94" s="54"/>
      <c r="W94" s="54"/>
      <c r="X94" s="54"/>
      <c r="Y94" s="54"/>
      <c r="Z94" s="47"/>
    </row>
    <row r="95" spans="1:26" ht="22.5">
      <c r="A95" s="70" t="s">
        <v>240</v>
      </c>
      <c r="B95" s="77">
        <f>IF($D$20-N95&gt;=$C$7,2,IF($D$20-N95&gt;=$C$7*2/3,3,IF($D$20-N95&gt;=$C$7*1/3,4,5)))</f>
        <v>5</v>
      </c>
      <c r="C95" s="130">
        <f>MAX($C$15,MIN($C$11,($C$15+($C$11-$C$15)*($D$20-N95)/$C$8)))</f>
        <v>40</v>
      </c>
      <c r="D95" s="131">
        <f>MAX($D$15,MIN($D$11,($D$15+($D$11-$D$15)*($D$20-N95)/$C$8)))</f>
        <v>60</v>
      </c>
      <c r="E95" s="77">
        <f>IF($G$20-N95&gt;=$C$7,2,IF($G$20-N95&gt;=$C$7*2/3,3,IF($G$20-N95&gt;=$C$7*1/3,4,5)))</f>
        <v>5</v>
      </c>
      <c r="F95" s="130">
        <f>MAX($C$15,MIN($C$11,($C$15+($C$11-$C$15)*($G$20-N95)/$C$8)))</f>
        <v>40</v>
      </c>
      <c r="G95" s="131">
        <f>MAX($D$15,MIN($D$11,($D$15+($D$11-$D$15)*($G$20-N95)/$C$8)))</f>
        <v>60</v>
      </c>
      <c r="H95" s="77">
        <f>IF($J$20-N95&gt;=$C$7,2,IF($J$20-N95&gt;=$C$7*2/3,3,IF($J$20-N95&gt;=$C$7*1/3,4,5)))</f>
        <v>5</v>
      </c>
      <c r="I95" s="130">
        <f>MAX($C$15,MIN($C$11,($C$15+($C$11-$C$15)*($J$20-N95)/$C$8)))</f>
        <v>53.3</v>
      </c>
      <c r="J95" s="131">
        <f>MAX($D$15,MIN($D$11,($D$15+($D$11-$D$15)*($J$20-N95)/$C$8)))</f>
        <v>69.1</v>
      </c>
      <c r="K95" s="77">
        <f>IF($M$20-N95&gt;=$C$7,2,IF($M$20-N95&gt;=$C$7*2/3,3,IF($M$20-N95&gt;=$C$7*1/3,4,5)))</f>
        <v>3</v>
      </c>
      <c r="L95" s="130">
        <f>MAX($C$15,MIN($C$11,($C$15+($C$11-$C$15)*($M$20-N95)/$C$8)))</f>
        <v>97</v>
      </c>
      <c r="M95" s="131">
        <f>MAX($D$15,MIN($D$11,($D$15+($D$11-$D$15)*($M$20-N95)/$C$8)))</f>
        <v>99</v>
      </c>
      <c r="N95" s="31">
        <v>1920</v>
      </c>
      <c r="O95" s="15" t="s">
        <v>427</v>
      </c>
      <c r="P95" s="15" t="s">
        <v>412</v>
      </c>
      <c r="Q95" s="24" t="s">
        <v>121</v>
      </c>
      <c r="R95" s="186"/>
      <c r="S95" s="186"/>
      <c r="T95" s="36"/>
      <c r="U95" s="54"/>
      <c r="V95" s="54"/>
      <c r="W95" s="54"/>
      <c r="X95" s="54"/>
      <c r="Y95" s="54"/>
      <c r="Z95" s="47"/>
    </row>
    <row r="96" spans="1:26" ht="12.75">
      <c r="A96" s="70" t="s">
        <v>296</v>
      </c>
      <c r="B96" s="70">
        <v>8</v>
      </c>
      <c r="C96" s="130">
        <f>$C$10</f>
        <v>0</v>
      </c>
      <c r="D96" s="131">
        <f>$D$10</f>
        <v>5</v>
      </c>
      <c r="E96" s="70">
        <v>8</v>
      </c>
      <c r="F96" s="130">
        <f>$C$10</f>
        <v>0</v>
      </c>
      <c r="G96" s="131">
        <f>$D$10</f>
        <v>5</v>
      </c>
      <c r="H96" s="70">
        <v>8</v>
      </c>
      <c r="I96" s="130">
        <f>$C$10</f>
        <v>0</v>
      </c>
      <c r="J96" s="131">
        <f>$D$10</f>
        <v>5</v>
      </c>
      <c r="K96" s="70">
        <v>8</v>
      </c>
      <c r="L96" s="130">
        <f>$C$10</f>
        <v>0</v>
      </c>
      <c r="M96" s="131">
        <f>$D$10</f>
        <v>5</v>
      </c>
      <c r="N96" s="31"/>
      <c r="O96" s="15"/>
      <c r="P96" s="15" t="s">
        <v>303</v>
      </c>
      <c r="Q96" s="24" t="s">
        <v>94</v>
      </c>
      <c r="R96" s="186"/>
      <c r="S96" s="186"/>
      <c r="T96" s="36"/>
      <c r="U96" s="54"/>
      <c r="V96" s="54"/>
      <c r="W96" s="54"/>
      <c r="X96" s="54"/>
      <c r="Y96" s="54"/>
      <c r="Z96" s="47"/>
    </row>
    <row r="97" spans="1:26" ht="12.75">
      <c r="A97" s="70" t="s">
        <v>302</v>
      </c>
      <c r="B97" s="70">
        <v>1</v>
      </c>
      <c r="C97" s="60">
        <f>$C$12</f>
        <v>97</v>
      </c>
      <c r="D97" s="80">
        <f>$D$12</f>
        <v>99</v>
      </c>
      <c r="E97" s="70">
        <v>1</v>
      </c>
      <c r="F97" s="60">
        <f>$C$12</f>
        <v>97</v>
      </c>
      <c r="G97" s="80">
        <f>$D$12</f>
        <v>99</v>
      </c>
      <c r="H97" s="70">
        <v>1</v>
      </c>
      <c r="I97" s="60">
        <f>$C$12</f>
        <v>97</v>
      </c>
      <c r="J97" s="80">
        <f>$D$12</f>
        <v>99</v>
      </c>
      <c r="K97" s="70">
        <v>1</v>
      </c>
      <c r="L97" s="60">
        <f>$C$12</f>
        <v>97</v>
      </c>
      <c r="M97" s="80">
        <f>$D$12</f>
        <v>99</v>
      </c>
      <c r="N97" s="31"/>
      <c r="O97" s="15"/>
      <c r="P97" s="45" t="s">
        <v>411</v>
      </c>
      <c r="Q97" s="24" t="s">
        <v>94</v>
      </c>
      <c r="R97" s="186"/>
      <c r="S97" s="186"/>
      <c r="T97" s="36"/>
      <c r="U97" s="54"/>
      <c r="V97" s="54"/>
      <c r="W97" s="54"/>
      <c r="X97" s="54"/>
      <c r="Y97" s="54"/>
      <c r="Z97" s="47"/>
    </row>
    <row r="98" spans="1:26" ht="12.75">
      <c r="A98" s="70" t="s">
        <v>436</v>
      </c>
      <c r="B98" s="70">
        <v>1</v>
      </c>
      <c r="C98" s="60">
        <f>$C$12</f>
        <v>97</v>
      </c>
      <c r="D98" s="80">
        <f>$D$12</f>
        <v>99</v>
      </c>
      <c r="E98" s="70">
        <v>1</v>
      </c>
      <c r="F98" s="60">
        <f>$C$12</f>
        <v>97</v>
      </c>
      <c r="G98" s="80">
        <f>$D$12</f>
        <v>99</v>
      </c>
      <c r="H98" s="70">
        <v>1</v>
      </c>
      <c r="I98" s="60">
        <f>$C$12</f>
        <v>97</v>
      </c>
      <c r="J98" s="80">
        <f>$D$12</f>
        <v>99</v>
      </c>
      <c r="K98" s="70">
        <v>1</v>
      </c>
      <c r="L98" s="60">
        <f>$C$12</f>
        <v>97</v>
      </c>
      <c r="M98" s="80">
        <f>$D$12</f>
        <v>99</v>
      </c>
      <c r="N98" s="31"/>
      <c r="O98" s="15"/>
      <c r="P98" s="45" t="s">
        <v>411</v>
      </c>
      <c r="Q98" s="24" t="s">
        <v>94</v>
      </c>
      <c r="R98" s="186"/>
      <c r="S98" s="186"/>
      <c r="T98" s="36"/>
      <c r="U98" s="54"/>
      <c r="V98" s="54"/>
      <c r="W98" s="54"/>
      <c r="X98" s="54"/>
      <c r="Y98" s="54"/>
      <c r="Z98" s="47"/>
    </row>
    <row r="99" spans="1:26" ht="12.75">
      <c r="A99" s="70" t="s">
        <v>297</v>
      </c>
      <c r="B99" s="77">
        <f>IF($D$20-N99&gt;=$C$7,2,IF($D$20-N99&gt;=$C$7*2/3,3,IF($D$20-N99&gt;=$C$7*1/3,4,IF($D$20-N99&gt;=0,5,8))))</f>
        <v>5</v>
      </c>
      <c r="C99" s="130">
        <f>MAX($C$10,MIN($C$11,($C$14+($C$11-$C$14)*($D$20-N99)/$C$7)))</f>
        <v>25.866666666666667</v>
      </c>
      <c r="D99" s="131">
        <f>MAX($D$10,MIN($D$11,($D$14+($D$11-$D$14)*($D$20-N99)/$C$7)))</f>
        <v>41.06666666666666</v>
      </c>
      <c r="E99" s="77">
        <f>IF($G$20-N99&gt;=$C$7,2,IF($G$20-N99&gt;=$C$7*2/3,3,IF($G$20-N99&gt;=$C$7*1/3,4,IF($G$20-N99&gt;=0,5,8))))</f>
        <v>4</v>
      </c>
      <c r="F99" s="130">
        <f>MAX($C$10,MIN($C$11,($C$14+($C$11-$C$14)*($G$20-N99)/$C$7)))</f>
        <v>40.955555555555556</v>
      </c>
      <c r="G99" s="131">
        <f>MAX($D$10,MIN($D$11,($D$14+($D$11-$D$14)*($G$20-N99)/$C$7)))</f>
        <v>53.355555555555554</v>
      </c>
      <c r="H99" s="77">
        <f>IF($J$20-N99&gt;=$C$7,2,IF($J$20-N99&gt;=$C$7*2/3,3,IF($J$20-N99&gt;=$C$7*1/3,4,IF($J$20-N99&gt;=0,5,8))))</f>
        <v>4</v>
      </c>
      <c r="I99" s="130">
        <f>MAX($C$10,MIN($C$11,($C$14+($C$11-$C$14)*($J$20-N99)/$C$7)))</f>
        <v>58.2</v>
      </c>
      <c r="J99" s="131">
        <f>MAX($D$10,MIN($D$11,($D$14+($D$11-$D$14)*($J$20-N99)/$C$7)))</f>
        <v>67.4</v>
      </c>
      <c r="K99" s="77">
        <f>IF($M$20-N99&gt;=$C$7,2,IF($M$20-N99&gt;=$C$7*2/3,3,IF($M$20-N99&gt;=$C$7*1/3,4,IF($M$20-N99&gt;=0,5,8))))</f>
        <v>2</v>
      </c>
      <c r="L99" s="130">
        <f>MAX($C$10,MIN($C$11,($C$14+($C$11-$C$14)*($M$20-N99)/$C$7)))</f>
        <v>97</v>
      </c>
      <c r="M99" s="131">
        <f>MAX($D$10,MIN($D$11,($D$14+($D$11-$D$14)*($M$20-N99)/$C$7)))</f>
        <v>99</v>
      </c>
      <c r="N99" s="31">
        <v>1900</v>
      </c>
      <c r="O99" s="15" t="s">
        <v>426</v>
      </c>
      <c r="P99" s="15" t="s">
        <v>303</v>
      </c>
      <c r="Q99" s="24" t="s">
        <v>118</v>
      </c>
      <c r="R99" s="186"/>
      <c r="S99" s="186"/>
      <c r="T99" s="36"/>
      <c r="U99" s="54"/>
      <c r="V99" s="54"/>
      <c r="W99" s="54"/>
      <c r="X99" s="54"/>
      <c r="Y99" s="54"/>
      <c r="Z99" s="47"/>
    </row>
    <row r="100" spans="1:26" ht="12.75">
      <c r="A100" s="70" t="s">
        <v>276</v>
      </c>
      <c r="B100" s="70">
        <v>8</v>
      </c>
      <c r="C100" s="130">
        <f>$C$10</f>
        <v>0</v>
      </c>
      <c r="D100" s="131">
        <f>$D$10</f>
        <v>5</v>
      </c>
      <c r="E100" s="70">
        <v>8</v>
      </c>
      <c r="F100" s="130">
        <f>$C$10</f>
        <v>0</v>
      </c>
      <c r="G100" s="131">
        <f>$D$10</f>
        <v>5</v>
      </c>
      <c r="H100" s="70">
        <v>8</v>
      </c>
      <c r="I100" s="130">
        <f>$C$10</f>
        <v>0</v>
      </c>
      <c r="J100" s="131">
        <f>$D$10</f>
        <v>5</v>
      </c>
      <c r="K100" s="70">
        <v>8</v>
      </c>
      <c r="L100" s="130">
        <f>$C$10</f>
        <v>0</v>
      </c>
      <c r="M100" s="131">
        <f>$D$10</f>
        <v>5</v>
      </c>
      <c r="N100" s="31"/>
      <c r="O100" s="15"/>
      <c r="P100" s="15" t="s">
        <v>303</v>
      </c>
      <c r="Q100" s="24" t="s">
        <v>160</v>
      </c>
      <c r="R100" s="186"/>
      <c r="S100" s="186"/>
      <c r="T100" s="36"/>
      <c r="U100" s="54"/>
      <c r="V100" s="54"/>
      <c r="W100" s="54"/>
      <c r="X100" s="54"/>
      <c r="Y100" s="54"/>
      <c r="Z100" s="47"/>
    </row>
    <row r="101" spans="1:26" ht="22.5">
      <c r="A101" s="70" t="s">
        <v>277</v>
      </c>
      <c r="B101" s="77">
        <f>IF($D$20-N101&gt;=$C$7,2,IF($D$20-N101&gt;=$C$7*2/3,3,IF($D$20-N101&gt;=$C$7*1/3,4,5)))</f>
        <v>5</v>
      </c>
      <c r="C101" s="130">
        <f>MAX($C$15,MIN($C$11,($C$15+($C$11-$C$15)*($D$20-N101)/$C$8)))</f>
        <v>62.8</v>
      </c>
      <c r="D101" s="131">
        <f>MAX($D$15,MIN($D$11,($D$15+($D$11-$D$15)*($D$20-N101)/$C$8)))</f>
        <v>75.6</v>
      </c>
      <c r="E101" s="77">
        <f>IF($G$20-N101&gt;=$C$7,2,IF($G$20-N101&gt;=$C$7*2/3,3,IF($G$20-N101&gt;=$C$7*1/3,4,5)))</f>
        <v>4</v>
      </c>
      <c r="F101" s="130">
        <f>MAX($C$15,MIN($C$11,($C$15+($C$11-$C$15)*($G$20-N101)/$C$8)))</f>
        <v>76.1</v>
      </c>
      <c r="G101" s="131">
        <f>MAX($D$15,MIN($D$11,($D$15+($D$11-$D$15)*($G$20-N101)/$C$8)))</f>
        <v>84.7</v>
      </c>
      <c r="H101" s="77">
        <f>IF($J$20-N101&gt;=$C$7,2,IF($J$20-N101&gt;=$C$7*2/3,3,IF($J$20-N101&gt;=$C$7*1/3,4,5)))</f>
        <v>4</v>
      </c>
      <c r="I101" s="130">
        <f>MAX($C$15,MIN($C$11,($C$15+($C$11-$C$15)*($J$20-N101)/$C$8)))</f>
        <v>91.3</v>
      </c>
      <c r="J101" s="131">
        <f>MAX($D$15,MIN($D$11,($D$15+($D$11-$D$15)*($J$20-N101)/$C$8)))</f>
        <v>95.1</v>
      </c>
      <c r="K101" s="77">
        <f>IF($M$20-N101&gt;=$C$7,2,IF($M$20-N101&gt;=$C$7*2/3,3,IF($M$20-N101&gt;=$C$7*1/3,4,5)))</f>
        <v>2</v>
      </c>
      <c r="L101" s="130">
        <f>MAX($C$15,MIN($C$11,($C$15+($C$11-$C$15)*($M$20-N101)/$C$8)))</f>
        <v>97</v>
      </c>
      <c r="M101" s="131">
        <f>MAX($D$15,MIN($D$11,($D$15+($D$11-$D$15)*($M$20-N101)/$C$8)))</f>
        <v>99</v>
      </c>
      <c r="N101" s="31">
        <v>1900</v>
      </c>
      <c r="O101" s="15" t="s">
        <v>427</v>
      </c>
      <c r="P101" s="15" t="s">
        <v>412</v>
      </c>
      <c r="Q101" s="24" t="s">
        <v>157</v>
      </c>
      <c r="R101" s="186"/>
      <c r="S101" s="186"/>
      <c r="T101" s="36"/>
      <c r="U101" s="54"/>
      <c r="V101" s="54"/>
      <c r="W101" s="54"/>
      <c r="X101" s="54"/>
      <c r="Y101" s="54"/>
      <c r="Z101" s="47"/>
    </row>
    <row r="102" spans="1:26" ht="22.5">
      <c r="A102" s="70" t="s">
        <v>298</v>
      </c>
      <c r="B102" s="77">
        <f>IF($D$20-N102&gt;=$C$7,2,IF($D$20-N102&gt;=$C$7*2/3,3,IF($D$20-N102&gt;=$C$7*1/3,4,5)))</f>
        <v>5</v>
      </c>
      <c r="C102" s="130">
        <f>MAX($C$15,MIN($C$11,($C$15+($C$11-$C$15)*($D$20-N102)/$C$8)))</f>
        <v>62.8</v>
      </c>
      <c r="D102" s="131">
        <f>MAX($D$15,MIN($D$11,($D$15+($D$11-$D$15)*($D$20-N102)/$C$8)))</f>
        <v>75.6</v>
      </c>
      <c r="E102" s="77">
        <f>IF($G$20-N102&gt;=$C$7,2,IF($G$20-N102&gt;=$C$7*2/3,3,IF($G$20-N102&gt;=$C$7*1/3,4,5)))</f>
        <v>4</v>
      </c>
      <c r="F102" s="130">
        <f>MAX($C$15,MIN($C$11,($C$15+($C$11-$C$15)*($G$20-N102)/$C$8)))</f>
        <v>76.1</v>
      </c>
      <c r="G102" s="131">
        <f>MAX($D$15,MIN($D$11,($D$15+($D$11-$D$15)*($G$20-N102)/$C$8)))</f>
        <v>84.7</v>
      </c>
      <c r="H102" s="77">
        <f>IF($J$20-N102&gt;=$C$7,2,IF($J$20-N102&gt;=$C$7*2/3,3,IF($J$20-N102&gt;=$C$7*1/3,4,5)))</f>
        <v>4</v>
      </c>
      <c r="I102" s="130">
        <f>MAX($C$15,MIN($C$11,($C$15+($C$11-$C$15)*($J$20-N102)/$C$8)))</f>
        <v>91.3</v>
      </c>
      <c r="J102" s="131">
        <f>MAX($D$15,MIN($D$11,($D$15+($D$11-$D$15)*($J$20-N102)/$C$8)))</f>
        <v>95.1</v>
      </c>
      <c r="K102" s="77">
        <f>IF($M$20-N102&gt;=$C$7,2,IF($M$20-N102&gt;=$C$7*2/3,3,IF($M$20-N102&gt;=$C$7*1/3,4,5)))</f>
        <v>2</v>
      </c>
      <c r="L102" s="130">
        <f>MAX($C$15,MIN($C$11,($C$15+($C$11-$C$15)*($M$20-N102)/$C$8)))</f>
        <v>97</v>
      </c>
      <c r="M102" s="131">
        <f>MAX($D$15,MIN($D$11,($D$15+($D$11-$D$15)*($M$20-N102)/$C$8)))</f>
        <v>99</v>
      </c>
      <c r="N102" s="31">
        <v>1900</v>
      </c>
      <c r="O102" s="15" t="s">
        <v>427</v>
      </c>
      <c r="P102" s="15" t="s">
        <v>412</v>
      </c>
      <c r="Q102" s="24" t="s">
        <v>46</v>
      </c>
      <c r="R102" s="186"/>
      <c r="S102" s="186"/>
      <c r="T102" s="36"/>
      <c r="U102" s="54"/>
      <c r="V102" s="54"/>
      <c r="W102" s="54"/>
      <c r="X102" s="54"/>
      <c r="Y102" s="54"/>
      <c r="Z102" s="47"/>
    </row>
    <row r="103" spans="1:26" ht="12.75">
      <c r="A103" s="70" t="s">
        <v>278</v>
      </c>
      <c r="B103" s="70">
        <v>1</v>
      </c>
      <c r="C103" s="60">
        <f>$C$12</f>
        <v>97</v>
      </c>
      <c r="D103" s="80">
        <f>$D$12</f>
        <v>99</v>
      </c>
      <c r="E103" s="70">
        <v>1</v>
      </c>
      <c r="F103" s="60">
        <f>$C$12</f>
        <v>97</v>
      </c>
      <c r="G103" s="80">
        <f>$D$12</f>
        <v>99</v>
      </c>
      <c r="H103" s="70">
        <v>1</v>
      </c>
      <c r="I103" s="60">
        <f>$C$12</f>
        <v>97</v>
      </c>
      <c r="J103" s="80">
        <f>$D$12</f>
        <v>99</v>
      </c>
      <c r="K103" s="70">
        <v>1</v>
      </c>
      <c r="L103" s="60">
        <f>$C$12</f>
        <v>97</v>
      </c>
      <c r="M103" s="80">
        <f>$D$12</f>
        <v>99</v>
      </c>
      <c r="N103" s="31"/>
      <c r="O103" s="15"/>
      <c r="P103" s="45" t="s">
        <v>411</v>
      </c>
      <c r="Q103" s="24" t="s">
        <v>47</v>
      </c>
      <c r="R103" s="186"/>
      <c r="S103" s="186"/>
      <c r="T103" s="36"/>
      <c r="U103" s="54"/>
      <c r="V103" s="54"/>
      <c r="W103" s="54"/>
      <c r="X103" s="54"/>
      <c r="Y103" s="54"/>
      <c r="Z103" s="47"/>
    </row>
    <row r="104" spans="1:26" ht="12.75">
      <c r="A104" s="70" t="s">
        <v>279</v>
      </c>
      <c r="B104" s="70">
        <v>8</v>
      </c>
      <c r="C104" s="130">
        <f>$C$10</f>
        <v>0</v>
      </c>
      <c r="D104" s="131">
        <f>$D$10</f>
        <v>5</v>
      </c>
      <c r="E104" s="70">
        <v>8</v>
      </c>
      <c r="F104" s="130">
        <f>$C$10</f>
        <v>0</v>
      </c>
      <c r="G104" s="131">
        <f>$D$10</f>
        <v>5</v>
      </c>
      <c r="H104" s="70">
        <v>8</v>
      </c>
      <c r="I104" s="130">
        <f>$C$10</f>
        <v>0</v>
      </c>
      <c r="J104" s="131">
        <f>$D$10</f>
        <v>5</v>
      </c>
      <c r="K104" s="70">
        <v>8</v>
      </c>
      <c r="L104" s="130">
        <f>$C$10</f>
        <v>0</v>
      </c>
      <c r="M104" s="131">
        <f>$D$10</f>
        <v>5</v>
      </c>
      <c r="N104" s="31"/>
      <c r="O104" s="15"/>
      <c r="P104" s="15" t="s">
        <v>303</v>
      </c>
      <c r="Q104" s="24" t="s">
        <v>160</v>
      </c>
      <c r="R104" s="186"/>
      <c r="S104" s="186"/>
      <c r="T104" s="36"/>
      <c r="U104" s="54"/>
      <c r="V104" s="54"/>
      <c r="W104" s="54"/>
      <c r="X104" s="54"/>
      <c r="Y104" s="54"/>
      <c r="Z104" s="47"/>
    </row>
    <row r="105" spans="1:26" ht="12.75">
      <c r="A105" s="70" t="s">
        <v>234</v>
      </c>
      <c r="B105" s="77">
        <f>IF($D$20-N105&gt;=$C$7,2,IF($D$20-N105&gt;=$C$7*2/3,3,IF($D$20-N105&gt;=$C$7*1/3,4,IF($D$20-N105&gt;=0,5,8))))</f>
        <v>5</v>
      </c>
      <c r="C105" s="130">
        <f>MAX($C$10,MIN($C$11,($C$14+($C$11-$C$14)*($D$20-N105)/$C$7)))</f>
        <v>4.311111111111111</v>
      </c>
      <c r="D105" s="131">
        <f>MAX($D$10,MIN($D$11,($D$14+($D$11-$D$14)*($D$20-N105)/$C$7)))</f>
        <v>23.511111111111113</v>
      </c>
      <c r="E105" s="77">
        <f>IF($G$20-N105&gt;=$C$7,2,IF($G$20-N105&gt;=$C$7*2/3,3,IF($G$20-N105&gt;=$C$7*1/3,4,IF($G$20-N105&gt;=0,5,8))))</f>
        <v>5</v>
      </c>
      <c r="F105" s="130">
        <f>MAX($C$10,MIN($C$11,($C$14+($C$11-$C$14)*($G$20-N105)/$C$7)))</f>
        <v>19.4</v>
      </c>
      <c r="G105" s="131">
        <f>MAX($D$10,MIN($D$11,($D$14+($D$11-$D$14)*($G$20-N105)/$C$7)))</f>
        <v>35.8</v>
      </c>
      <c r="H105" s="77">
        <f>IF($J$20-N105&gt;=$C$7,2,IF($J$20-N105&gt;=$C$7*2/3,3,IF($J$20-N105&gt;=$C$7*1/3,4,IF($J$20-N105&gt;=0,5,8))))</f>
        <v>4</v>
      </c>
      <c r="I105" s="130">
        <f>MAX($C$10,MIN($C$11,($C$14+($C$11-$C$14)*($J$20-N105)/$C$7)))</f>
        <v>36.644444444444446</v>
      </c>
      <c r="J105" s="131">
        <f>MAX($D$10,MIN($D$11,($D$14+($D$11-$D$14)*($J$20-N105)/$C$7)))</f>
        <v>49.84444444444445</v>
      </c>
      <c r="K105" s="77">
        <f>IF($M$20-N105&gt;=$C$7,2,IF($M$20-N105&gt;=$C$7*2/3,3,IF($M$20-N105&gt;=$C$7*1/3,4,IF($M$20-N105&gt;=0,5,8))))</f>
        <v>2</v>
      </c>
      <c r="L105" s="130">
        <f>MAX($C$10,MIN($C$11,($C$14+($C$11-$C$14)*($M$20-N105)/$C$7)))</f>
        <v>97</v>
      </c>
      <c r="M105" s="131">
        <f>MAX($D$10,MIN($D$11,($D$14+($D$11-$D$14)*($M$20-N105)/$C$7)))</f>
        <v>99</v>
      </c>
      <c r="N105" s="31">
        <v>1910</v>
      </c>
      <c r="O105" s="15" t="s">
        <v>426</v>
      </c>
      <c r="P105" s="15" t="s">
        <v>303</v>
      </c>
      <c r="Q105" s="24" t="s">
        <v>118</v>
      </c>
      <c r="R105" s="186"/>
      <c r="S105" s="186"/>
      <c r="T105" s="36"/>
      <c r="U105" s="54"/>
      <c r="V105" s="54"/>
      <c r="W105" s="54"/>
      <c r="X105" s="54"/>
      <c r="Y105" s="54"/>
      <c r="Z105" s="47"/>
    </row>
    <row r="106" spans="1:26" ht="22.5">
      <c r="A106" s="70" t="s">
        <v>235</v>
      </c>
      <c r="B106" s="77">
        <f>IF($D$20-N106&gt;=$C$7,2,IF($D$20-N106&gt;=$C$7*2/3,3,IF($D$20-N106&gt;=$C$7*1/3,4,5)))</f>
        <v>5</v>
      </c>
      <c r="C106" s="130">
        <f>MAX($C$15,MIN($C$11,($C$15+($C$11-$C$15)*($D$20-N106)/$C$8)))</f>
        <v>43.8</v>
      </c>
      <c r="D106" s="131">
        <f>MAX($D$15,MIN($D$11,($D$15+($D$11-$D$15)*($D$20-N106)/$C$8)))</f>
        <v>62.6</v>
      </c>
      <c r="E106" s="77">
        <f>IF($G$20-N106&gt;=$C$7,2,IF($G$20-N106&gt;=$C$7*2/3,3,IF($G$20-N106&gt;=$C$7*1/3,4,5)))</f>
        <v>5</v>
      </c>
      <c r="F106" s="130">
        <f>MAX($C$15,MIN($C$11,($C$15+($C$11-$C$15)*($G$20-N106)/$C$8)))</f>
        <v>57.1</v>
      </c>
      <c r="G106" s="131">
        <f>MAX($D$15,MIN($D$11,($D$15+($D$11-$D$15)*($G$20-N106)/$C$8)))</f>
        <v>71.7</v>
      </c>
      <c r="H106" s="77">
        <f>IF($J$20-N106&gt;=$C$7,2,IF($J$20-N106&gt;=$C$7*2/3,3,IF($J$20-N106&gt;=$C$7*1/3,4,5)))</f>
        <v>4</v>
      </c>
      <c r="I106" s="130">
        <f>MAX($C$15,MIN($C$11,($C$15+($C$11-$C$15)*($J$20-N106)/$C$8)))</f>
        <v>72.3</v>
      </c>
      <c r="J106" s="131">
        <f>MAX($D$15,MIN($D$11,($D$15+($D$11-$D$15)*($J$20-N106)/$C$8)))</f>
        <v>82.1</v>
      </c>
      <c r="K106" s="77">
        <f>IF($M$20-N106&gt;=$C$7,2,IF($M$20-N106&gt;=$C$7*2/3,3,IF($M$20-N106&gt;=$C$7*1/3,4,5)))</f>
        <v>2</v>
      </c>
      <c r="L106" s="130">
        <f>MAX($C$15,MIN($C$11,($C$15+($C$11-$C$15)*($M$20-N106)/$C$8)))</f>
        <v>97</v>
      </c>
      <c r="M106" s="131">
        <f>MAX($D$15,MIN($D$11,($D$15+($D$11-$D$15)*($M$20-N106)/$C$8)))</f>
        <v>99</v>
      </c>
      <c r="N106" s="31">
        <v>1910</v>
      </c>
      <c r="O106" s="15" t="s">
        <v>427</v>
      </c>
      <c r="P106" s="15" t="s">
        <v>412</v>
      </c>
      <c r="Q106" s="24" t="s">
        <v>118</v>
      </c>
      <c r="R106" s="186"/>
      <c r="S106" s="186"/>
      <c r="T106" s="36"/>
      <c r="U106" s="54"/>
      <c r="V106" s="54"/>
      <c r="W106" s="54"/>
      <c r="X106" s="54"/>
      <c r="Y106" s="54"/>
      <c r="Z106" s="47"/>
    </row>
    <row r="107" spans="1:26" ht="12.75">
      <c r="A107" s="70" t="s">
        <v>280</v>
      </c>
      <c r="B107" s="70">
        <v>8</v>
      </c>
      <c r="C107" s="130">
        <f>$C$10</f>
        <v>0</v>
      </c>
      <c r="D107" s="131">
        <f>$D$10</f>
        <v>5</v>
      </c>
      <c r="E107" s="70">
        <v>8</v>
      </c>
      <c r="F107" s="130">
        <f>$C$10</f>
        <v>0</v>
      </c>
      <c r="G107" s="131">
        <f>$D$10</f>
        <v>5</v>
      </c>
      <c r="H107" s="70">
        <v>8</v>
      </c>
      <c r="I107" s="130">
        <f>$C$10</f>
        <v>0</v>
      </c>
      <c r="J107" s="131">
        <f>$D$10</f>
        <v>5</v>
      </c>
      <c r="K107" s="70">
        <v>8</v>
      </c>
      <c r="L107" s="130">
        <f>$C$10</f>
        <v>0</v>
      </c>
      <c r="M107" s="131">
        <f>$D$10</f>
        <v>5</v>
      </c>
      <c r="N107" s="31"/>
      <c r="O107" s="15"/>
      <c r="P107" s="15" t="s">
        <v>303</v>
      </c>
      <c r="Q107" s="24" t="s">
        <v>94</v>
      </c>
      <c r="R107" s="186"/>
      <c r="S107" s="186"/>
      <c r="T107" s="36"/>
      <c r="U107" s="54"/>
      <c r="V107" s="54"/>
      <c r="W107" s="54"/>
      <c r="X107" s="54"/>
      <c r="Y107" s="54"/>
      <c r="Z107" s="47"/>
    </row>
    <row r="108" spans="1:26" ht="12.75">
      <c r="A108" s="70" t="s">
        <v>193</v>
      </c>
      <c r="B108" s="70">
        <v>8</v>
      </c>
      <c r="C108" s="130">
        <f>$C$10</f>
        <v>0</v>
      </c>
      <c r="D108" s="131">
        <f>$D$10</f>
        <v>5</v>
      </c>
      <c r="E108" s="70">
        <v>8</v>
      </c>
      <c r="F108" s="130">
        <f>$C$10</f>
        <v>0</v>
      </c>
      <c r="G108" s="131">
        <f>$D$10</f>
        <v>5</v>
      </c>
      <c r="H108" s="70">
        <v>8</v>
      </c>
      <c r="I108" s="130">
        <f>$C$10</f>
        <v>0</v>
      </c>
      <c r="J108" s="131">
        <f>$D$10</f>
        <v>5</v>
      </c>
      <c r="K108" s="70">
        <v>8</v>
      </c>
      <c r="L108" s="130">
        <f>$C$10</f>
        <v>0</v>
      </c>
      <c r="M108" s="131">
        <f>$D$10</f>
        <v>5</v>
      </c>
      <c r="N108" s="31"/>
      <c r="O108" s="15"/>
      <c r="P108" s="15" t="s">
        <v>303</v>
      </c>
      <c r="Q108" s="24" t="s">
        <v>118</v>
      </c>
      <c r="R108" s="186"/>
      <c r="S108" s="186"/>
      <c r="T108" s="36"/>
      <c r="U108" s="54"/>
      <c r="V108" s="54"/>
      <c r="W108" s="54"/>
      <c r="X108" s="54"/>
      <c r="Y108" s="54"/>
      <c r="Z108" s="47"/>
    </row>
    <row r="109" spans="1:26" ht="12.75">
      <c r="A109" s="70" t="s">
        <v>194</v>
      </c>
      <c r="B109" s="70">
        <v>8</v>
      </c>
      <c r="C109" s="130">
        <f>$C$10</f>
        <v>0</v>
      </c>
      <c r="D109" s="131">
        <f>$D$10</f>
        <v>5</v>
      </c>
      <c r="E109" s="70">
        <v>8</v>
      </c>
      <c r="F109" s="130">
        <f>$C$10</f>
        <v>0</v>
      </c>
      <c r="G109" s="131">
        <f>$D$10</f>
        <v>5</v>
      </c>
      <c r="H109" s="70">
        <v>8</v>
      </c>
      <c r="I109" s="130">
        <f>$C$10</f>
        <v>0</v>
      </c>
      <c r="J109" s="131">
        <f>$D$10</f>
        <v>5</v>
      </c>
      <c r="K109" s="70">
        <v>8</v>
      </c>
      <c r="L109" s="130">
        <f>$C$10</f>
        <v>0</v>
      </c>
      <c r="M109" s="131">
        <f>$D$10</f>
        <v>5</v>
      </c>
      <c r="N109" s="31"/>
      <c r="O109" s="15"/>
      <c r="P109" s="15" t="s">
        <v>303</v>
      </c>
      <c r="Q109" s="45" t="s">
        <v>110</v>
      </c>
      <c r="R109" s="186"/>
      <c r="S109" s="186"/>
      <c r="T109" s="36"/>
      <c r="U109" s="54"/>
      <c r="V109" s="54"/>
      <c r="W109" s="54"/>
      <c r="X109" s="54"/>
      <c r="Y109" s="54"/>
      <c r="Z109" s="47"/>
    </row>
    <row r="110" spans="1:26" ht="22.5">
      <c r="A110" s="70" t="s">
        <v>195</v>
      </c>
      <c r="B110" s="77">
        <f>IF($D$20-N110&gt;=$C$7,2,IF($D$20-N110&gt;=$C$7*2/3,3,IF($D$20-N110&gt;=$C$7*1/3,4,5)))</f>
        <v>5</v>
      </c>
      <c r="C110" s="130">
        <f>MAX($C$15,MIN($C$11,($C$15+($C$11-$C$15)*($D$20-N110)/$C$8)))</f>
        <v>43.8</v>
      </c>
      <c r="D110" s="131">
        <f>MAX($D$15,MIN($D$11,($D$15+($D$11-$D$15)*($D$20-N110)/$C$8)))</f>
        <v>62.6</v>
      </c>
      <c r="E110" s="77">
        <f>IF($G$20-N110&gt;=$C$7,2,IF($G$20-N110&gt;=$C$7*2/3,3,IF($G$20-N110&gt;=$C$7*1/3,4,5)))</f>
        <v>5</v>
      </c>
      <c r="F110" s="130">
        <f>MAX($C$15,MIN($C$11,($C$15+($C$11-$C$15)*($G$20-N110)/$C$8)))</f>
        <v>57.1</v>
      </c>
      <c r="G110" s="131">
        <f>MAX($D$15,MIN($D$11,($D$15+($D$11-$D$15)*($G$20-N110)/$C$8)))</f>
        <v>71.7</v>
      </c>
      <c r="H110" s="77">
        <f>IF($J$20-N110&gt;=$C$7,2,IF($J$20-N110&gt;=$C$7*2/3,3,IF($J$20-N110&gt;=$C$7*1/3,4,5)))</f>
        <v>4</v>
      </c>
      <c r="I110" s="130">
        <f>MAX($C$15,MIN($C$11,($C$15+($C$11-$C$15)*($J$20-N110)/$C$8)))</f>
        <v>72.3</v>
      </c>
      <c r="J110" s="131">
        <f>MAX($D$15,MIN($D$11,($D$15+($D$11-$D$15)*($J$20-N110)/$C$8)))</f>
        <v>82.1</v>
      </c>
      <c r="K110" s="77">
        <f>IF($M$20-N110&gt;=$C$7,2,IF($M$20-N110&gt;=$C$7*2/3,3,IF($M$20-N110&gt;=$C$7*1/3,4,5)))</f>
        <v>2</v>
      </c>
      <c r="L110" s="130">
        <f>MAX($C$15,MIN($C$11,($C$15+($C$11-$C$15)*($M$20-N110)/$C$8)))</f>
        <v>97</v>
      </c>
      <c r="M110" s="131">
        <f>MAX($D$15,MIN($D$11,($D$15+($D$11-$D$15)*($M$20-N110)/$C$8)))</f>
        <v>99</v>
      </c>
      <c r="N110" s="31">
        <v>1910</v>
      </c>
      <c r="O110" s="15" t="s">
        <v>427</v>
      </c>
      <c r="P110" s="15" t="s">
        <v>412</v>
      </c>
      <c r="Q110" s="45" t="s">
        <v>110</v>
      </c>
      <c r="R110" s="186"/>
      <c r="S110" s="186"/>
      <c r="T110" s="36"/>
      <c r="U110" s="54"/>
      <c r="V110" s="54"/>
      <c r="W110" s="54"/>
      <c r="X110" s="54"/>
      <c r="Y110" s="54"/>
      <c r="Z110" s="47"/>
    </row>
    <row r="111" spans="1:26" ht="22.5">
      <c r="A111" s="70" t="s">
        <v>435</v>
      </c>
      <c r="B111" s="77">
        <f>IF($D$20-N111&gt;=$C$7,2,IF($D$20-N111&gt;=$C$7*2/3,3,IF($D$20-N111&gt;=$C$7*1/3,4,5)))</f>
        <v>5</v>
      </c>
      <c r="C111" s="130">
        <f>MAX($C$15,MIN($C$11,($C$15+($C$11-$C$15)*($D$20-N111)/$C$8)))</f>
        <v>43.8</v>
      </c>
      <c r="D111" s="131">
        <f>MAX($D$15,MIN($D$11,($D$15+($D$11-$D$15)*($D$20-N111)/$C$8)))</f>
        <v>62.6</v>
      </c>
      <c r="E111" s="77">
        <f>IF($G$20-N111&gt;=$C$7,2,IF($G$20-N111&gt;=$C$7*2/3,3,IF($G$20-N111&gt;=$C$7*1/3,4,5)))</f>
        <v>5</v>
      </c>
      <c r="F111" s="130">
        <f>MAX($C$15,MIN($C$11,($C$15+($C$11-$C$15)*($G$20-N111)/$C$8)))</f>
        <v>57.1</v>
      </c>
      <c r="G111" s="131">
        <f>MAX($D$15,MIN($D$11,($D$15+($D$11-$D$15)*($G$20-N111)/$C$8)))</f>
        <v>71.7</v>
      </c>
      <c r="H111" s="77">
        <f>IF($J$20-N111&gt;=$C$7,2,IF($J$20-N111&gt;=$C$7*2/3,3,IF($J$20-N111&gt;=$C$7*1/3,4,5)))</f>
        <v>4</v>
      </c>
      <c r="I111" s="130">
        <f>MAX($C$15,MIN($C$11,($C$15+($C$11-$C$15)*($J$20-N111)/$C$8)))</f>
        <v>72.3</v>
      </c>
      <c r="J111" s="131">
        <f>MAX($D$15,MIN($D$11,($D$15+($D$11-$D$15)*($J$20-N111)/$C$8)))</f>
        <v>82.1</v>
      </c>
      <c r="K111" s="77">
        <f>IF($M$20-N111&gt;=$C$7,2,IF($M$20-N111&gt;=$C$7*2/3,3,IF($M$20-N111&gt;=$C$7*1/3,4,5)))</f>
        <v>2</v>
      </c>
      <c r="L111" s="130">
        <f>MAX($C$15,MIN($C$11,($C$15+($C$11-$C$15)*($M$20-N111)/$C$8)))</f>
        <v>97</v>
      </c>
      <c r="M111" s="131">
        <f>MAX($D$15,MIN($D$11,($D$15+($D$11-$D$15)*($M$20-N111)/$C$8)))</f>
        <v>99</v>
      </c>
      <c r="N111" s="31">
        <v>1910</v>
      </c>
      <c r="O111" s="15" t="s">
        <v>427</v>
      </c>
      <c r="P111" s="15" t="s">
        <v>412</v>
      </c>
      <c r="Q111" s="24" t="s">
        <v>163</v>
      </c>
      <c r="R111" s="186"/>
      <c r="S111" s="186"/>
      <c r="T111" s="36"/>
      <c r="U111" s="54"/>
      <c r="V111" s="54"/>
      <c r="W111" s="54"/>
      <c r="X111" s="54"/>
      <c r="Y111" s="54"/>
      <c r="Z111" s="47"/>
    </row>
    <row r="112" spans="1:26" ht="12.75">
      <c r="A112" s="70" t="s">
        <v>237</v>
      </c>
      <c r="B112" s="70">
        <v>8</v>
      </c>
      <c r="C112" s="130">
        <f>$C$10</f>
        <v>0</v>
      </c>
      <c r="D112" s="131">
        <f>$D$10</f>
        <v>5</v>
      </c>
      <c r="E112" s="70">
        <v>8</v>
      </c>
      <c r="F112" s="130">
        <f>$C$10</f>
        <v>0</v>
      </c>
      <c r="G112" s="131">
        <f>$D$10</f>
        <v>5</v>
      </c>
      <c r="H112" s="70">
        <v>8</v>
      </c>
      <c r="I112" s="130">
        <f>$C$10</f>
        <v>0</v>
      </c>
      <c r="J112" s="131">
        <f>$D$10</f>
        <v>5</v>
      </c>
      <c r="K112" s="70">
        <v>8</v>
      </c>
      <c r="L112" s="130">
        <f>$C$10</f>
        <v>0</v>
      </c>
      <c r="M112" s="131">
        <f>$D$10</f>
        <v>5</v>
      </c>
      <c r="N112" s="31"/>
      <c r="O112" s="15"/>
      <c r="P112" s="15" t="s">
        <v>303</v>
      </c>
      <c r="Q112" s="45" t="s">
        <v>110</v>
      </c>
      <c r="R112" s="186"/>
      <c r="S112" s="186"/>
      <c r="T112" s="36"/>
      <c r="U112" s="54"/>
      <c r="V112" s="54"/>
      <c r="W112" s="54"/>
      <c r="X112" s="54"/>
      <c r="Y112" s="54"/>
      <c r="Z112" s="47"/>
    </row>
    <row r="113" spans="1:26" ht="12.75">
      <c r="A113" s="70" t="s">
        <v>202</v>
      </c>
      <c r="B113" s="70">
        <v>8</v>
      </c>
      <c r="C113" s="130">
        <f>$C$10</f>
        <v>0</v>
      </c>
      <c r="D113" s="131">
        <f>$D$10</f>
        <v>5</v>
      </c>
      <c r="E113" s="70">
        <v>8</v>
      </c>
      <c r="F113" s="130">
        <f>$C$10</f>
        <v>0</v>
      </c>
      <c r="G113" s="131">
        <f>$D$10</f>
        <v>5</v>
      </c>
      <c r="H113" s="70">
        <v>8</v>
      </c>
      <c r="I113" s="130">
        <f>$C$10</f>
        <v>0</v>
      </c>
      <c r="J113" s="131">
        <f>$D$10</f>
        <v>5</v>
      </c>
      <c r="K113" s="70">
        <v>8</v>
      </c>
      <c r="L113" s="130">
        <f>$C$10</f>
        <v>0</v>
      </c>
      <c r="M113" s="131">
        <f>$D$10</f>
        <v>5</v>
      </c>
      <c r="N113" s="10"/>
      <c r="O113" s="11"/>
      <c r="P113" s="15" t="s">
        <v>303</v>
      </c>
      <c r="Q113" s="45" t="s">
        <v>110</v>
      </c>
      <c r="R113" s="11"/>
      <c r="S113" s="186"/>
      <c r="T113" s="36"/>
      <c r="U113" s="45"/>
      <c r="V113" s="45"/>
      <c r="W113" s="45"/>
      <c r="X113" s="45"/>
      <c r="Y113" s="45"/>
      <c r="Z113" s="47"/>
    </row>
    <row r="114" spans="1:26" ht="12.75">
      <c r="A114" s="70" t="s">
        <v>439</v>
      </c>
      <c r="B114" s="70">
        <v>8</v>
      </c>
      <c r="C114" s="130">
        <f>$C$10</f>
        <v>0</v>
      </c>
      <c r="D114" s="131">
        <f>$D$10</f>
        <v>5</v>
      </c>
      <c r="E114" s="70">
        <v>8</v>
      </c>
      <c r="F114" s="130">
        <f>$C$10</f>
        <v>0</v>
      </c>
      <c r="G114" s="131">
        <f>$D$10</f>
        <v>5</v>
      </c>
      <c r="H114" s="70">
        <v>8</v>
      </c>
      <c r="I114" s="130">
        <f>$C$10</f>
        <v>0</v>
      </c>
      <c r="J114" s="131">
        <f>$D$10</f>
        <v>5</v>
      </c>
      <c r="K114" s="70">
        <v>8</v>
      </c>
      <c r="L114" s="130">
        <f>$C$10</f>
        <v>0</v>
      </c>
      <c r="M114" s="131">
        <f>$D$10</f>
        <v>5</v>
      </c>
      <c r="N114" s="10"/>
      <c r="O114" s="11"/>
      <c r="P114" s="15" t="s">
        <v>303</v>
      </c>
      <c r="Q114" s="24" t="s">
        <v>94</v>
      </c>
      <c r="R114" s="11"/>
      <c r="S114" s="186"/>
      <c r="T114" s="36"/>
      <c r="U114" s="45"/>
      <c r="V114" s="45"/>
      <c r="W114" s="45"/>
      <c r="X114" s="45"/>
      <c r="Y114" s="45"/>
      <c r="Z114" s="47"/>
    </row>
    <row r="115" spans="1:26" ht="12.75">
      <c r="A115" s="70" t="s">
        <v>205</v>
      </c>
      <c r="B115" s="77">
        <f>IF($D$20-N115&gt;=$C$7,2,IF($D$20-N115&gt;=$C$7*2/3,3,IF($D$20-N115&gt;=$C$7*1/3,4,IF($D$20-N115&gt;=0,5,8))))</f>
        <v>5</v>
      </c>
      <c r="C115" s="130">
        <f>MAX($C$10,MIN($C$11,($C$14+($C$11-$C$14)*($D$20-N115)/$C$7)))</f>
        <v>25.866666666666667</v>
      </c>
      <c r="D115" s="131">
        <f>MAX($D$10,MIN($D$11,($D$14+($D$11-$D$14)*($D$20-N115)/$C$7)))</f>
        <v>41.06666666666666</v>
      </c>
      <c r="E115" s="77">
        <f>IF($G$20-N115&gt;=$C$7,2,IF($G$20-N115&gt;=$C$7*2/3,3,IF($G$20-N115&gt;=$C$7*1/3,4,IF($G$20-N115&gt;=0,5,8))))</f>
        <v>4</v>
      </c>
      <c r="F115" s="130">
        <f>MAX($C$10,MIN($C$11,($C$14+($C$11-$C$14)*($G$20-N115)/$C$7)))</f>
        <v>40.955555555555556</v>
      </c>
      <c r="G115" s="131">
        <f>MAX($D$10,MIN($D$11,($D$14+($D$11-$D$14)*($G$20-N115)/$C$7)))</f>
        <v>53.355555555555554</v>
      </c>
      <c r="H115" s="77">
        <f>IF($J$20-N115&gt;=$C$7,2,IF($J$20-N115&gt;=$C$7*2/3,3,IF($J$20-N115&gt;=$C$7*1/3,4,IF($J$20-N115&gt;=0,5,8))))</f>
        <v>4</v>
      </c>
      <c r="I115" s="130">
        <f>MAX($C$10,MIN($C$11,($C$14+($C$11-$C$14)*($J$20-N115)/$C$7)))</f>
        <v>58.2</v>
      </c>
      <c r="J115" s="131">
        <f>MAX($D$10,MIN($D$11,($D$14+($D$11-$D$14)*($J$20-N115)/$C$7)))</f>
        <v>67.4</v>
      </c>
      <c r="K115" s="77">
        <f>IF($M$20-N115&gt;=$C$7,2,IF($M$20-N115&gt;=$C$7*2/3,3,IF($M$20-N115&gt;=$C$7*1/3,4,IF($M$20-N115&gt;=0,5,8))))</f>
        <v>2</v>
      </c>
      <c r="L115" s="130">
        <f>MAX($C$10,MIN($C$11,($C$14+($C$11-$C$14)*($M$20-N115)/$C$7)))</f>
        <v>97</v>
      </c>
      <c r="M115" s="131">
        <f>MAX($D$10,MIN($D$11,($D$14+($D$11-$D$14)*($M$20-N115)/$C$7)))</f>
        <v>99</v>
      </c>
      <c r="N115" s="10">
        <v>1900</v>
      </c>
      <c r="O115" s="15" t="s">
        <v>426</v>
      </c>
      <c r="P115" s="15" t="s">
        <v>303</v>
      </c>
      <c r="Q115" s="45" t="s">
        <v>110</v>
      </c>
      <c r="R115" s="11"/>
      <c r="S115" s="186"/>
      <c r="T115" s="36"/>
      <c r="U115" s="45"/>
      <c r="V115" s="45"/>
      <c r="W115" s="45"/>
      <c r="X115" s="45"/>
      <c r="Y115" s="45"/>
      <c r="Z115" s="47"/>
    </row>
    <row r="116" spans="1:26" ht="12.75">
      <c r="A116" s="66" t="s">
        <v>917</v>
      </c>
      <c r="B116" s="66">
        <v>1</v>
      </c>
      <c r="C116" s="61">
        <f>$C$12</f>
        <v>97</v>
      </c>
      <c r="D116" s="79">
        <f>$D$12</f>
        <v>99</v>
      </c>
      <c r="E116" s="66">
        <v>1</v>
      </c>
      <c r="F116" s="61">
        <f>$C$12</f>
        <v>97</v>
      </c>
      <c r="G116" s="79">
        <f>$D$12</f>
        <v>99</v>
      </c>
      <c r="H116" s="66">
        <v>1</v>
      </c>
      <c r="I116" s="61">
        <f>$C$12</f>
        <v>97</v>
      </c>
      <c r="J116" s="79">
        <f>$D$12</f>
        <v>99</v>
      </c>
      <c r="K116" s="66">
        <v>1</v>
      </c>
      <c r="L116" s="61">
        <f>$C$12</f>
        <v>97</v>
      </c>
      <c r="M116" s="79">
        <f>$D$12</f>
        <v>99</v>
      </c>
      <c r="N116" s="7"/>
      <c r="O116" s="20"/>
      <c r="P116" s="49" t="s">
        <v>411</v>
      </c>
      <c r="Q116" s="49" t="s">
        <v>48</v>
      </c>
      <c r="R116" s="8"/>
      <c r="S116" s="185"/>
      <c r="T116" s="39"/>
      <c r="U116" s="49"/>
      <c r="V116" s="49"/>
      <c r="W116" s="49"/>
      <c r="X116" s="49"/>
      <c r="Y116" s="49"/>
      <c r="Z116" s="48"/>
    </row>
    <row r="117" spans="1:25" ht="12.75">
      <c r="A117" s="1"/>
      <c r="B117" s="1"/>
      <c r="C117" s="3"/>
      <c r="D117" s="3"/>
      <c r="E117" s="3"/>
      <c r="F117" s="3"/>
      <c r="G117" s="3"/>
      <c r="H117" s="3"/>
      <c r="I117" s="3"/>
      <c r="J117" s="3"/>
      <c r="K117" s="3"/>
      <c r="L117" s="3"/>
      <c r="M117" s="3"/>
      <c r="N117" s="3"/>
      <c r="O117" s="3"/>
      <c r="P117" s="3"/>
      <c r="Q117" s="3"/>
      <c r="R117" s="3"/>
      <c r="S117" s="3"/>
      <c r="T117" s="3"/>
      <c r="U117" s="3"/>
      <c r="V117" s="3"/>
      <c r="W117" s="3"/>
      <c r="X117" s="3"/>
      <c r="Y117" s="3"/>
    </row>
    <row r="118" spans="1:25" ht="54.75" customHeight="1">
      <c r="A118" s="301" t="s">
        <v>99</v>
      </c>
      <c r="B118" s="302"/>
      <c r="C118" s="302"/>
      <c r="D118" s="302"/>
      <c r="E118" s="302"/>
      <c r="F118" s="302"/>
      <c r="G118" s="302"/>
      <c r="H118" s="302"/>
      <c r="I118" s="302"/>
      <c r="J118" s="302"/>
      <c r="K118" s="302"/>
      <c r="L118" s="302"/>
      <c r="M118" s="303"/>
      <c r="N118" s="3"/>
      <c r="O118" s="3"/>
      <c r="P118" s="3"/>
      <c r="Q118" s="3"/>
      <c r="R118" s="3"/>
      <c r="S118" s="3"/>
      <c r="T118" s="3"/>
      <c r="U118" s="3"/>
      <c r="V118" s="3"/>
      <c r="W118" s="3"/>
      <c r="X118" s="3"/>
      <c r="Y118" s="3"/>
    </row>
    <row r="119" spans="1:25" ht="12.75" customHeight="1">
      <c r="A119" s="1"/>
      <c r="B119" s="147"/>
      <c r="C119" s="11"/>
      <c r="D119" s="11"/>
      <c r="E119" s="11"/>
      <c r="F119" s="11"/>
      <c r="G119" s="11"/>
      <c r="H119" s="11"/>
      <c r="I119" s="11"/>
      <c r="J119" s="3"/>
      <c r="K119" s="3"/>
      <c r="L119" s="3"/>
      <c r="M119" s="3"/>
      <c r="N119" s="3"/>
      <c r="O119" s="3"/>
      <c r="P119" s="3"/>
      <c r="Q119" s="3"/>
      <c r="R119" s="3"/>
      <c r="S119" s="3"/>
      <c r="T119" s="3"/>
      <c r="U119" s="3"/>
      <c r="V119" s="3"/>
      <c r="W119" s="3"/>
      <c r="X119" s="3"/>
      <c r="Y119" s="3"/>
    </row>
    <row r="120" spans="1:25" ht="12.75" customHeight="1">
      <c r="A120" s="1"/>
      <c r="B120" s="147"/>
      <c r="C120" s="11"/>
      <c r="D120" s="11"/>
      <c r="E120" s="11"/>
      <c r="F120" s="11"/>
      <c r="G120" s="11"/>
      <c r="H120" s="11"/>
      <c r="I120" s="11"/>
      <c r="J120" s="3"/>
      <c r="K120" s="3"/>
      <c r="L120" s="3"/>
      <c r="M120" s="3"/>
      <c r="N120" s="3"/>
      <c r="O120" s="3"/>
      <c r="P120" s="3"/>
      <c r="Q120" s="3"/>
      <c r="R120" s="3"/>
      <c r="S120" s="3"/>
      <c r="T120" s="3"/>
      <c r="U120" s="3"/>
      <c r="V120" s="3"/>
      <c r="W120" s="3"/>
      <c r="X120" s="3"/>
      <c r="Y120" s="3"/>
    </row>
    <row r="121" ht="12.75">
      <c r="B121" s="15"/>
    </row>
    <row r="122" ht="15.75">
      <c r="A122" s="91" t="s">
        <v>148</v>
      </c>
    </row>
    <row r="123" spans="1:18" ht="12.75">
      <c r="A123" s="74" t="s">
        <v>417</v>
      </c>
      <c r="B123" s="73"/>
      <c r="C123" s="73"/>
      <c r="D123" s="73"/>
      <c r="E123" s="73"/>
      <c r="F123" s="73"/>
      <c r="G123" s="73"/>
      <c r="H123" s="73"/>
      <c r="I123" s="73"/>
      <c r="J123" s="86"/>
      <c r="K123" s="87"/>
      <c r="L123" s="86"/>
      <c r="M123" s="86"/>
      <c r="N123" s="86"/>
      <c r="O123" s="86"/>
      <c r="P123" s="87"/>
      <c r="Q123" s="87"/>
      <c r="R123" s="46"/>
    </row>
    <row r="124" spans="1:27" ht="18" customHeight="1">
      <c r="A124" s="218"/>
      <c r="B124" s="50"/>
      <c r="C124" s="89">
        <v>1912</v>
      </c>
      <c r="D124" s="50"/>
      <c r="E124" s="195"/>
      <c r="F124" s="195"/>
      <c r="G124" s="89">
        <v>1919</v>
      </c>
      <c r="H124" s="50"/>
      <c r="I124" s="195"/>
      <c r="J124" s="195"/>
      <c r="K124" s="89">
        <v>1927</v>
      </c>
      <c r="L124" s="50"/>
      <c r="M124" s="195"/>
      <c r="N124" s="195"/>
      <c r="O124" s="89">
        <v>1958</v>
      </c>
      <c r="P124" s="50"/>
      <c r="Q124" s="195"/>
      <c r="R124" s="208"/>
      <c r="S124" s="11"/>
      <c r="T124" s="11"/>
      <c r="U124" s="11"/>
      <c r="V124" s="11"/>
      <c r="W124" s="11"/>
      <c r="X124" s="11"/>
      <c r="Y124" s="11"/>
      <c r="Z124" s="36"/>
      <c r="AA124" s="36"/>
    </row>
    <row r="125" spans="1:27" ht="22.5" customHeight="1">
      <c r="A125" s="28" t="s">
        <v>430</v>
      </c>
      <c r="B125" s="280" t="s">
        <v>883</v>
      </c>
      <c r="C125" s="280" t="s">
        <v>96</v>
      </c>
      <c r="D125" s="76" t="s">
        <v>897</v>
      </c>
      <c r="E125" s="304" t="s">
        <v>400</v>
      </c>
      <c r="F125" s="305"/>
      <c r="G125" s="280" t="s">
        <v>96</v>
      </c>
      <c r="H125" s="76" t="s">
        <v>897</v>
      </c>
      <c r="I125" s="304" t="s">
        <v>400</v>
      </c>
      <c r="J125" s="305"/>
      <c r="K125" s="280" t="s">
        <v>96</v>
      </c>
      <c r="L125" s="76" t="s">
        <v>897</v>
      </c>
      <c r="M125" s="304" t="s">
        <v>400</v>
      </c>
      <c r="N125" s="305"/>
      <c r="O125" s="280" t="s">
        <v>96</v>
      </c>
      <c r="P125" s="76" t="s">
        <v>897</v>
      </c>
      <c r="Q125" s="304" t="s">
        <v>400</v>
      </c>
      <c r="R125" s="305"/>
      <c r="S125" s="45"/>
      <c r="T125" s="11"/>
      <c r="U125" s="11"/>
      <c r="V125" s="11"/>
      <c r="W125" s="11"/>
      <c r="X125" s="11"/>
      <c r="Y125" s="11"/>
      <c r="Z125" s="36"/>
      <c r="AA125" s="36"/>
    </row>
    <row r="126" spans="1:27" ht="22.5">
      <c r="A126" s="7"/>
      <c r="B126" s="306"/>
      <c r="C126" s="306"/>
      <c r="D126" s="71"/>
      <c r="E126" s="8" t="s">
        <v>305</v>
      </c>
      <c r="F126" s="9" t="s">
        <v>306</v>
      </c>
      <c r="G126" s="306"/>
      <c r="H126" s="71"/>
      <c r="I126" s="8" t="s">
        <v>305</v>
      </c>
      <c r="J126" s="9" t="s">
        <v>306</v>
      </c>
      <c r="K126" s="306"/>
      <c r="L126" s="71"/>
      <c r="M126" s="8" t="s">
        <v>305</v>
      </c>
      <c r="N126" s="9" t="s">
        <v>306</v>
      </c>
      <c r="O126" s="306"/>
      <c r="P126" s="71"/>
      <c r="Q126" s="8" t="s">
        <v>305</v>
      </c>
      <c r="R126" s="9" t="s">
        <v>306</v>
      </c>
      <c r="S126" s="11"/>
      <c r="T126" s="11"/>
      <c r="U126" s="11"/>
      <c r="V126" s="45"/>
      <c r="W126" s="11"/>
      <c r="X126" s="11"/>
      <c r="Y126" s="11"/>
      <c r="Z126" s="36"/>
      <c r="AA126" s="36"/>
    </row>
    <row r="127" spans="1:27" ht="12.75">
      <c r="A127" s="191" t="s">
        <v>809</v>
      </c>
      <c r="B127" s="147">
        <f>SUM(B128:B133)</f>
        <v>100</v>
      </c>
      <c r="C127" s="201"/>
      <c r="D127" s="259"/>
      <c r="E127" s="198">
        <f>SUMPRODUCT($B128:$B133,E128:E133)/100</f>
        <v>93.8</v>
      </c>
      <c r="F127" s="198">
        <f>SUMPRODUCT($B128:$B133,F128:F133)/100</f>
        <v>97.6</v>
      </c>
      <c r="G127" s="201">
        <v>4163</v>
      </c>
      <c r="H127" s="205"/>
      <c r="I127" s="198">
        <f>SUMPRODUCT($B128:$B133,I128:I133)/100</f>
        <v>93.8</v>
      </c>
      <c r="J127" s="198">
        <f>SUMPRODUCT($B128:$B133,J128:J133)/100</f>
        <v>97.6</v>
      </c>
      <c r="K127" s="201">
        <v>4163</v>
      </c>
      <c r="L127" s="259"/>
      <c r="M127" s="198">
        <f>SUMPRODUCT($B128:$B133,M128:M133)/100</f>
        <v>94.54666666666668</v>
      </c>
      <c r="N127" s="198">
        <f>SUMPRODUCT($B128:$B133,N128:N133)/100</f>
        <v>97.92666666666668</v>
      </c>
      <c r="O127" s="201">
        <v>102964</v>
      </c>
      <c r="P127" s="259"/>
      <c r="Q127" s="198">
        <f>SUMPRODUCT($B128:$B133,Q128:Q133)/100</f>
        <v>97</v>
      </c>
      <c r="R127" s="197">
        <f>SUMPRODUCT($B128:$B133,R128:R133)/100</f>
        <v>99</v>
      </c>
      <c r="S127" s="32"/>
      <c r="T127" s="32"/>
      <c r="U127" s="32"/>
      <c r="V127" s="32"/>
      <c r="W127" s="32"/>
      <c r="X127" s="32"/>
      <c r="Y127" s="32"/>
      <c r="Z127" s="36"/>
      <c r="AA127" s="36"/>
    </row>
    <row r="128" spans="1:25" ht="12.75">
      <c r="A128" s="187" t="s">
        <v>210</v>
      </c>
      <c r="B128" s="188">
        <v>37</v>
      </c>
      <c r="C128" s="202"/>
      <c r="D128" s="260">
        <f>B$22</f>
        <v>1</v>
      </c>
      <c r="E128" s="176">
        <f>C$22</f>
        <v>97</v>
      </c>
      <c r="F128" s="176">
        <f>D$22</f>
        <v>99</v>
      </c>
      <c r="G128" s="202">
        <f aca="true" t="shared" si="10" ref="G128:G133">$G$127*B128/100</f>
        <v>1540.31</v>
      </c>
      <c r="H128" s="260">
        <f>E$22</f>
        <v>1</v>
      </c>
      <c r="I128" s="176">
        <f>F$22</f>
        <v>97</v>
      </c>
      <c r="J128" s="176">
        <f>G$22</f>
        <v>99</v>
      </c>
      <c r="K128" s="202">
        <f aca="true" t="shared" si="11" ref="K128:K133">$K$127*B128/100</f>
        <v>1540.31</v>
      </c>
      <c r="L128" s="260">
        <f>H$22</f>
        <v>1</v>
      </c>
      <c r="M128" s="176">
        <f>I$22</f>
        <v>97</v>
      </c>
      <c r="N128" s="176">
        <f>J$22</f>
        <v>99</v>
      </c>
      <c r="O128" s="202">
        <f aca="true" t="shared" si="12" ref="O128:O133">$O$127*B128/100</f>
        <v>38096.68</v>
      </c>
      <c r="P128" s="260">
        <f>K$22</f>
        <v>1</v>
      </c>
      <c r="Q128" s="176">
        <f>L$22</f>
        <v>97</v>
      </c>
      <c r="R128" s="98">
        <f>M$22</f>
        <v>99</v>
      </c>
      <c r="S128" s="187"/>
      <c r="T128" s="187"/>
      <c r="U128" s="187"/>
      <c r="V128" s="187"/>
      <c r="W128" s="187"/>
      <c r="X128" s="187"/>
      <c r="Y128" s="187"/>
    </row>
    <row r="129" spans="1:25" ht="12.75">
      <c r="A129" s="187" t="s">
        <v>208</v>
      </c>
      <c r="B129" s="188">
        <v>8</v>
      </c>
      <c r="C129" s="202"/>
      <c r="D129" s="260">
        <f>B$23</f>
        <v>1</v>
      </c>
      <c r="E129" s="176">
        <f>C$23</f>
        <v>97</v>
      </c>
      <c r="F129" s="176">
        <f>D$23</f>
        <v>99</v>
      </c>
      <c r="G129" s="202">
        <f t="shared" si="10"/>
        <v>333.04</v>
      </c>
      <c r="H129" s="260">
        <f>E$23</f>
        <v>1</v>
      </c>
      <c r="I129" s="176">
        <f>F$23</f>
        <v>97</v>
      </c>
      <c r="J129" s="176">
        <f>G$23</f>
        <v>99</v>
      </c>
      <c r="K129" s="202">
        <f t="shared" si="11"/>
        <v>333.04</v>
      </c>
      <c r="L129" s="260">
        <f>H$23</f>
        <v>1</v>
      </c>
      <c r="M129" s="176">
        <f>I$23</f>
        <v>97</v>
      </c>
      <c r="N129" s="176">
        <f>J$23</f>
        <v>99</v>
      </c>
      <c r="O129" s="202">
        <f t="shared" si="12"/>
        <v>8237.12</v>
      </c>
      <c r="P129" s="260">
        <f>K$23</f>
        <v>1</v>
      </c>
      <c r="Q129" s="176">
        <f>L$23</f>
        <v>97</v>
      </c>
      <c r="R129" s="98">
        <f>M$23</f>
        <v>99</v>
      </c>
      <c r="S129" s="187"/>
      <c r="T129" s="187"/>
      <c r="U129" s="187"/>
      <c r="V129" s="187"/>
      <c r="W129" s="187"/>
      <c r="X129" s="187"/>
      <c r="Y129" s="187"/>
    </row>
    <row r="130" spans="1:25" ht="12.75">
      <c r="A130" s="187" t="s">
        <v>209</v>
      </c>
      <c r="B130" s="188">
        <v>7</v>
      </c>
      <c r="C130" s="202"/>
      <c r="D130" s="260">
        <f>B$24</f>
        <v>1</v>
      </c>
      <c r="E130" s="176">
        <f>C$24</f>
        <v>97</v>
      </c>
      <c r="F130" s="176">
        <f>D$24</f>
        <v>99</v>
      </c>
      <c r="G130" s="202">
        <f t="shared" si="10"/>
        <v>291.41</v>
      </c>
      <c r="H130" s="260">
        <f>E$24</f>
        <v>1</v>
      </c>
      <c r="I130" s="176">
        <f>F$24</f>
        <v>97</v>
      </c>
      <c r="J130" s="176">
        <f>G$24</f>
        <v>99</v>
      </c>
      <c r="K130" s="202">
        <f t="shared" si="11"/>
        <v>291.41</v>
      </c>
      <c r="L130" s="260">
        <f>H$24</f>
        <v>1</v>
      </c>
      <c r="M130" s="176">
        <f>I$24</f>
        <v>97</v>
      </c>
      <c r="N130" s="176">
        <f>J$24</f>
        <v>99</v>
      </c>
      <c r="O130" s="202">
        <f t="shared" si="12"/>
        <v>7207.48</v>
      </c>
      <c r="P130" s="260">
        <f>K$24</f>
        <v>1</v>
      </c>
      <c r="Q130" s="176">
        <f>L$24</f>
        <v>97</v>
      </c>
      <c r="R130" s="98">
        <f>M$24</f>
        <v>99</v>
      </c>
      <c r="S130" s="187"/>
      <c r="T130" s="187"/>
      <c r="U130" s="187"/>
      <c r="V130" s="187"/>
      <c r="W130" s="187"/>
      <c r="X130" s="187"/>
      <c r="Y130" s="187"/>
    </row>
    <row r="131" spans="1:25" ht="12.75">
      <c r="A131" s="187" t="s">
        <v>434</v>
      </c>
      <c r="B131" s="188">
        <v>20</v>
      </c>
      <c r="C131" s="202"/>
      <c r="D131" s="260">
        <f>B$25</f>
        <v>1</v>
      </c>
      <c r="E131" s="176">
        <f>C$25</f>
        <v>97</v>
      </c>
      <c r="F131" s="176">
        <f>D$25</f>
        <v>99</v>
      </c>
      <c r="G131" s="202">
        <f t="shared" si="10"/>
        <v>832.6</v>
      </c>
      <c r="H131" s="260">
        <f>E$25</f>
        <v>1</v>
      </c>
      <c r="I131" s="176">
        <f>F$25</f>
        <v>97</v>
      </c>
      <c r="J131" s="176">
        <f>G$25</f>
        <v>99</v>
      </c>
      <c r="K131" s="202">
        <f t="shared" si="11"/>
        <v>832.6</v>
      </c>
      <c r="L131" s="260">
        <f>H$25</f>
        <v>1</v>
      </c>
      <c r="M131" s="176">
        <f>I$25</f>
        <v>97</v>
      </c>
      <c r="N131" s="176">
        <f>J$25</f>
        <v>99</v>
      </c>
      <c r="O131" s="202">
        <f t="shared" si="12"/>
        <v>20592.8</v>
      </c>
      <c r="P131" s="260">
        <f>K$25</f>
        <v>1</v>
      </c>
      <c r="Q131" s="176">
        <f>L$25</f>
        <v>97</v>
      </c>
      <c r="R131" s="98">
        <f>M$25</f>
        <v>99</v>
      </c>
      <c r="S131" s="187"/>
      <c r="T131" s="187"/>
      <c r="U131" s="187"/>
      <c r="V131" s="187"/>
      <c r="W131" s="187"/>
      <c r="X131" s="187"/>
      <c r="Y131" s="187"/>
    </row>
    <row r="132" spans="1:25" ht="12.75">
      <c r="A132" s="187" t="s">
        <v>245</v>
      </c>
      <c r="B132" s="188">
        <v>10</v>
      </c>
      <c r="C132" s="202"/>
      <c r="D132" s="260">
        <f>B$26</f>
        <v>5</v>
      </c>
      <c r="E132" s="176">
        <f>C$26</f>
        <v>65</v>
      </c>
      <c r="F132" s="176">
        <f>D$26</f>
        <v>85</v>
      </c>
      <c r="G132" s="202">
        <f t="shared" si="10"/>
        <v>416.3</v>
      </c>
      <c r="H132" s="260">
        <f>E$26</f>
        <v>5</v>
      </c>
      <c r="I132" s="176">
        <f>F$26</f>
        <v>65</v>
      </c>
      <c r="J132" s="176">
        <f>G$26</f>
        <v>85</v>
      </c>
      <c r="K132" s="202">
        <f t="shared" si="11"/>
        <v>416.3</v>
      </c>
      <c r="L132" s="260">
        <f>H$26</f>
        <v>5</v>
      </c>
      <c r="M132" s="176">
        <f>I$26</f>
        <v>72.46666666666667</v>
      </c>
      <c r="N132" s="176">
        <f>J$26</f>
        <v>88.26666666666667</v>
      </c>
      <c r="O132" s="202">
        <f t="shared" si="12"/>
        <v>10296.4</v>
      </c>
      <c r="P132" s="260">
        <f>K$26</f>
        <v>3</v>
      </c>
      <c r="Q132" s="176">
        <f>L$26</f>
        <v>97</v>
      </c>
      <c r="R132" s="98">
        <f>M$26</f>
        <v>99</v>
      </c>
      <c r="S132" s="187"/>
      <c r="T132" s="187"/>
      <c r="U132" s="187"/>
      <c r="V132" s="187"/>
      <c r="W132" s="187"/>
      <c r="X132" s="187"/>
      <c r="Y132" s="187"/>
    </row>
    <row r="133" spans="1:25" ht="12.75">
      <c r="A133" s="187" t="s">
        <v>294</v>
      </c>
      <c r="B133" s="188">
        <v>18</v>
      </c>
      <c r="C133" s="202"/>
      <c r="D133" s="260">
        <f>B$27</f>
        <v>1</v>
      </c>
      <c r="E133" s="176">
        <f>C$27</f>
        <v>97</v>
      </c>
      <c r="F133" s="176">
        <f>D$27</f>
        <v>99</v>
      </c>
      <c r="G133" s="202">
        <f t="shared" si="10"/>
        <v>749.34</v>
      </c>
      <c r="H133" s="260">
        <f>E$27</f>
        <v>1</v>
      </c>
      <c r="I133" s="176">
        <f>F$27</f>
        <v>97</v>
      </c>
      <c r="J133" s="176">
        <f>G$27</f>
        <v>99</v>
      </c>
      <c r="K133" s="202">
        <f t="shared" si="11"/>
        <v>749.34</v>
      </c>
      <c r="L133" s="260">
        <f>H$27</f>
        <v>1</v>
      </c>
      <c r="M133" s="176">
        <f>I$27</f>
        <v>97</v>
      </c>
      <c r="N133" s="176">
        <f>J$27</f>
        <v>99</v>
      </c>
      <c r="O133" s="202">
        <f t="shared" si="12"/>
        <v>18533.52</v>
      </c>
      <c r="P133" s="260">
        <f>K$27</f>
        <v>1</v>
      </c>
      <c r="Q133" s="176">
        <f>L$27</f>
        <v>97</v>
      </c>
      <c r="R133" s="98">
        <f>M$27</f>
        <v>99</v>
      </c>
      <c r="S133" s="187"/>
      <c r="T133" s="187"/>
      <c r="U133" s="187"/>
      <c r="V133" s="187"/>
      <c r="W133" s="187"/>
      <c r="X133" s="187"/>
      <c r="Y133" s="187"/>
    </row>
    <row r="134" spans="1:25" ht="12.75">
      <c r="A134" s="190" t="s">
        <v>811</v>
      </c>
      <c r="B134" s="189">
        <f>SUM(B135:B142)</f>
        <v>100</v>
      </c>
      <c r="C134" s="203">
        <v>33</v>
      </c>
      <c r="D134" s="261"/>
      <c r="E134" s="199">
        <f>SUMPRODUCT($B135:$B142,E135:E142)/100</f>
        <v>90.445</v>
      </c>
      <c r="F134" s="199">
        <f>SUMPRODUCT($B135:$B142,F135:F142)/100</f>
        <v>94.515</v>
      </c>
      <c r="G134" s="203">
        <v>871</v>
      </c>
      <c r="H134" s="261"/>
      <c r="I134" s="199">
        <f>SUMPRODUCT($B135:$B142,I135:I142)/100</f>
        <v>92.44</v>
      </c>
      <c r="J134" s="199">
        <f>SUMPRODUCT($B135:$B142,J135:J142)/100</f>
        <v>95.88</v>
      </c>
      <c r="K134" s="203">
        <v>871</v>
      </c>
      <c r="L134" s="261"/>
      <c r="M134" s="199">
        <f>SUMPRODUCT($B135:$B142,M135:M142)/100</f>
        <v>94.72</v>
      </c>
      <c r="N134" s="199">
        <f>SUMPRODUCT($B135:$B142,N135:N142)/100</f>
        <v>97.44</v>
      </c>
      <c r="O134" s="203">
        <v>32924</v>
      </c>
      <c r="P134" s="261"/>
      <c r="Q134" s="199">
        <f>SUMPRODUCT($B135:$B142,Q135:Q142)/100</f>
        <v>97</v>
      </c>
      <c r="R134" s="209">
        <f>SUMPRODUCT($B135:$B142,R135:R142)/100</f>
        <v>99</v>
      </c>
      <c r="S134" s="187"/>
      <c r="T134" s="187"/>
      <c r="U134" s="187"/>
      <c r="V134" s="187"/>
      <c r="W134" s="187"/>
      <c r="X134" s="187"/>
      <c r="Y134" s="187"/>
    </row>
    <row r="135" spans="1:25" ht="12.75">
      <c r="A135" s="187" t="s">
        <v>281</v>
      </c>
      <c r="B135" s="188">
        <v>38</v>
      </c>
      <c r="C135" s="202">
        <f>$C$134*B135/100</f>
        <v>12.54</v>
      </c>
      <c r="D135" s="260">
        <f>B$28</f>
        <v>1</v>
      </c>
      <c r="E135" s="176">
        <f>C$28</f>
        <v>97</v>
      </c>
      <c r="F135" s="176">
        <f>D$28</f>
        <v>99</v>
      </c>
      <c r="G135" s="202">
        <f>$G$134*B135/100</f>
        <v>330.98</v>
      </c>
      <c r="H135" s="260">
        <f>E$28</f>
        <v>1</v>
      </c>
      <c r="I135" s="176">
        <f>F$28</f>
        <v>97</v>
      </c>
      <c r="J135" s="176">
        <f>G$28</f>
        <v>99</v>
      </c>
      <c r="K135" s="202">
        <f>$K$134*B135/100</f>
        <v>330.98</v>
      </c>
      <c r="L135" s="260">
        <f>H$28</f>
        <v>1</v>
      </c>
      <c r="M135" s="176">
        <f>I$28</f>
        <v>97</v>
      </c>
      <c r="N135" s="176">
        <f>J$28</f>
        <v>99</v>
      </c>
      <c r="O135" s="202">
        <f>$O$134*B135/100</f>
        <v>12511.12</v>
      </c>
      <c r="P135" s="260">
        <f>K$28</f>
        <v>1</v>
      </c>
      <c r="Q135" s="176">
        <f>L$28</f>
        <v>97</v>
      </c>
      <c r="R135" s="98">
        <f>M$28</f>
        <v>99</v>
      </c>
      <c r="S135" s="187"/>
      <c r="T135" s="187"/>
      <c r="U135" s="187"/>
      <c r="V135" s="187"/>
      <c r="W135" s="187"/>
      <c r="X135" s="187"/>
      <c r="Y135" s="187"/>
    </row>
    <row r="136" spans="1:25" ht="12.75">
      <c r="A136" s="187" t="s">
        <v>211</v>
      </c>
      <c r="B136" s="188">
        <v>12</v>
      </c>
      <c r="C136" s="202">
        <f aca="true" t="shared" si="13" ref="C136:C142">$C$134*B136/100</f>
        <v>3.96</v>
      </c>
      <c r="D136" s="260">
        <f>B$29</f>
        <v>1</v>
      </c>
      <c r="E136" s="176">
        <f>C$29</f>
        <v>97</v>
      </c>
      <c r="F136" s="176">
        <f>D$29</f>
        <v>99</v>
      </c>
      <c r="G136" s="202">
        <f aca="true" t="shared" si="14" ref="G136:G142">$G$134*B136/100</f>
        <v>104.52</v>
      </c>
      <c r="H136" s="260">
        <f>E$29</f>
        <v>1</v>
      </c>
      <c r="I136" s="176">
        <f>F$29</f>
        <v>97</v>
      </c>
      <c r="J136" s="176">
        <f>G$29</f>
        <v>99</v>
      </c>
      <c r="K136" s="202">
        <f aca="true" t="shared" si="15" ref="K136:K142">$K$134*B136/100</f>
        <v>104.52</v>
      </c>
      <c r="L136" s="260">
        <f>H$29</f>
        <v>1</v>
      </c>
      <c r="M136" s="176">
        <f>I$29</f>
        <v>97</v>
      </c>
      <c r="N136" s="176">
        <f>J$29</f>
        <v>99</v>
      </c>
      <c r="O136" s="202">
        <f aca="true" t="shared" si="16" ref="O136:O142">$O$134*B136/100</f>
        <v>3950.88</v>
      </c>
      <c r="P136" s="260">
        <f>K$29</f>
        <v>1</v>
      </c>
      <c r="Q136" s="176">
        <f>L$29</f>
        <v>97</v>
      </c>
      <c r="R136" s="98">
        <f>M$29</f>
        <v>99</v>
      </c>
      <c r="S136" s="187"/>
      <c r="T136" s="187"/>
      <c r="U136" s="187"/>
      <c r="V136" s="187"/>
      <c r="W136" s="187"/>
      <c r="X136" s="187"/>
      <c r="Y136" s="187"/>
    </row>
    <row r="137" spans="1:25" ht="12.75">
      <c r="A137" s="187" t="s">
        <v>437</v>
      </c>
      <c r="B137" s="188">
        <v>5</v>
      </c>
      <c r="C137" s="202">
        <f t="shared" si="13"/>
        <v>1.65</v>
      </c>
      <c r="D137" s="260">
        <f>B$30</f>
        <v>1</v>
      </c>
      <c r="E137" s="176">
        <f>C$30</f>
        <v>97</v>
      </c>
      <c r="F137" s="176">
        <f>D$30</f>
        <v>99</v>
      </c>
      <c r="G137" s="202">
        <f t="shared" si="14"/>
        <v>43.55</v>
      </c>
      <c r="H137" s="260">
        <f>E$30</f>
        <v>1</v>
      </c>
      <c r="I137" s="176">
        <f>F$30</f>
        <v>97</v>
      </c>
      <c r="J137" s="176">
        <f>G$30</f>
        <v>99</v>
      </c>
      <c r="K137" s="202">
        <f t="shared" si="15"/>
        <v>43.55</v>
      </c>
      <c r="L137" s="260">
        <f>H$30</f>
        <v>1</v>
      </c>
      <c r="M137" s="176">
        <f>I$30</f>
        <v>97</v>
      </c>
      <c r="N137" s="176">
        <f>J$30</f>
        <v>99</v>
      </c>
      <c r="O137" s="202">
        <f t="shared" si="16"/>
        <v>1646.2</v>
      </c>
      <c r="P137" s="260">
        <f>K$30</f>
        <v>1</v>
      </c>
      <c r="Q137" s="176">
        <f>L$30</f>
        <v>97</v>
      </c>
      <c r="R137" s="98">
        <f>M$30</f>
        <v>99</v>
      </c>
      <c r="S137" s="187"/>
      <c r="T137" s="187"/>
      <c r="U137" s="187"/>
      <c r="V137" s="187"/>
      <c r="W137" s="187"/>
      <c r="X137" s="187"/>
      <c r="Y137" s="187"/>
    </row>
    <row r="138" spans="1:25" ht="12.75">
      <c r="A138" s="187" t="s">
        <v>212</v>
      </c>
      <c r="B138" s="188">
        <v>13</v>
      </c>
      <c r="C138" s="202">
        <f t="shared" si="13"/>
        <v>4.29</v>
      </c>
      <c r="D138" s="260">
        <f>B$31</f>
        <v>1</v>
      </c>
      <c r="E138" s="176">
        <f>C$31</f>
        <v>97</v>
      </c>
      <c r="F138" s="176">
        <f>D$31</f>
        <v>99</v>
      </c>
      <c r="G138" s="202">
        <f t="shared" si="14"/>
        <v>113.23</v>
      </c>
      <c r="H138" s="260">
        <f>E$31</f>
        <v>1</v>
      </c>
      <c r="I138" s="176">
        <f>F$31</f>
        <v>97</v>
      </c>
      <c r="J138" s="176">
        <f>G$31</f>
        <v>99</v>
      </c>
      <c r="K138" s="202">
        <f t="shared" si="15"/>
        <v>113.23</v>
      </c>
      <c r="L138" s="260">
        <f>H$31</f>
        <v>1</v>
      </c>
      <c r="M138" s="176">
        <f>I$31</f>
        <v>97</v>
      </c>
      <c r="N138" s="176">
        <f>J$31</f>
        <v>99</v>
      </c>
      <c r="O138" s="202">
        <f t="shared" si="16"/>
        <v>4280.12</v>
      </c>
      <c r="P138" s="260">
        <f>K$31</f>
        <v>1</v>
      </c>
      <c r="Q138" s="176">
        <f>L$31</f>
        <v>97</v>
      </c>
      <c r="R138" s="98">
        <f>M$31</f>
        <v>99</v>
      </c>
      <c r="S138" s="187"/>
      <c r="T138" s="187"/>
      <c r="U138" s="187"/>
      <c r="V138" s="187"/>
      <c r="W138" s="187"/>
      <c r="X138" s="187"/>
      <c r="Y138" s="187"/>
    </row>
    <row r="139" spans="1:25" ht="12.75">
      <c r="A139" s="187" t="s">
        <v>213</v>
      </c>
      <c r="B139" s="188">
        <v>15</v>
      </c>
      <c r="C139" s="202">
        <f t="shared" si="13"/>
        <v>4.95</v>
      </c>
      <c r="D139" s="260">
        <f>B$32</f>
        <v>5</v>
      </c>
      <c r="E139" s="176">
        <f>C$32</f>
        <v>53.3</v>
      </c>
      <c r="F139" s="176">
        <f>D$32</f>
        <v>69.1</v>
      </c>
      <c r="G139" s="202">
        <f t="shared" si="14"/>
        <v>130.65</v>
      </c>
      <c r="H139" s="260">
        <f>E$32</f>
        <v>5</v>
      </c>
      <c r="I139" s="176">
        <f>F$32</f>
        <v>66.6</v>
      </c>
      <c r="J139" s="176">
        <f>G$32</f>
        <v>78.2</v>
      </c>
      <c r="K139" s="202">
        <f t="shared" si="15"/>
        <v>130.65</v>
      </c>
      <c r="L139" s="260">
        <f>H$32</f>
        <v>4</v>
      </c>
      <c r="M139" s="176">
        <f>I$32</f>
        <v>81.8</v>
      </c>
      <c r="N139" s="176">
        <f>J$32</f>
        <v>88.6</v>
      </c>
      <c r="O139" s="202">
        <f t="shared" si="16"/>
        <v>4938.6</v>
      </c>
      <c r="P139" s="260">
        <f>K$32</f>
        <v>2</v>
      </c>
      <c r="Q139" s="176">
        <f>L$32</f>
        <v>97</v>
      </c>
      <c r="R139" s="98">
        <f>M$32</f>
        <v>99</v>
      </c>
      <c r="S139" s="187"/>
      <c r="T139" s="187"/>
      <c r="U139" s="187"/>
      <c r="V139" s="187"/>
      <c r="W139" s="187"/>
      <c r="X139" s="187"/>
      <c r="Y139" s="187"/>
    </row>
    <row r="140" spans="1:25" ht="12.75">
      <c r="A140" s="187" t="s">
        <v>214</v>
      </c>
      <c r="B140" s="188">
        <v>10</v>
      </c>
      <c r="C140" s="202">
        <f t="shared" si="13"/>
        <v>3.3</v>
      </c>
      <c r="D140" s="260">
        <f>B$33</f>
        <v>1</v>
      </c>
      <c r="E140" s="176">
        <f>C$33</f>
        <v>97</v>
      </c>
      <c r="F140" s="176">
        <f>D$33</f>
        <v>99</v>
      </c>
      <c r="G140" s="202">
        <f t="shared" si="14"/>
        <v>87.1</v>
      </c>
      <c r="H140" s="260">
        <f>E$33</f>
        <v>1</v>
      </c>
      <c r="I140" s="176">
        <f>F$33</f>
        <v>97</v>
      </c>
      <c r="J140" s="176">
        <f>G$33</f>
        <v>99</v>
      </c>
      <c r="K140" s="202">
        <f t="shared" si="15"/>
        <v>87.1</v>
      </c>
      <c r="L140" s="260">
        <f>H$33</f>
        <v>1</v>
      </c>
      <c r="M140" s="176">
        <f>I$33</f>
        <v>97</v>
      </c>
      <c r="N140" s="176">
        <f>J$33</f>
        <v>99</v>
      </c>
      <c r="O140" s="202">
        <f t="shared" si="16"/>
        <v>3292.4</v>
      </c>
      <c r="P140" s="260">
        <f>K$33</f>
        <v>1</v>
      </c>
      <c r="Q140" s="176">
        <f>L$33</f>
        <v>97</v>
      </c>
      <c r="R140" s="98">
        <f>M$33</f>
        <v>99</v>
      </c>
      <c r="S140" s="187"/>
      <c r="T140" s="187"/>
      <c r="U140" s="187"/>
      <c r="V140" s="187"/>
      <c r="W140" s="187"/>
      <c r="X140" s="187"/>
      <c r="Y140" s="187"/>
    </row>
    <row r="141" spans="1:25" ht="12.75">
      <c r="A141" s="187" t="s">
        <v>226</v>
      </c>
      <c r="B141" s="188">
        <v>5</v>
      </c>
      <c r="C141" s="202">
        <f t="shared" si="13"/>
        <v>1.65</v>
      </c>
      <c r="D141" s="260">
        <f>B$34</f>
        <v>1</v>
      </c>
      <c r="E141" s="176">
        <f>C$34</f>
        <v>97</v>
      </c>
      <c r="F141" s="176">
        <f>D$34</f>
        <v>99</v>
      </c>
      <c r="G141" s="202">
        <f t="shared" si="14"/>
        <v>43.55</v>
      </c>
      <c r="H141" s="260">
        <f>E$34</f>
        <v>1</v>
      </c>
      <c r="I141" s="176">
        <f>F$34</f>
        <v>97</v>
      </c>
      <c r="J141" s="176">
        <f>G$34</f>
        <v>99</v>
      </c>
      <c r="K141" s="202">
        <f t="shared" si="15"/>
        <v>43.55</v>
      </c>
      <c r="L141" s="260">
        <f>H$34</f>
        <v>1</v>
      </c>
      <c r="M141" s="176">
        <f>I$34</f>
        <v>97</v>
      </c>
      <c r="N141" s="176">
        <f>J$34</f>
        <v>99</v>
      </c>
      <c r="O141" s="202">
        <f t="shared" si="16"/>
        <v>1646.2</v>
      </c>
      <c r="P141" s="260">
        <f>K$34</f>
        <v>1</v>
      </c>
      <c r="Q141" s="176">
        <f>L$34</f>
        <v>97</v>
      </c>
      <c r="R141" s="98">
        <f>M$34</f>
        <v>99</v>
      </c>
      <c r="S141" s="187"/>
      <c r="T141" s="187"/>
      <c r="U141" s="187"/>
      <c r="V141" s="187"/>
      <c r="W141" s="187"/>
      <c r="X141" s="187"/>
      <c r="Y141" s="187"/>
    </row>
    <row r="142" spans="1:25" ht="12.75">
      <c r="A142" s="187" t="s">
        <v>236</v>
      </c>
      <c r="B142" s="188">
        <v>2</v>
      </c>
      <c r="C142" s="202">
        <f t="shared" si="13"/>
        <v>0.66</v>
      </c>
      <c r="D142" s="260">
        <f>B$35</f>
        <v>1</v>
      </c>
      <c r="E142" s="176">
        <f>C$35</f>
        <v>97</v>
      </c>
      <c r="F142" s="176">
        <f>D$35</f>
        <v>99</v>
      </c>
      <c r="G142" s="202">
        <f t="shared" si="14"/>
        <v>17.42</v>
      </c>
      <c r="H142" s="260">
        <f>E$35</f>
        <v>1</v>
      </c>
      <c r="I142" s="176">
        <f>F$35</f>
        <v>97</v>
      </c>
      <c r="J142" s="176">
        <f>G$35</f>
        <v>99</v>
      </c>
      <c r="K142" s="202">
        <f t="shared" si="15"/>
        <v>17.42</v>
      </c>
      <c r="L142" s="260">
        <f>H$35</f>
        <v>1</v>
      </c>
      <c r="M142" s="176">
        <f>I$35</f>
        <v>97</v>
      </c>
      <c r="N142" s="176">
        <f>J$35</f>
        <v>99</v>
      </c>
      <c r="O142" s="202">
        <f t="shared" si="16"/>
        <v>658.48</v>
      </c>
      <c r="P142" s="260">
        <f>K$35</f>
        <v>1</v>
      </c>
      <c r="Q142" s="176">
        <f>L$35</f>
        <v>97</v>
      </c>
      <c r="R142" s="98">
        <f>M$35</f>
        <v>99</v>
      </c>
      <c r="S142" s="187"/>
      <c r="T142" s="187"/>
      <c r="U142" s="187"/>
      <c r="V142" s="187"/>
      <c r="W142" s="187"/>
      <c r="X142" s="187"/>
      <c r="Y142" s="187"/>
    </row>
    <row r="143" spans="1:25" ht="12.75">
      <c r="A143" s="190" t="s">
        <v>812</v>
      </c>
      <c r="B143" s="189">
        <f>SUM(B144:B152)</f>
        <v>100</v>
      </c>
      <c r="C143" s="203">
        <v>70</v>
      </c>
      <c r="D143" s="261"/>
      <c r="E143" s="199">
        <f>SUMPRODUCT($B144:$B152,E144:E152)/100</f>
        <v>93.238</v>
      </c>
      <c r="F143" s="199">
        <f>SUMPRODUCT($B144:$B152,F144:F152)/100</f>
        <v>96.426</v>
      </c>
      <c r="G143" s="203">
        <v>580</v>
      </c>
      <c r="H143" s="261"/>
      <c r="I143" s="199">
        <f>SUMPRODUCT($B144:$B152,I144:I152)/100</f>
        <v>94.70100000000001</v>
      </c>
      <c r="J143" s="199">
        <f>SUMPRODUCT($B144:$B152,J144:J152)/100</f>
        <v>97.427</v>
      </c>
      <c r="K143" s="203">
        <v>580</v>
      </c>
      <c r="L143" s="261"/>
      <c r="M143" s="199">
        <f>SUMPRODUCT($B144:$B152,M144:M152)/100</f>
        <v>96.37299999999999</v>
      </c>
      <c r="N143" s="199">
        <f>SUMPRODUCT($B144:$B152,N144:N152)/100</f>
        <v>98.571</v>
      </c>
      <c r="O143" s="203">
        <v>7749</v>
      </c>
      <c r="P143" s="261"/>
      <c r="Q143" s="199">
        <f>SUMPRODUCT($B144:$B152,Q144:Q152)/100</f>
        <v>97</v>
      </c>
      <c r="R143" s="209">
        <f>SUMPRODUCT($B144:$B152,R144:R152)/100</f>
        <v>99</v>
      </c>
      <c r="S143" s="187"/>
      <c r="T143" s="187"/>
      <c r="U143" s="187"/>
      <c r="V143" s="187"/>
      <c r="W143" s="187"/>
      <c r="X143" s="187"/>
      <c r="Y143" s="187"/>
    </row>
    <row r="144" spans="1:25" ht="12.75">
      <c r="A144" s="187" t="s">
        <v>223</v>
      </c>
      <c r="B144" s="188">
        <v>29</v>
      </c>
      <c r="C144" s="202">
        <f>$C$143*B144/100</f>
        <v>20.3</v>
      </c>
      <c r="D144" s="260">
        <f>B$36</f>
        <v>1</v>
      </c>
      <c r="E144" s="176">
        <f>C$36</f>
        <v>97</v>
      </c>
      <c r="F144" s="176">
        <f>D$36</f>
        <v>99</v>
      </c>
      <c r="G144" s="202">
        <f>$G$143*B144/100</f>
        <v>168.2</v>
      </c>
      <c r="H144" s="260">
        <f>E$36</f>
        <v>1</v>
      </c>
      <c r="I144" s="176">
        <f>F$36</f>
        <v>97</v>
      </c>
      <c r="J144" s="176">
        <f>G$36</f>
        <v>99</v>
      </c>
      <c r="K144" s="202">
        <f>$K$143*B144/100</f>
        <v>168.2</v>
      </c>
      <c r="L144" s="260">
        <f>H$36</f>
        <v>1</v>
      </c>
      <c r="M144" s="176">
        <f>I$36</f>
        <v>97</v>
      </c>
      <c r="N144" s="176">
        <f>J$36</f>
        <v>99</v>
      </c>
      <c r="O144" s="202">
        <f>$O$143*B144/100</f>
        <v>2247.21</v>
      </c>
      <c r="P144" s="260">
        <f>K$36</f>
        <v>1</v>
      </c>
      <c r="Q144" s="176">
        <f>L$36</f>
        <v>97</v>
      </c>
      <c r="R144" s="98">
        <f>M$36</f>
        <v>99</v>
      </c>
      <c r="S144" s="187"/>
      <c r="T144" s="187"/>
      <c r="U144" s="187"/>
      <c r="V144" s="187"/>
      <c r="W144" s="187"/>
      <c r="X144" s="187"/>
      <c r="Y144" s="187"/>
    </row>
    <row r="145" spans="1:25" ht="12.75">
      <c r="A145" s="187" t="s">
        <v>224</v>
      </c>
      <c r="B145" s="188">
        <v>8</v>
      </c>
      <c r="C145" s="202">
        <f aca="true" t="shared" si="17" ref="C145:C152">$C$143*B145/100</f>
        <v>5.6</v>
      </c>
      <c r="D145" s="260">
        <f>B$37</f>
        <v>1</v>
      </c>
      <c r="E145" s="176">
        <f>C$37</f>
        <v>97</v>
      </c>
      <c r="F145" s="176">
        <f>D$37</f>
        <v>99</v>
      </c>
      <c r="G145" s="202">
        <f aca="true" t="shared" si="18" ref="G145:G152">$G$143*B145/100</f>
        <v>46.4</v>
      </c>
      <c r="H145" s="260">
        <f>E$37</f>
        <v>1</v>
      </c>
      <c r="I145" s="176">
        <f>F$37</f>
        <v>97</v>
      </c>
      <c r="J145" s="176">
        <f>G$37</f>
        <v>99</v>
      </c>
      <c r="K145" s="202">
        <f aca="true" t="shared" si="19" ref="K145:K152">$K$143*B145/100</f>
        <v>46.4</v>
      </c>
      <c r="L145" s="260">
        <f>H$37</f>
        <v>1</v>
      </c>
      <c r="M145" s="176">
        <f>I$37</f>
        <v>97</v>
      </c>
      <c r="N145" s="176">
        <f>J$37</f>
        <v>99</v>
      </c>
      <c r="O145" s="202">
        <f aca="true" t="shared" si="20" ref="O145:O152">$O$143*B145/100</f>
        <v>619.92</v>
      </c>
      <c r="P145" s="260">
        <f>K$37</f>
        <v>1</v>
      </c>
      <c r="Q145" s="176">
        <f>L$37</f>
        <v>97</v>
      </c>
      <c r="R145" s="98">
        <f>M$37</f>
        <v>99</v>
      </c>
      <c r="S145" s="187"/>
      <c r="T145" s="187"/>
      <c r="U145" s="187"/>
      <c r="V145" s="187"/>
      <c r="W145" s="187"/>
      <c r="X145" s="187"/>
      <c r="Y145" s="187"/>
    </row>
    <row r="146" spans="1:25" ht="12.75">
      <c r="A146" s="187" t="s">
        <v>440</v>
      </c>
      <c r="B146" s="188">
        <v>12</v>
      </c>
      <c r="C146" s="202">
        <f t="shared" si="17"/>
        <v>8.4</v>
      </c>
      <c r="D146" s="260">
        <f>B$38</f>
        <v>1</v>
      </c>
      <c r="E146" s="176">
        <f>C$38</f>
        <v>97</v>
      </c>
      <c r="F146" s="176">
        <f>D$38</f>
        <v>99</v>
      </c>
      <c r="G146" s="202">
        <f t="shared" si="18"/>
        <v>69.6</v>
      </c>
      <c r="H146" s="260">
        <f>E$38</f>
        <v>1</v>
      </c>
      <c r="I146" s="176">
        <f>F$38</f>
        <v>97</v>
      </c>
      <c r="J146" s="176">
        <f>G$38</f>
        <v>99</v>
      </c>
      <c r="K146" s="202">
        <f t="shared" si="19"/>
        <v>69.6</v>
      </c>
      <c r="L146" s="260">
        <f>H$38</f>
        <v>1</v>
      </c>
      <c r="M146" s="176">
        <f>I$38</f>
        <v>97</v>
      </c>
      <c r="N146" s="176">
        <f>J$38</f>
        <v>99</v>
      </c>
      <c r="O146" s="202">
        <f t="shared" si="20"/>
        <v>929.88</v>
      </c>
      <c r="P146" s="260">
        <f>K$38</f>
        <v>1</v>
      </c>
      <c r="Q146" s="176">
        <f>L$38</f>
        <v>97</v>
      </c>
      <c r="R146" s="98">
        <f>M$38</f>
        <v>99</v>
      </c>
      <c r="S146" s="187"/>
      <c r="T146" s="187"/>
      <c r="U146" s="187"/>
      <c r="V146" s="187"/>
      <c r="W146" s="187"/>
      <c r="X146" s="187"/>
      <c r="Y146" s="187"/>
    </row>
    <row r="147" spans="1:25" ht="12.75">
      <c r="A147" s="187" t="s">
        <v>225</v>
      </c>
      <c r="B147" s="188">
        <v>12</v>
      </c>
      <c r="C147" s="202">
        <f t="shared" si="17"/>
        <v>8.4</v>
      </c>
      <c r="D147" s="260">
        <f>B$39</f>
        <v>1</v>
      </c>
      <c r="E147" s="176">
        <f>C$39</f>
        <v>97</v>
      </c>
      <c r="F147" s="176">
        <f>D$39</f>
        <v>99</v>
      </c>
      <c r="G147" s="202">
        <f t="shared" si="18"/>
        <v>69.6</v>
      </c>
      <c r="H147" s="260">
        <f>E$39</f>
        <v>1</v>
      </c>
      <c r="I147" s="176">
        <f>F$39</f>
        <v>97</v>
      </c>
      <c r="J147" s="176">
        <f>G$39</f>
        <v>99</v>
      </c>
      <c r="K147" s="202">
        <f t="shared" si="19"/>
        <v>69.6</v>
      </c>
      <c r="L147" s="260">
        <f>H$39</f>
        <v>1</v>
      </c>
      <c r="M147" s="176">
        <f>I$39</f>
        <v>97</v>
      </c>
      <c r="N147" s="176">
        <f>J$39</f>
        <v>99</v>
      </c>
      <c r="O147" s="202">
        <f t="shared" si="20"/>
        <v>929.88</v>
      </c>
      <c r="P147" s="260">
        <f>K$39</f>
        <v>1</v>
      </c>
      <c r="Q147" s="176">
        <f>L$39</f>
        <v>97</v>
      </c>
      <c r="R147" s="98">
        <f>M$39</f>
        <v>99</v>
      </c>
      <c r="S147" s="187"/>
      <c r="T147" s="187"/>
      <c r="U147" s="187"/>
      <c r="V147" s="187"/>
      <c r="W147" s="187"/>
      <c r="X147" s="187"/>
      <c r="Y147" s="187"/>
    </row>
    <row r="148" spans="1:25" ht="12.75">
      <c r="A148" s="187" t="s">
        <v>441</v>
      </c>
      <c r="B148" s="188">
        <v>11</v>
      </c>
      <c r="C148" s="202">
        <f t="shared" si="17"/>
        <v>7.7</v>
      </c>
      <c r="D148" s="260">
        <f>B$40</f>
        <v>5</v>
      </c>
      <c r="E148" s="176">
        <f>C$40</f>
        <v>62.8</v>
      </c>
      <c r="F148" s="176">
        <f>D$40</f>
        <v>75.6</v>
      </c>
      <c r="G148" s="202">
        <f t="shared" si="18"/>
        <v>63.8</v>
      </c>
      <c r="H148" s="260">
        <f>E$40</f>
        <v>4</v>
      </c>
      <c r="I148" s="176">
        <f>F$40</f>
        <v>76.1</v>
      </c>
      <c r="J148" s="176">
        <f>G$40</f>
        <v>84.7</v>
      </c>
      <c r="K148" s="202">
        <f t="shared" si="19"/>
        <v>63.8</v>
      </c>
      <c r="L148" s="260">
        <f>H$40</f>
        <v>4</v>
      </c>
      <c r="M148" s="176">
        <f>I$40</f>
        <v>91.3</v>
      </c>
      <c r="N148" s="176">
        <f>J$40</f>
        <v>95.1</v>
      </c>
      <c r="O148" s="202">
        <f t="shared" si="20"/>
        <v>852.39</v>
      </c>
      <c r="P148" s="260">
        <f>K$40</f>
        <v>2</v>
      </c>
      <c r="Q148" s="176">
        <f>L$40</f>
        <v>97</v>
      </c>
      <c r="R148" s="98">
        <f>M$40</f>
        <v>99</v>
      </c>
      <c r="S148" s="187"/>
      <c r="T148" s="187"/>
      <c r="U148" s="187"/>
      <c r="V148" s="187"/>
      <c r="W148" s="187"/>
      <c r="X148" s="187"/>
      <c r="Y148" s="187"/>
    </row>
    <row r="149" spans="1:25" ht="12.75">
      <c r="A149" s="187" t="s">
        <v>226</v>
      </c>
      <c r="B149" s="188">
        <v>10</v>
      </c>
      <c r="C149" s="202">
        <f t="shared" si="17"/>
        <v>7</v>
      </c>
      <c r="D149" s="260">
        <f>B$34</f>
        <v>1</v>
      </c>
      <c r="E149" s="176">
        <f>C$34</f>
        <v>97</v>
      </c>
      <c r="F149" s="176">
        <f>D$34</f>
        <v>99</v>
      </c>
      <c r="G149" s="202">
        <f t="shared" si="18"/>
        <v>58</v>
      </c>
      <c r="H149" s="260">
        <f>E$34</f>
        <v>1</v>
      </c>
      <c r="I149" s="176">
        <f>F$34</f>
        <v>97</v>
      </c>
      <c r="J149" s="176">
        <f>G$34</f>
        <v>99</v>
      </c>
      <c r="K149" s="202">
        <f t="shared" si="19"/>
        <v>58</v>
      </c>
      <c r="L149" s="260">
        <f>H$34</f>
        <v>1</v>
      </c>
      <c r="M149" s="176">
        <f>I$34</f>
        <v>97</v>
      </c>
      <c r="N149" s="176">
        <f>J$34</f>
        <v>99</v>
      </c>
      <c r="O149" s="202">
        <f t="shared" si="20"/>
        <v>774.9</v>
      </c>
      <c r="P149" s="260">
        <f>K$34</f>
        <v>1</v>
      </c>
      <c r="Q149" s="176">
        <f>L$34</f>
        <v>97</v>
      </c>
      <c r="R149" s="98">
        <f>M$34</f>
        <v>99</v>
      </c>
      <c r="S149" s="187"/>
      <c r="T149" s="187"/>
      <c r="U149" s="187"/>
      <c r="V149" s="187"/>
      <c r="W149" s="187"/>
      <c r="X149" s="187"/>
      <c r="Y149" s="187"/>
    </row>
    <row r="150" spans="1:25" ht="12.75">
      <c r="A150" s="187" t="s">
        <v>437</v>
      </c>
      <c r="B150" s="188">
        <v>3</v>
      </c>
      <c r="C150" s="202">
        <f t="shared" si="17"/>
        <v>2.1</v>
      </c>
      <c r="D150" s="260">
        <f>B$30</f>
        <v>1</v>
      </c>
      <c r="E150" s="176">
        <f>C$30</f>
        <v>97</v>
      </c>
      <c r="F150" s="176">
        <f>D$30</f>
        <v>99</v>
      </c>
      <c r="G150" s="202">
        <f t="shared" si="18"/>
        <v>17.4</v>
      </c>
      <c r="H150" s="260">
        <f>E$30</f>
        <v>1</v>
      </c>
      <c r="I150" s="176">
        <f>F$30</f>
        <v>97</v>
      </c>
      <c r="J150" s="176">
        <f>G$30</f>
        <v>99</v>
      </c>
      <c r="K150" s="202">
        <f t="shared" si="19"/>
        <v>17.4</v>
      </c>
      <c r="L150" s="260">
        <f>H$30</f>
        <v>1</v>
      </c>
      <c r="M150" s="176">
        <f>I$30</f>
        <v>97</v>
      </c>
      <c r="N150" s="176">
        <f>J$30</f>
        <v>99</v>
      </c>
      <c r="O150" s="202">
        <f t="shared" si="20"/>
        <v>232.47</v>
      </c>
      <c r="P150" s="260">
        <f>K$30</f>
        <v>1</v>
      </c>
      <c r="Q150" s="176">
        <f>L$30</f>
        <v>97</v>
      </c>
      <c r="R150" s="98">
        <f>M$30</f>
        <v>99</v>
      </c>
      <c r="S150" s="187"/>
      <c r="T150" s="187"/>
      <c r="U150" s="187"/>
      <c r="V150" s="187"/>
      <c r="W150" s="187"/>
      <c r="X150" s="187"/>
      <c r="Y150" s="187"/>
    </row>
    <row r="151" spans="1:25" ht="12.75">
      <c r="A151" s="187" t="s">
        <v>227</v>
      </c>
      <c r="B151" s="188">
        <v>4</v>
      </c>
      <c r="C151" s="202">
        <f t="shared" si="17"/>
        <v>2.8</v>
      </c>
      <c r="D151" s="260">
        <f>B$41</f>
        <v>1</v>
      </c>
      <c r="E151" s="176">
        <f>C$41</f>
        <v>97</v>
      </c>
      <c r="F151" s="176">
        <f>D$41</f>
        <v>99</v>
      </c>
      <c r="G151" s="202">
        <f t="shared" si="18"/>
        <v>23.2</v>
      </c>
      <c r="H151" s="260">
        <f>E$41</f>
        <v>1</v>
      </c>
      <c r="I151" s="176">
        <f>F$41</f>
        <v>97</v>
      </c>
      <c r="J151" s="176">
        <f>G$41</f>
        <v>99</v>
      </c>
      <c r="K151" s="202">
        <f t="shared" si="19"/>
        <v>23.2</v>
      </c>
      <c r="L151" s="260">
        <f>H$41</f>
        <v>1</v>
      </c>
      <c r="M151" s="176">
        <f>I$41</f>
        <v>97</v>
      </c>
      <c r="N151" s="176">
        <f>J$41</f>
        <v>99</v>
      </c>
      <c r="O151" s="202">
        <f t="shared" si="20"/>
        <v>309.96</v>
      </c>
      <c r="P151" s="260">
        <f>K$41</f>
        <v>1</v>
      </c>
      <c r="Q151" s="176">
        <f>L$41</f>
        <v>97</v>
      </c>
      <c r="R151" s="98">
        <f>M$41</f>
        <v>99</v>
      </c>
      <c r="S151" s="187"/>
      <c r="T151" s="187"/>
      <c r="U151" s="187"/>
      <c r="V151" s="187"/>
      <c r="W151" s="187"/>
      <c r="X151" s="187"/>
      <c r="Y151" s="187"/>
    </row>
    <row r="152" spans="1:25" ht="12.75">
      <c r="A152" s="187" t="s">
        <v>228</v>
      </c>
      <c r="B152" s="188">
        <v>11</v>
      </c>
      <c r="C152" s="202">
        <f t="shared" si="17"/>
        <v>7.7</v>
      </c>
      <c r="D152" s="260">
        <f>B$42</f>
        <v>1</v>
      </c>
      <c r="E152" s="176">
        <f>C$42</f>
        <v>97</v>
      </c>
      <c r="F152" s="176">
        <f>D$42</f>
        <v>99</v>
      </c>
      <c r="G152" s="202">
        <f t="shared" si="18"/>
        <v>63.8</v>
      </c>
      <c r="H152" s="260">
        <f>E$42</f>
        <v>1</v>
      </c>
      <c r="I152" s="176">
        <f>F$42</f>
        <v>97</v>
      </c>
      <c r="J152" s="176">
        <f>G$42</f>
        <v>99</v>
      </c>
      <c r="K152" s="202">
        <f t="shared" si="19"/>
        <v>63.8</v>
      </c>
      <c r="L152" s="260">
        <f>H$42</f>
        <v>1</v>
      </c>
      <c r="M152" s="176">
        <f>I$42</f>
        <v>97</v>
      </c>
      <c r="N152" s="176">
        <f>J$42</f>
        <v>99</v>
      </c>
      <c r="O152" s="202">
        <f t="shared" si="20"/>
        <v>852.39</v>
      </c>
      <c r="P152" s="260">
        <f>K$42</f>
        <v>1</v>
      </c>
      <c r="Q152" s="176">
        <f>L$42</f>
        <v>97</v>
      </c>
      <c r="R152" s="98">
        <f>M$42</f>
        <v>99</v>
      </c>
      <c r="S152" s="187"/>
      <c r="T152" s="187"/>
      <c r="U152" s="187"/>
      <c r="V152" s="187"/>
      <c r="W152" s="187"/>
      <c r="X152" s="187"/>
      <c r="Y152" s="187"/>
    </row>
    <row r="153" spans="1:25" ht="12.75">
      <c r="A153" s="190" t="s">
        <v>814</v>
      </c>
      <c r="B153" s="189">
        <f>SUM(B154:B160)</f>
        <v>100</v>
      </c>
      <c r="C153" s="203"/>
      <c r="D153" s="261"/>
      <c r="E153" s="199">
        <f>SUMPRODUCT($B154:$B160,E154:E160)/100</f>
        <v>94.264</v>
      </c>
      <c r="F153" s="199">
        <f>SUMPRODUCT($B154:$B160,F154:F160)/100</f>
        <v>97.12799999999999</v>
      </c>
      <c r="G153" s="203">
        <v>1226</v>
      </c>
      <c r="H153" s="261"/>
      <c r="I153" s="199">
        <f>SUMPRODUCT($B154:$B160,I154:I160)/100</f>
        <v>95.32799999999999</v>
      </c>
      <c r="J153" s="199">
        <f>SUMPRODUCT($B154:$B160,J154:J160)/100</f>
        <v>97.85600000000001</v>
      </c>
      <c r="K153" s="203">
        <v>1226</v>
      </c>
      <c r="L153" s="261"/>
      <c r="M153" s="199">
        <f>SUMPRODUCT($B154:$B160,M154:M160)/100</f>
        <v>96.544</v>
      </c>
      <c r="N153" s="199">
        <f>SUMPRODUCT($B154:$B160,N154:N160)/100</f>
        <v>98.68799999999999</v>
      </c>
      <c r="O153" s="203">
        <v>4240</v>
      </c>
      <c r="P153" s="261"/>
      <c r="Q153" s="199">
        <f>SUMPRODUCT($B154:$B160,Q154:Q160)/100</f>
        <v>97</v>
      </c>
      <c r="R153" s="209">
        <f>SUMPRODUCT($B154:$B160,R154:R160)/100</f>
        <v>99</v>
      </c>
      <c r="S153" s="187"/>
      <c r="T153" s="187"/>
      <c r="U153" s="187"/>
      <c r="V153" s="187"/>
      <c r="W153" s="187"/>
      <c r="X153" s="187"/>
      <c r="Y153" s="187"/>
    </row>
    <row r="154" spans="1:25" ht="12.75">
      <c r="A154" s="187" t="s">
        <v>207</v>
      </c>
      <c r="B154" s="188">
        <v>48</v>
      </c>
      <c r="C154" s="202"/>
      <c r="D154" s="260">
        <f>B$43</f>
        <v>1</v>
      </c>
      <c r="E154" s="176">
        <f>C$43</f>
        <v>97</v>
      </c>
      <c r="F154" s="176">
        <f>D$43</f>
        <v>99</v>
      </c>
      <c r="G154" s="202">
        <f>$G$153*B154/100</f>
        <v>588.48</v>
      </c>
      <c r="H154" s="260">
        <f>E$43</f>
        <v>1</v>
      </c>
      <c r="I154" s="176">
        <f>F$43</f>
        <v>97</v>
      </c>
      <c r="J154" s="176">
        <f>G$43</f>
        <v>99</v>
      </c>
      <c r="K154" s="202">
        <f>$K$153*B154/100</f>
        <v>588.48</v>
      </c>
      <c r="L154" s="260">
        <f>H$43</f>
        <v>1</v>
      </c>
      <c r="M154" s="176">
        <f>I$43</f>
        <v>97</v>
      </c>
      <c r="N154" s="176">
        <f>J$43</f>
        <v>99</v>
      </c>
      <c r="O154" s="202">
        <f>$O$153*B154/100</f>
        <v>2035.2</v>
      </c>
      <c r="P154" s="260">
        <f>K$43</f>
        <v>1</v>
      </c>
      <c r="Q154" s="176">
        <f>L$43</f>
        <v>97</v>
      </c>
      <c r="R154" s="98">
        <f>M$43</f>
        <v>99</v>
      </c>
      <c r="S154" s="187"/>
      <c r="T154" s="187"/>
      <c r="U154" s="187"/>
      <c r="V154" s="187"/>
      <c r="W154" s="187"/>
      <c r="X154" s="187"/>
      <c r="Y154" s="187"/>
    </row>
    <row r="155" spans="1:25" ht="12.75">
      <c r="A155" s="187" t="s">
        <v>182</v>
      </c>
      <c r="B155" s="188">
        <v>22</v>
      </c>
      <c r="C155" s="202"/>
      <c r="D155" s="260">
        <f>B$44</f>
        <v>1</v>
      </c>
      <c r="E155" s="176">
        <f>C$44</f>
        <v>97</v>
      </c>
      <c r="F155" s="176">
        <f>D$44</f>
        <v>99</v>
      </c>
      <c r="G155" s="202">
        <f aca="true" t="shared" si="21" ref="G155:G160">$G$153*B155/100</f>
        <v>269.72</v>
      </c>
      <c r="H155" s="260">
        <f>E$44</f>
        <v>1</v>
      </c>
      <c r="I155" s="176">
        <f>F$44</f>
        <v>97</v>
      </c>
      <c r="J155" s="176">
        <f>G$44</f>
        <v>99</v>
      </c>
      <c r="K155" s="202">
        <f aca="true" t="shared" si="22" ref="K155:K160">$K$153*B155/100</f>
        <v>269.72</v>
      </c>
      <c r="L155" s="260">
        <f>H$44</f>
        <v>1</v>
      </c>
      <c r="M155" s="176">
        <f>I$44</f>
        <v>97</v>
      </c>
      <c r="N155" s="176">
        <f>J$44</f>
        <v>99</v>
      </c>
      <c r="O155" s="202">
        <f aca="true" t="shared" si="23" ref="O155:O160">$O$153*B155/100</f>
        <v>932.8</v>
      </c>
      <c r="P155" s="260">
        <f>K$44</f>
        <v>1</v>
      </c>
      <c r="Q155" s="176">
        <f>L$44</f>
        <v>97</v>
      </c>
      <c r="R155" s="98">
        <f>M$44</f>
        <v>99</v>
      </c>
      <c r="S155" s="187"/>
      <c r="T155" s="187"/>
      <c r="U155" s="187"/>
      <c r="V155" s="187"/>
      <c r="W155" s="187"/>
      <c r="X155" s="187"/>
      <c r="Y155" s="187"/>
    </row>
    <row r="156" spans="1:25" ht="12.75">
      <c r="A156" s="187" t="s">
        <v>283</v>
      </c>
      <c r="B156" s="188">
        <v>5</v>
      </c>
      <c r="C156" s="202"/>
      <c r="D156" s="260">
        <f>B$45</f>
        <v>1</v>
      </c>
      <c r="E156" s="176">
        <f>C$45</f>
        <v>97</v>
      </c>
      <c r="F156" s="176">
        <f>D$45</f>
        <v>99</v>
      </c>
      <c r="G156" s="202">
        <f t="shared" si="21"/>
        <v>61.3</v>
      </c>
      <c r="H156" s="260">
        <f>E$45</f>
        <v>1</v>
      </c>
      <c r="I156" s="176">
        <f>F$45</f>
        <v>97</v>
      </c>
      <c r="J156" s="176">
        <f>G$45</f>
        <v>99</v>
      </c>
      <c r="K156" s="202">
        <f t="shared" si="22"/>
        <v>61.3</v>
      </c>
      <c r="L156" s="260">
        <f>H$45</f>
        <v>1</v>
      </c>
      <c r="M156" s="176">
        <f>I$45</f>
        <v>97</v>
      </c>
      <c r="N156" s="176">
        <f>J$45</f>
        <v>99</v>
      </c>
      <c r="O156" s="202">
        <f t="shared" si="23"/>
        <v>212</v>
      </c>
      <c r="P156" s="260">
        <f>K$45</f>
        <v>1</v>
      </c>
      <c r="Q156" s="176">
        <f>L$45</f>
        <v>97</v>
      </c>
      <c r="R156" s="98">
        <f>M$45</f>
        <v>99</v>
      </c>
      <c r="S156" s="187"/>
      <c r="T156" s="187"/>
      <c r="U156" s="187"/>
      <c r="V156" s="187"/>
      <c r="W156" s="187"/>
      <c r="X156" s="187"/>
      <c r="Y156" s="187"/>
    </row>
    <row r="157" spans="1:25" ht="12.75">
      <c r="A157" s="187" t="s">
        <v>813</v>
      </c>
      <c r="B157" s="188">
        <v>8</v>
      </c>
      <c r="C157" s="202"/>
      <c r="D157" s="260">
        <f>B$40</f>
        <v>5</v>
      </c>
      <c r="E157" s="176">
        <f>C$40</f>
        <v>62.8</v>
      </c>
      <c r="F157" s="176">
        <f>D$40</f>
        <v>75.6</v>
      </c>
      <c r="G157" s="202">
        <f t="shared" si="21"/>
        <v>98.08</v>
      </c>
      <c r="H157" s="260">
        <f>E$40</f>
        <v>4</v>
      </c>
      <c r="I157" s="176">
        <f>F$40</f>
        <v>76.1</v>
      </c>
      <c r="J157" s="176">
        <f>G$40</f>
        <v>84.7</v>
      </c>
      <c r="K157" s="202">
        <f t="shared" si="22"/>
        <v>98.08</v>
      </c>
      <c r="L157" s="260">
        <f>H$40</f>
        <v>4</v>
      </c>
      <c r="M157" s="176">
        <f>I$40</f>
        <v>91.3</v>
      </c>
      <c r="N157" s="176">
        <f>J$40</f>
        <v>95.1</v>
      </c>
      <c r="O157" s="202">
        <f t="shared" si="23"/>
        <v>339.2</v>
      </c>
      <c r="P157" s="260">
        <f>K$40</f>
        <v>2</v>
      </c>
      <c r="Q157" s="176">
        <f>L$40</f>
        <v>97</v>
      </c>
      <c r="R157" s="98">
        <f>M$40</f>
        <v>99</v>
      </c>
      <c r="S157" s="187"/>
      <c r="T157" s="187"/>
      <c r="U157" s="187"/>
      <c r="V157" s="187"/>
      <c r="W157" s="187"/>
      <c r="X157" s="187"/>
      <c r="Y157" s="187"/>
    </row>
    <row r="158" spans="1:25" ht="12.75">
      <c r="A158" s="187" t="s">
        <v>223</v>
      </c>
      <c r="B158" s="188">
        <v>5</v>
      </c>
      <c r="C158" s="202"/>
      <c r="D158" s="260">
        <f>B$36</f>
        <v>1</v>
      </c>
      <c r="E158" s="176">
        <f>C$36</f>
        <v>97</v>
      </c>
      <c r="F158" s="176">
        <f>D$36</f>
        <v>99</v>
      </c>
      <c r="G158" s="202">
        <f t="shared" si="21"/>
        <v>61.3</v>
      </c>
      <c r="H158" s="260">
        <f>E$36</f>
        <v>1</v>
      </c>
      <c r="I158" s="176">
        <f>F$36</f>
        <v>97</v>
      </c>
      <c r="J158" s="176">
        <f>G$36</f>
        <v>99</v>
      </c>
      <c r="K158" s="202">
        <f t="shared" si="22"/>
        <v>61.3</v>
      </c>
      <c r="L158" s="260">
        <f>H$36</f>
        <v>1</v>
      </c>
      <c r="M158" s="176">
        <f>I$36</f>
        <v>97</v>
      </c>
      <c r="N158" s="176">
        <f>J$36</f>
        <v>99</v>
      </c>
      <c r="O158" s="202">
        <f t="shared" si="23"/>
        <v>212</v>
      </c>
      <c r="P158" s="260">
        <f>K$36</f>
        <v>1</v>
      </c>
      <c r="Q158" s="176">
        <f>L$36</f>
        <v>97</v>
      </c>
      <c r="R158" s="98">
        <f>M$36</f>
        <v>99</v>
      </c>
      <c r="S158" s="187"/>
      <c r="T158" s="187"/>
      <c r="U158" s="187"/>
      <c r="V158" s="187"/>
      <c r="W158" s="187"/>
      <c r="X158" s="187"/>
      <c r="Y158" s="187"/>
    </row>
    <row r="159" spans="1:25" ht="12.75">
      <c r="A159" s="187" t="s">
        <v>228</v>
      </c>
      <c r="B159" s="188">
        <v>6</v>
      </c>
      <c r="C159" s="202"/>
      <c r="D159" s="260">
        <f>B$42</f>
        <v>1</v>
      </c>
      <c r="E159" s="176">
        <f>C$42</f>
        <v>97</v>
      </c>
      <c r="F159" s="176">
        <f>D$42</f>
        <v>99</v>
      </c>
      <c r="G159" s="202">
        <f t="shared" si="21"/>
        <v>73.56</v>
      </c>
      <c r="H159" s="260">
        <f>E$42</f>
        <v>1</v>
      </c>
      <c r="I159" s="176">
        <f>F$42</f>
        <v>97</v>
      </c>
      <c r="J159" s="176">
        <f>G$42</f>
        <v>99</v>
      </c>
      <c r="K159" s="202">
        <f t="shared" si="22"/>
        <v>73.56</v>
      </c>
      <c r="L159" s="260">
        <f>H$42</f>
        <v>1</v>
      </c>
      <c r="M159" s="176">
        <f>I$42</f>
        <v>97</v>
      </c>
      <c r="N159" s="176">
        <f>J$42</f>
        <v>99</v>
      </c>
      <c r="O159" s="202">
        <f t="shared" si="23"/>
        <v>254.4</v>
      </c>
      <c r="P159" s="260">
        <f>K$42</f>
        <v>1</v>
      </c>
      <c r="Q159" s="176">
        <f>L$42</f>
        <v>97</v>
      </c>
      <c r="R159" s="98">
        <f>M$42</f>
        <v>99</v>
      </c>
      <c r="S159" s="187"/>
      <c r="T159" s="187"/>
      <c r="U159" s="187"/>
      <c r="V159" s="187"/>
      <c r="W159" s="187"/>
      <c r="X159" s="187"/>
      <c r="Y159" s="187"/>
    </row>
    <row r="160" spans="1:25" ht="12.75">
      <c r="A160" s="187" t="s">
        <v>815</v>
      </c>
      <c r="B160" s="188">
        <v>6</v>
      </c>
      <c r="C160" s="202"/>
      <c r="D160" s="260">
        <f>B$46</f>
        <v>1</v>
      </c>
      <c r="E160" s="176">
        <f>C$46</f>
        <v>97</v>
      </c>
      <c r="F160" s="176">
        <f>D$46</f>
        <v>99</v>
      </c>
      <c r="G160" s="202">
        <f t="shared" si="21"/>
        <v>73.56</v>
      </c>
      <c r="H160" s="260">
        <f>E$46</f>
        <v>1</v>
      </c>
      <c r="I160" s="176">
        <f>F$46</f>
        <v>97</v>
      </c>
      <c r="J160" s="176">
        <f>G$46</f>
        <v>99</v>
      </c>
      <c r="K160" s="202">
        <f t="shared" si="22"/>
        <v>73.56</v>
      </c>
      <c r="L160" s="260">
        <f>H$46</f>
        <v>1</v>
      </c>
      <c r="M160" s="176">
        <f>I$46</f>
        <v>97</v>
      </c>
      <c r="N160" s="176">
        <f>J$46</f>
        <v>99</v>
      </c>
      <c r="O160" s="202">
        <f t="shared" si="23"/>
        <v>254.4</v>
      </c>
      <c r="P160" s="260">
        <f>K$46</f>
        <v>1</v>
      </c>
      <c r="Q160" s="176">
        <f>L$46</f>
        <v>97</v>
      </c>
      <c r="R160" s="98">
        <f>M$46</f>
        <v>99</v>
      </c>
      <c r="S160" s="187"/>
      <c r="T160" s="187"/>
      <c r="U160" s="187"/>
      <c r="V160" s="187"/>
      <c r="W160" s="187"/>
      <c r="X160" s="187"/>
      <c r="Y160" s="187"/>
    </row>
    <row r="161" spans="1:25" ht="12.75">
      <c r="A161" s="190" t="s">
        <v>818</v>
      </c>
      <c r="B161" s="189">
        <f>SUM(B162:B166)</f>
        <v>100</v>
      </c>
      <c r="C161" s="203">
        <v>56</v>
      </c>
      <c r="D161" s="261"/>
      <c r="E161" s="199">
        <f>SUMPRODUCT($B162:$B166,E162:E166)/100</f>
        <v>28.624000000000002</v>
      </c>
      <c r="F161" s="199">
        <f>SUMPRODUCT($B162:$B166,F162:F166)/100</f>
        <v>41.38266666666667</v>
      </c>
      <c r="G161" s="203">
        <v>1232</v>
      </c>
      <c r="H161" s="261"/>
      <c r="I161" s="199">
        <f>SUMPRODUCT($B162:$B166,I162:I166)/100</f>
        <v>35.03377777777778</v>
      </c>
      <c r="J161" s="199">
        <f>SUMPRODUCT($B162:$B166,J162:J166)/100</f>
        <v>49.729777777777784</v>
      </c>
      <c r="K161" s="203">
        <v>1232</v>
      </c>
      <c r="L161" s="261"/>
      <c r="M161" s="199">
        <f>SUMPRODUCT($B162:$B166,M162:M166)/100</f>
        <v>48.22466666666667</v>
      </c>
      <c r="N161" s="199">
        <f>SUMPRODUCT($B162:$B166,N162:N166)/100</f>
        <v>60.086000000000006</v>
      </c>
      <c r="O161" s="203">
        <v>9063</v>
      </c>
      <c r="P161" s="261"/>
      <c r="Q161" s="199">
        <f>SUMPRODUCT($B162:$B166,Q162:Q166)/100</f>
        <v>94.3271111111111</v>
      </c>
      <c r="R161" s="209">
        <f>SUMPRODUCT($B162:$B166,R162:R166)/100</f>
        <v>96.82311111111112</v>
      </c>
      <c r="S161" s="187"/>
      <c r="T161" s="187"/>
      <c r="U161" s="187"/>
      <c r="V161" s="187"/>
      <c r="W161" s="187"/>
      <c r="X161" s="187"/>
      <c r="Y161" s="187"/>
    </row>
    <row r="162" spans="1:25" ht="12.75">
      <c r="A162" s="187" t="s">
        <v>285</v>
      </c>
      <c r="B162" s="188">
        <v>25</v>
      </c>
      <c r="C162" s="202">
        <f>$C$161*B162/100</f>
        <v>14</v>
      </c>
      <c r="D162" s="260">
        <f>B$47</f>
        <v>7</v>
      </c>
      <c r="E162" s="176">
        <f>C$47</f>
        <v>75</v>
      </c>
      <c r="F162" s="176">
        <f>D$47</f>
        <v>85</v>
      </c>
      <c r="G162" s="202">
        <f>$G$161*B162/100</f>
        <v>308</v>
      </c>
      <c r="H162" s="260">
        <f>E$47</f>
        <v>7</v>
      </c>
      <c r="I162" s="176">
        <f>F$47</f>
        <v>75</v>
      </c>
      <c r="J162" s="176">
        <f>G$47</f>
        <v>85</v>
      </c>
      <c r="K162" s="202">
        <f>$K$161*B162/100</f>
        <v>308</v>
      </c>
      <c r="L162" s="260">
        <f>H$47</f>
        <v>7</v>
      </c>
      <c r="M162" s="176">
        <f>I$47</f>
        <v>80.13333333333334</v>
      </c>
      <c r="N162" s="176">
        <f>J$47</f>
        <v>88.26666666666667</v>
      </c>
      <c r="O162" s="202">
        <f>$O$161*B162/100</f>
        <v>2265.75</v>
      </c>
      <c r="P162" s="260">
        <f>K$47</f>
        <v>7</v>
      </c>
      <c r="Q162" s="176">
        <f>L$47</f>
        <v>97</v>
      </c>
      <c r="R162" s="98">
        <f>M$47</f>
        <v>99</v>
      </c>
      <c r="S162" s="187"/>
      <c r="T162" s="187"/>
      <c r="U162" s="187"/>
      <c r="V162" s="187"/>
      <c r="W162" s="187"/>
      <c r="X162" s="187"/>
      <c r="Y162" s="187"/>
    </row>
    <row r="163" spans="1:25" ht="12.75">
      <c r="A163" s="187" t="s">
        <v>229</v>
      </c>
      <c r="B163" s="188">
        <v>38</v>
      </c>
      <c r="C163" s="202">
        <f>$C$161*B163/100</f>
        <v>21.28</v>
      </c>
      <c r="D163" s="260">
        <f>B$48</f>
        <v>8</v>
      </c>
      <c r="E163" s="176">
        <f>C$48</f>
        <v>0</v>
      </c>
      <c r="F163" s="176">
        <f>D$48</f>
        <v>14.733333333333334</v>
      </c>
      <c r="G163" s="202">
        <f>$G$161*B163/100</f>
        <v>468.16</v>
      </c>
      <c r="H163" s="260">
        <f>E$48</f>
        <v>5</v>
      </c>
      <c r="I163" s="176">
        <f>F$48</f>
        <v>8.622222222222222</v>
      </c>
      <c r="J163" s="176">
        <f>G$48</f>
        <v>27.022222222222222</v>
      </c>
      <c r="K163" s="202">
        <f>$K$161*B163/100</f>
        <v>468.16</v>
      </c>
      <c r="L163" s="260">
        <f>H$48</f>
        <v>5</v>
      </c>
      <c r="M163" s="176">
        <f>I$48</f>
        <v>25.866666666666667</v>
      </c>
      <c r="N163" s="176">
        <f>J$48</f>
        <v>41.06666666666666</v>
      </c>
      <c r="O163" s="202">
        <f>$O$161*B163/100</f>
        <v>3443.94</v>
      </c>
      <c r="P163" s="260">
        <f>K$48</f>
        <v>3</v>
      </c>
      <c r="Q163" s="176">
        <f>L$48</f>
        <v>92.68888888888888</v>
      </c>
      <c r="R163" s="98">
        <f>M$48</f>
        <v>95.4888888888889</v>
      </c>
      <c r="S163" s="187"/>
      <c r="T163" s="187"/>
      <c r="U163" s="187"/>
      <c r="V163" s="187"/>
      <c r="W163" s="187"/>
      <c r="X163" s="187"/>
      <c r="Y163" s="187"/>
    </row>
    <row r="164" spans="1:25" ht="12.75">
      <c r="A164" s="187" t="s">
        <v>816</v>
      </c>
      <c r="B164" s="188">
        <v>8</v>
      </c>
      <c r="C164" s="202">
        <f>$C$161*B164/100</f>
        <v>4.48</v>
      </c>
      <c r="D164" s="260">
        <f>B$49</f>
        <v>5</v>
      </c>
      <c r="E164" s="176">
        <f>C$49</f>
        <v>62.8</v>
      </c>
      <c r="F164" s="176">
        <f>D$49</f>
        <v>75.6</v>
      </c>
      <c r="G164" s="202">
        <f>$G$161*B164/100</f>
        <v>98.56</v>
      </c>
      <c r="H164" s="260">
        <f>E$49</f>
        <v>4</v>
      </c>
      <c r="I164" s="176">
        <f>F$49</f>
        <v>76.1</v>
      </c>
      <c r="J164" s="176">
        <f>G$49</f>
        <v>84.7</v>
      </c>
      <c r="K164" s="202">
        <f>$K$161*B164/100</f>
        <v>98.56</v>
      </c>
      <c r="L164" s="260">
        <f>H$49</f>
        <v>4</v>
      </c>
      <c r="M164" s="176">
        <f>I$49</f>
        <v>91.3</v>
      </c>
      <c r="N164" s="176">
        <f>J$49</f>
        <v>95.1</v>
      </c>
      <c r="O164" s="202">
        <f>$O$161*B164/100</f>
        <v>725.04</v>
      </c>
      <c r="P164" s="260">
        <f>K$49</f>
        <v>2</v>
      </c>
      <c r="Q164" s="176">
        <f>L$49</f>
        <v>97</v>
      </c>
      <c r="R164" s="98">
        <f>M$49</f>
        <v>99</v>
      </c>
      <c r="S164" s="187"/>
      <c r="T164" s="187"/>
      <c r="U164" s="187"/>
      <c r="V164" s="187"/>
      <c r="W164" s="187"/>
      <c r="X164" s="187"/>
      <c r="Y164" s="187"/>
    </row>
    <row r="165" spans="1:25" ht="12.75">
      <c r="A165" s="187" t="s">
        <v>817</v>
      </c>
      <c r="B165" s="188">
        <v>5</v>
      </c>
      <c r="C165" s="202">
        <f>$C$161*B165/100</f>
        <v>2.8</v>
      </c>
      <c r="D165" s="260">
        <f>B$50</f>
        <v>1</v>
      </c>
      <c r="E165" s="176">
        <f>C$50</f>
        <v>97</v>
      </c>
      <c r="F165" s="176">
        <f>D$50</f>
        <v>99</v>
      </c>
      <c r="G165" s="202">
        <f>$G$161*B165/100</f>
        <v>61.6</v>
      </c>
      <c r="H165" s="260">
        <f>E$50</f>
        <v>1</v>
      </c>
      <c r="I165" s="176">
        <f>F$50</f>
        <v>97</v>
      </c>
      <c r="J165" s="176">
        <f>G$50</f>
        <v>99</v>
      </c>
      <c r="K165" s="202">
        <f>$K$161*B165/100</f>
        <v>61.6</v>
      </c>
      <c r="L165" s="260">
        <f>H$50</f>
        <v>1</v>
      </c>
      <c r="M165" s="176">
        <f>I$50</f>
        <v>97</v>
      </c>
      <c r="N165" s="176">
        <f>J$50</f>
        <v>99</v>
      </c>
      <c r="O165" s="202">
        <f>$O$161*B165/100</f>
        <v>453.15</v>
      </c>
      <c r="P165" s="260">
        <f>K$50</f>
        <v>1</v>
      </c>
      <c r="Q165" s="176">
        <f>L$50</f>
        <v>97</v>
      </c>
      <c r="R165" s="98">
        <f>M$50</f>
        <v>99</v>
      </c>
      <c r="S165" s="187"/>
      <c r="T165" s="187"/>
      <c r="U165" s="187"/>
      <c r="V165" s="187"/>
      <c r="W165" s="187"/>
      <c r="X165" s="187"/>
      <c r="Y165" s="187"/>
    </row>
    <row r="166" spans="1:25" ht="12.75">
      <c r="A166" s="187" t="s">
        <v>819</v>
      </c>
      <c r="B166" s="188">
        <v>24</v>
      </c>
      <c r="C166" s="202">
        <f>$C$161*B166/100</f>
        <v>13.44</v>
      </c>
      <c r="D166" s="260">
        <f>B$51</f>
        <v>8</v>
      </c>
      <c r="E166" s="176">
        <f>C$51</f>
        <v>0</v>
      </c>
      <c r="F166" s="176">
        <f>D$51</f>
        <v>14.733333333333334</v>
      </c>
      <c r="G166" s="202">
        <f>$G$161*B166/100</f>
        <v>295.68</v>
      </c>
      <c r="H166" s="260">
        <f>E$51</f>
        <v>5</v>
      </c>
      <c r="I166" s="176">
        <f>F$51</f>
        <v>8.622222222222222</v>
      </c>
      <c r="J166" s="176">
        <f>G$51</f>
        <v>27.022222222222222</v>
      </c>
      <c r="K166" s="202">
        <f>$K$161*B166/100</f>
        <v>295.68</v>
      </c>
      <c r="L166" s="260">
        <f>H$51</f>
        <v>5</v>
      </c>
      <c r="M166" s="176">
        <f>I$51</f>
        <v>25.866666666666667</v>
      </c>
      <c r="N166" s="176">
        <f>J$51</f>
        <v>41.06666666666666</v>
      </c>
      <c r="O166" s="202">
        <f>$O$161*B166/100</f>
        <v>2175.12</v>
      </c>
      <c r="P166" s="260">
        <f>K$51</f>
        <v>3</v>
      </c>
      <c r="Q166" s="176">
        <f>L$51</f>
        <v>92.68888888888888</v>
      </c>
      <c r="R166" s="98">
        <f>M$51</f>
        <v>95.4888888888889</v>
      </c>
      <c r="S166" s="187"/>
      <c r="T166" s="187"/>
      <c r="U166" s="187"/>
      <c r="V166" s="187"/>
      <c r="W166" s="187"/>
      <c r="X166" s="187"/>
      <c r="Y166" s="187"/>
    </row>
    <row r="167" spans="1:25" ht="12.75">
      <c r="A167" s="192" t="s">
        <v>823</v>
      </c>
      <c r="B167" s="189">
        <f>SUM(B168:B175)</f>
        <v>100</v>
      </c>
      <c r="C167" s="203">
        <v>25</v>
      </c>
      <c r="D167" s="261"/>
      <c r="E167" s="199">
        <f>SUMPRODUCT($B168:$B175,E168:E175)/100</f>
        <v>73.51</v>
      </c>
      <c r="F167" s="199">
        <f>SUMPRODUCT($B168:$B175,F168:F175)/100</f>
        <v>79.76933333333334</v>
      </c>
      <c r="G167" s="203">
        <v>726</v>
      </c>
      <c r="H167" s="261"/>
      <c r="I167" s="199">
        <f>SUMPRODUCT($B168:$B175,I168:I175)/100</f>
        <v>75.14822222222222</v>
      </c>
      <c r="J167" s="199">
        <f>SUMPRODUCT($B168:$B175,J168:J175)/100</f>
        <v>82.10422222222223</v>
      </c>
      <c r="K167" s="203">
        <v>726</v>
      </c>
      <c r="L167" s="261"/>
      <c r="M167" s="199">
        <f>SUMPRODUCT($B168:$B175,M168:M175)/100</f>
        <v>79.60533333333333</v>
      </c>
      <c r="N167" s="199">
        <f>SUMPRODUCT($B168:$B175,N168:N175)/100</f>
        <v>85.524</v>
      </c>
      <c r="O167" s="203">
        <v>12976</v>
      </c>
      <c r="P167" s="261"/>
      <c r="Q167" s="199">
        <f>SUMPRODUCT($B168:$B175,Q168:Q175)/100</f>
        <v>96.18088888888887</v>
      </c>
      <c r="R167" s="209">
        <f>SUMPRODUCT($B168:$B175,R168:R175)/100</f>
        <v>98.33288888888889</v>
      </c>
      <c r="S167" s="187"/>
      <c r="T167" s="187"/>
      <c r="U167" s="187"/>
      <c r="V167" s="187"/>
      <c r="W167" s="187"/>
      <c r="X167" s="187"/>
      <c r="Y167" s="187"/>
    </row>
    <row r="168" spans="1:25" ht="12.75">
      <c r="A168" s="187" t="s">
        <v>285</v>
      </c>
      <c r="B168" s="188">
        <v>19</v>
      </c>
      <c r="C168" s="202">
        <f>$C$167*B168/100</f>
        <v>4.75</v>
      </c>
      <c r="D168" s="260">
        <f>B$47</f>
        <v>7</v>
      </c>
      <c r="E168" s="176">
        <f>C$47</f>
        <v>75</v>
      </c>
      <c r="F168" s="176">
        <f>D$47</f>
        <v>85</v>
      </c>
      <c r="G168" s="202">
        <f>$G$167*B168/100</f>
        <v>137.94</v>
      </c>
      <c r="H168" s="260">
        <f>E$47</f>
        <v>7</v>
      </c>
      <c r="I168" s="176">
        <f>F$47</f>
        <v>75</v>
      </c>
      <c r="J168" s="176">
        <f>G$47</f>
        <v>85</v>
      </c>
      <c r="K168" s="202">
        <f>$K$167*B168/100</f>
        <v>137.94</v>
      </c>
      <c r="L168" s="260">
        <f>H$47</f>
        <v>7</v>
      </c>
      <c r="M168" s="176">
        <f>I$47</f>
        <v>80.13333333333334</v>
      </c>
      <c r="N168" s="176">
        <f>J$47</f>
        <v>88.26666666666667</v>
      </c>
      <c r="O168" s="202">
        <f>$O$167*B168/100</f>
        <v>2465.44</v>
      </c>
      <c r="P168" s="260">
        <f>K$47</f>
        <v>7</v>
      </c>
      <c r="Q168" s="176">
        <f>L$47</f>
        <v>97</v>
      </c>
      <c r="R168" s="98">
        <f>M$47</f>
        <v>99</v>
      </c>
      <c r="S168" s="187"/>
      <c r="T168" s="187"/>
      <c r="U168" s="187"/>
      <c r="V168" s="187"/>
      <c r="W168" s="187"/>
      <c r="X168" s="187"/>
      <c r="Y168" s="187"/>
    </row>
    <row r="169" spans="1:25" ht="12.75">
      <c r="A169" s="187" t="s">
        <v>229</v>
      </c>
      <c r="B169" s="188">
        <v>19</v>
      </c>
      <c r="C169" s="202">
        <f aca="true" t="shared" si="24" ref="C169:C175">$C$167*B169/100</f>
        <v>4.75</v>
      </c>
      <c r="D169" s="260">
        <f>B$48</f>
        <v>8</v>
      </c>
      <c r="E169" s="176">
        <f>C$48</f>
        <v>0</v>
      </c>
      <c r="F169" s="176">
        <f>D$48</f>
        <v>14.733333333333334</v>
      </c>
      <c r="G169" s="202">
        <f aca="true" t="shared" si="25" ref="G169:G175">$G$167*B169/100</f>
        <v>137.94</v>
      </c>
      <c r="H169" s="260">
        <f>E$48</f>
        <v>5</v>
      </c>
      <c r="I169" s="176">
        <f>F$48</f>
        <v>8.622222222222222</v>
      </c>
      <c r="J169" s="176">
        <f>G$48</f>
        <v>27.022222222222222</v>
      </c>
      <c r="K169" s="202">
        <f aca="true" t="shared" si="26" ref="K169:K175">$K$167*B169/100</f>
        <v>137.94</v>
      </c>
      <c r="L169" s="260">
        <f>H$48</f>
        <v>5</v>
      </c>
      <c r="M169" s="176">
        <f>I$48</f>
        <v>25.866666666666667</v>
      </c>
      <c r="N169" s="176">
        <f>J$48</f>
        <v>41.06666666666666</v>
      </c>
      <c r="O169" s="202">
        <f aca="true" t="shared" si="27" ref="O169:O175">$O$167*B169/100</f>
        <v>2465.44</v>
      </c>
      <c r="P169" s="260">
        <f>K$48</f>
        <v>3</v>
      </c>
      <c r="Q169" s="176">
        <f>L$48</f>
        <v>92.68888888888888</v>
      </c>
      <c r="R169" s="98">
        <f>M$48</f>
        <v>95.4888888888889</v>
      </c>
      <c r="S169" s="187"/>
      <c r="T169" s="187"/>
      <c r="U169" s="187"/>
      <c r="V169" s="187"/>
      <c r="W169" s="187"/>
      <c r="X169" s="187"/>
      <c r="Y169" s="187"/>
    </row>
    <row r="170" spans="1:25" ht="12.75">
      <c r="A170" s="187" t="s">
        <v>32</v>
      </c>
      <c r="B170" s="188">
        <v>18</v>
      </c>
      <c r="C170" s="202">
        <f t="shared" si="24"/>
        <v>4.5</v>
      </c>
      <c r="D170" s="260">
        <f>B$52</f>
        <v>1</v>
      </c>
      <c r="E170" s="176">
        <f>C$52</f>
        <v>97</v>
      </c>
      <c r="F170" s="176">
        <f>D$52</f>
        <v>99</v>
      </c>
      <c r="G170" s="202">
        <f t="shared" si="25"/>
        <v>130.68</v>
      </c>
      <c r="H170" s="260">
        <f>E$52</f>
        <v>1</v>
      </c>
      <c r="I170" s="176">
        <f>F$52</f>
        <v>97</v>
      </c>
      <c r="J170" s="176">
        <f>G$52</f>
        <v>99</v>
      </c>
      <c r="K170" s="202">
        <f t="shared" si="26"/>
        <v>130.68</v>
      </c>
      <c r="L170" s="260">
        <f>H$52</f>
        <v>1</v>
      </c>
      <c r="M170" s="176">
        <f>I$52</f>
        <v>97</v>
      </c>
      <c r="N170" s="176">
        <f>J$52</f>
        <v>99</v>
      </c>
      <c r="O170" s="202">
        <f t="shared" si="27"/>
        <v>2335.68</v>
      </c>
      <c r="P170" s="260">
        <f>K$52</f>
        <v>1</v>
      </c>
      <c r="Q170" s="176">
        <f>L$52</f>
        <v>97</v>
      </c>
      <c r="R170" s="98">
        <f>M$52</f>
        <v>99</v>
      </c>
      <c r="S170" s="187"/>
      <c r="T170" s="187"/>
      <c r="U170" s="187"/>
      <c r="V170" s="187"/>
      <c r="W170" s="187"/>
      <c r="X170" s="187"/>
      <c r="Y170" s="187"/>
    </row>
    <row r="171" spans="1:25" ht="12.75">
      <c r="A171" s="187" t="s">
        <v>256</v>
      </c>
      <c r="B171" s="188">
        <v>9</v>
      </c>
      <c r="C171" s="202">
        <f t="shared" si="24"/>
        <v>2.25</v>
      </c>
      <c r="D171" s="260">
        <f>B$53</f>
        <v>1</v>
      </c>
      <c r="E171" s="176">
        <f>C$53</f>
        <v>97</v>
      </c>
      <c r="F171" s="176">
        <f>D$53</f>
        <v>99</v>
      </c>
      <c r="G171" s="202">
        <f t="shared" si="25"/>
        <v>65.34</v>
      </c>
      <c r="H171" s="260">
        <f>E$53</f>
        <v>1</v>
      </c>
      <c r="I171" s="176">
        <f>F$53</f>
        <v>97</v>
      </c>
      <c r="J171" s="176">
        <f>G$53</f>
        <v>99</v>
      </c>
      <c r="K171" s="202">
        <f t="shared" si="26"/>
        <v>65.34</v>
      </c>
      <c r="L171" s="260">
        <f>H$53</f>
        <v>1</v>
      </c>
      <c r="M171" s="176">
        <f>I$53</f>
        <v>97</v>
      </c>
      <c r="N171" s="176">
        <f>J$53</f>
        <v>99</v>
      </c>
      <c r="O171" s="202">
        <f t="shared" si="27"/>
        <v>1167.84</v>
      </c>
      <c r="P171" s="260">
        <f>K$53</f>
        <v>1</v>
      </c>
      <c r="Q171" s="176">
        <f>L$53</f>
        <v>97</v>
      </c>
      <c r="R171" s="98">
        <f>M$53</f>
        <v>99</v>
      </c>
      <c r="S171" s="187"/>
      <c r="T171" s="187"/>
      <c r="U171" s="187"/>
      <c r="V171" s="187"/>
      <c r="W171" s="187"/>
      <c r="X171" s="187"/>
      <c r="Y171" s="187"/>
    </row>
    <row r="172" spans="1:25" ht="12.75">
      <c r="A172" s="187" t="s">
        <v>820</v>
      </c>
      <c r="B172" s="188">
        <v>15</v>
      </c>
      <c r="C172" s="202">
        <f t="shared" si="24"/>
        <v>3.75</v>
      </c>
      <c r="D172" s="260">
        <f aca="true" t="shared" si="28" ref="D172:F173">B$50</f>
        <v>1</v>
      </c>
      <c r="E172" s="176">
        <f t="shared" si="28"/>
        <v>97</v>
      </c>
      <c r="F172" s="176">
        <f t="shared" si="28"/>
        <v>99</v>
      </c>
      <c r="G172" s="202">
        <f t="shared" si="25"/>
        <v>108.9</v>
      </c>
      <c r="H172" s="260">
        <f aca="true" t="shared" si="29" ref="H172:J173">E$50</f>
        <v>1</v>
      </c>
      <c r="I172" s="176">
        <f t="shared" si="29"/>
        <v>97</v>
      </c>
      <c r="J172" s="176">
        <f t="shared" si="29"/>
        <v>99</v>
      </c>
      <c r="K172" s="202">
        <f t="shared" si="26"/>
        <v>108.9</v>
      </c>
      <c r="L172" s="260">
        <f aca="true" t="shared" si="30" ref="L172:N173">H$50</f>
        <v>1</v>
      </c>
      <c r="M172" s="176">
        <f t="shared" si="30"/>
        <v>97</v>
      </c>
      <c r="N172" s="176">
        <f t="shared" si="30"/>
        <v>99</v>
      </c>
      <c r="O172" s="202">
        <f t="shared" si="27"/>
        <v>1946.4</v>
      </c>
      <c r="P172" s="260">
        <f aca="true" t="shared" si="31" ref="P172:R173">K$50</f>
        <v>1</v>
      </c>
      <c r="Q172" s="176">
        <f t="shared" si="31"/>
        <v>97</v>
      </c>
      <c r="R172" s="98">
        <f t="shared" si="31"/>
        <v>99</v>
      </c>
      <c r="S172" s="187"/>
      <c r="T172" s="187"/>
      <c r="U172" s="187"/>
      <c r="V172" s="187"/>
      <c r="W172" s="187"/>
      <c r="X172" s="187"/>
      <c r="Y172" s="187"/>
    </row>
    <row r="173" spans="1:25" ht="12.75">
      <c r="A173" s="187" t="s">
        <v>355</v>
      </c>
      <c r="B173" s="188">
        <v>6</v>
      </c>
      <c r="C173" s="202">
        <f t="shared" si="24"/>
        <v>1.5</v>
      </c>
      <c r="D173" s="260">
        <f t="shared" si="28"/>
        <v>1</v>
      </c>
      <c r="E173" s="176">
        <f t="shared" si="28"/>
        <v>97</v>
      </c>
      <c r="F173" s="176">
        <f t="shared" si="28"/>
        <v>99</v>
      </c>
      <c r="G173" s="202">
        <f t="shared" si="25"/>
        <v>43.56</v>
      </c>
      <c r="H173" s="260">
        <f t="shared" si="29"/>
        <v>1</v>
      </c>
      <c r="I173" s="176">
        <f t="shared" si="29"/>
        <v>97</v>
      </c>
      <c r="J173" s="176">
        <f t="shared" si="29"/>
        <v>99</v>
      </c>
      <c r="K173" s="202">
        <f t="shared" si="26"/>
        <v>43.56</v>
      </c>
      <c r="L173" s="260">
        <f t="shared" si="30"/>
        <v>1</v>
      </c>
      <c r="M173" s="176">
        <f t="shared" si="30"/>
        <v>97</v>
      </c>
      <c r="N173" s="176">
        <f t="shared" si="30"/>
        <v>99</v>
      </c>
      <c r="O173" s="202">
        <f t="shared" si="27"/>
        <v>778.56</v>
      </c>
      <c r="P173" s="260">
        <f t="shared" si="31"/>
        <v>1</v>
      </c>
      <c r="Q173" s="176">
        <f t="shared" si="31"/>
        <v>97</v>
      </c>
      <c r="R173" s="98">
        <f t="shared" si="31"/>
        <v>99</v>
      </c>
      <c r="S173" s="187"/>
      <c r="T173" s="187"/>
      <c r="U173" s="187"/>
      <c r="V173" s="187"/>
      <c r="W173" s="187"/>
      <c r="X173" s="187"/>
      <c r="Y173" s="187"/>
    </row>
    <row r="174" spans="1:25" ht="12.75">
      <c r="A174" s="187" t="s">
        <v>821</v>
      </c>
      <c r="B174" s="188">
        <v>10</v>
      </c>
      <c r="C174" s="202">
        <f t="shared" si="24"/>
        <v>2.5</v>
      </c>
      <c r="D174" s="260">
        <f>B$33</f>
        <v>1</v>
      </c>
      <c r="E174" s="176">
        <f>C$33</f>
        <v>97</v>
      </c>
      <c r="F174" s="176">
        <f>D$33</f>
        <v>99</v>
      </c>
      <c r="G174" s="202">
        <f t="shared" si="25"/>
        <v>72.6</v>
      </c>
      <c r="H174" s="260">
        <f>E$33</f>
        <v>1</v>
      </c>
      <c r="I174" s="176">
        <f>F$33</f>
        <v>97</v>
      </c>
      <c r="J174" s="176">
        <f>G$33</f>
        <v>99</v>
      </c>
      <c r="K174" s="202">
        <f t="shared" si="26"/>
        <v>72.6</v>
      </c>
      <c r="L174" s="260">
        <f>H$33</f>
        <v>1</v>
      </c>
      <c r="M174" s="176">
        <f>I$33</f>
        <v>97</v>
      </c>
      <c r="N174" s="176">
        <f>J$33</f>
        <v>99</v>
      </c>
      <c r="O174" s="202">
        <f t="shared" si="27"/>
        <v>1297.6</v>
      </c>
      <c r="P174" s="260">
        <f>K$33</f>
        <v>1</v>
      </c>
      <c r="Q174" s="176">
        <f>L$33</f>
        <v>97</v>
      </c>
      <c r="R174" s="98">
        <f>M$33</f>
        <v>99</v>
      </c>
      <c r="S174" s="187"/>
      <c r="T174" s="187"/>
      <c r="U174" s="187"/>
      <c r="V174" s="187"/>
      <c r="W174" s="187"/>
      <c r="X174" s="187"/>
      <c r="Y174" s="187"/>
    </row>
    <row r="175" spans="1:25" ht="12.75">
      <c r="A175" s="187" t="s">
        <v>822</v>
      </c>
      <c r="B175" s="188">
        <v>4</v>
      </c>
      <c r="C175" s="202">
        <f t="shared" si="24"/>
        <v>1</v>
      </c>
      <c r="D175" s="260">
        <f>B$47</f>
        <v>7</v>
      </c>
      <c r="E175" s="176">
        <f>C$47</f>
        <v>75</v>
      </c>
      <c r="F175" s="176">
        <f>D$47</f>
        <v>85</v>
      </c>
      <c r="G175" s="202">
        <f t="shared" si="25"/>
        <v>29.04</v>
      </c>
      <c r="H175" s="260">
        <f>E$47</f>
        <v>7</v>
      </c>
      <c r="I175" s="176">
        <f>F$47</f>
        <v>75</v>
      </c>
      <c r="J175" s="176">
        <f>G$47</f>
        <v>85</v>
      </c>
      <c r="K175" s="202">
        <f t="shared" si="26"/>
        <v>29.04</v>
      </c>
      <c r="L175" s="260">
        <f>H$47</f>
        <v>7</v>
      </c>
      <c r="M175" s="176">
        <f>I$47</f>
        <v>80.13333333333334</v>
      </c>
      <c r="N175" s="176">
        <f>J$47</f>
        <v>88.26666666666667</v>
      </c>
      <c r="O175" s="202">
        <f t="shared" si="27"/>
        <v>519.04</v>
      </c>
      <c r="P175" s="260">
        <f>K$47</f>
        <v>7</v>
      </c>
      <c r="Q175" s="176">
        <f>L$47</f>
        <v>97</v>
      </c>
      <c r="R175" s="98">
        <f>M$47</f>
        <v>99</v>
      </c>
      <c r="S175" s="187"/>
      <c r="T175" s="187"/>
      <c r="U175" s="187"/>
      <c r="V175" s="187"/>
      <c r="W175" s="187"/>
      <c r="X175" s="187"/>
      <c r="Y175" s="187"/>
    </row>
    <row r="176" spans="1:25" ht="12.75">
      <c r="A176" s="190" t="s">
        <v>824</v>
      </c>
      <c r="B176" s="189">
        <f>SUM(B177:B183)</f>
        <v>100</v>
      </c>
      <c r="C176" s="203"/>
      <c r="D176" s="261"/>
      <c r="E176" s="199">
        <f>SUMPRODUCT($B177:$B183,E177:E183)/100</f>
        <v>31.517999999999997</v>
      </c>
      <c r="F176" s="199">
        <f>SUMPRODUCT($B177:$B183,F177:F183)/100</f>
        <v>46.46866666666667</v>
      </c>
      <c r="G176" s="203">
        <v>338</v>
      </c>
      <c r="H176" s="261"/>
      <c r="I176" s="199">
        <f>SUMPRODUCT($B177:$B183,I177:I183)/100</f>
        <v>39.70077777777778</v>
      </c>
      <c r="J176" s="199">
        <f>SUMPRODUCT($B177:$B183,J177:J183)/100</f>
        <v>54.87877777777777</v>
      </c>
      <c r="K176" s="203">
        <v>338</v>
      </c>
      <c r="L176" s="261"/>
      <c r="M176" s="199">
        <f>SUMPRODUCT($B177:$B183,M177:M183)/100</f>
        <v>54.391000000000005</v>
      </c>
      <c r="N176" s="199">
        <f>SUMPRODUCT($B177:$B183,N177:N183)/100</f>
        <v>65.88366666666666</v>
      </c>
      <c r="O176" s="203"/>
      <c r="P176" s="261"/>
      <c r="Q176" s="199">
        <f>SUMPRODUCT($B177:$B183,Q177:Q183)/100</f>
        <v>95.1031111111111</v>
      </c>
      <c r="R176" s="209">
        <f>SUMPRODUCT($B177:$B183,R177:R183)/100</f>
        <v>97.45511111111111</v>
      </c>
      <c r="S176" s="187"/>
      <c r="T176" s="187"/>
      <c r="U176" s="187"/>
      <c r="V176" s="187"/>
      <c r="W176" s="187"/>
      <c r="X176" s="187"/>
      <c r="Y176" s="187"/>
    </row>
    <row r="177" spans="1:25" ht="12.75">
      <c r="A177" s="187" t="s">
        <v>229</v>
      </c>
      <c r="B177" s="188">
        <v>40</v>
      </c>
      <c r="C177" s="202"/>
      <c r="D177" s="260">
        <f>B$48</f>
        <v>8</v>
      </c>
      <c r="E177" s="176">
        <f>C$48</f>
        <v>0</v>
      </c>
      <c r="F177" s="176">
        <f>D$48</f>
        <v>14.733333333333334</v>
      </c>
      <c r="G177" s="202">
        <f>$G$176*B177/100</f>
        <v>135.2</v>
      </c>
      <c r="H177" s="260">
        <f>E$48</f>
        <v>5</v>
      </c>
      <c r="I177" s="176">
        <f>F$48</f>
        <v>8.622222222222222</v>
      </c>
      <c r="J177" s="176">
        <f>G$48</f>
        <v>27.022222222222222</v>
      </c>
      <c r="K177" s="202">
        <f>$K$176*B177/100</f>
        <v>135.2</v>
      </c>
      <c r="L177" s="260">
        <f>H$48</f>
        <v>5</v>
      </c>
      <c r="M177" s="176">
        <f>I$48</f>
        <v>25.866666666666667</v>
      </c>
      <c r="N177" s="176">
        <f>J$48</f>
        <v>41.06666666666666</v>
      </c>
      <c r="O177" s="202"/>
      <c r="P177" s="260">
        <f>K$48</f>
        <v>3</v>
      </c>
      <c r="Q177" s="176">
        <f>L$48</f>
        <v>92.68888888888888</v>
      </c>
      <c r="R177" s="98">
        <f>M$48</f>
        <v>95.4888888888889</v>
      </c>
      <c r="S177" s="187"/>
      <c r="T177" s="187"/>
      <c r="U177" s="187"/>
      <c r="V177" s="187"/>
      <c r="W177" s="187"/>
      <c r="X177" s="187"/>
      <c r="Y177" s="187"/>
    </row>
    <row r="178" spans="1:25" ht="12.75">
      <c r="A178" s="187" t="s">
        <v>825</v>
      </c>
      <c r="B178" s="188">
        <v>15</v>
      </c>
      <c r="C178" s="202"/>
      <c r="D178" s="260">
        <f>B$49</f>
        <v>5</v>
      </c>
      <c r="E178" s="176">
        <f>C$49</f>
        <v>62.8</v>
      </c>
      <c r="F178" s="176">
        <f>D$49</f>
        <v>75.6</v>
      </c>
      <c r="G178" s="202">
        <f aca="true" t="shared" si="32" ref="G178:G183">$G$176*B178/100</f>
        <v>50.7</v>
      </c>
      <c r="H178" s="260">
        <f>E$49</f>
        <v>4</v>
      </c>
      <c r="I178" s="176">
        <f>F$49</f>
        <v>76.1</v>
      </c>
      <c r="J178" s="176">
        <f>G$49</f>
        <v>84.7</v>
      </c>
      <c r="K178" s="202">
        <f aca="true" t="shared" si="33" ref="K178:K183">$K$176*B178/100</f>
        <v>50.7</v>
      </c>
      <c r="L178" s="260">
        <f>H$49</f>
        <v>4</v>
      </c>
      <c r="M178" s="176">
        <f>I$49</f>
        <v>91.3</v>
      </c>
      <c r="N178" s="176">
        <f>J$49</f>
        <v>95.1</v>
      </c>
      <c r="O178" s="202"/>
      <c r="P178" s="260">
        <f>K$49</f>
        <v>2</v>
      </c>
      <c r="Q178" s="176">
        <f>L$49</f>
        <v>97</v>
      </c>
      <c r="R178" s="98">
        <f>M$49</f>
        <v>99</v>
      </c>
      <c r="S178" s="187"/>
      <c r="T178" s="187"/>
      <c r="U178" s="187"/>
      <c r="V178" s="187"/>
      <c r="W178" s="187"/>
      <c r="X178" s="187"/>
      <c r="Y178" s="187"/>
    </row>
    <row r="179" spans="1:25" ht="12.75">
      <c r="A179" s="187" t="s">
        <v>230</v>
      </c>
      <c r="B179" s="188">
        <v>21</v>
      </c>
      <c r="C179" s="202"/>
      <c r="D179" s="260">
        <f>B$54</f>
        <v>5</v>
      </c>
      <c r="E179" s="176">
        <f>C$54</f>
        <v>40</v>
      </c>
      <c r="F179" s="176">
        <f>D$54</f>
        <v>60</v>
      </c>
      <c r="G179" s="202">
        <f t="shared" si="32"/>
        <v>70.98</v>
      </c>
      <c r="H179" s="260">
        <f>E$54</f>
        <v>5</v>
      </c>
      <c r="I179" s="176">
        <f>F$54</f>
        <v>47.6</v>
      </c>
      <c r="J179" s="176">
        <f>G$54</f>
        <v>65.2</v>
      </c>
      <c r="K179" s="202">
        <f t="shared" si="33"/>
        <v>70.98</v>
      </c>
      <c r="L179" s="260">
        <f>H$54</f>
        <v>5</v>
      </c>
      <c r="M179" s="176">
        <f>I$54</f>
        <v>62.8</v>
      </c>
      <c r="N179" s="176">
        <f>J$54</f>
        <v>75.6</v>
      </c>
      <c r="O179" s="202"/>
      <c r="P179" s="260">
        <f>K$54</f>
        <v>3</v>
      </c>
      <c r="Q179" s="176">
        <f>L$54</f>
        <v>97</v>
      </c>
      <c r="R179" s="98">
        <f>M$54</f>
        <v>99</v>
      </c>
      <c r="S179" s="187"/>
      <c r="T179" s="187"/>
      <c r="U179" s="187"/>
      <c r="V179" s="187"/>
      <c r="W179" s="187"/>
      <c r="X179" s="187"/>
      <c r="Y179" s="187"/>
    </row>
    <row r="180" spans="1:25" ht="12.75">
      <c r="A180" s="187" t="s">
        <v>285</v>
      </c>
      <c r="B180" s="188">
        <v>14</v>
      </c>
      <c r="C180" s="202"/>
      <c r="D180" s="260">
        <f>B$47</f>
        <v>7</v>
      </c>
      <c r="E180" s="176">
        <f>C$47</f>
        <v>75</v>
      </c>
      <c r="F180" s="176">
        <f>D$47</f>
        <v>85</v>
      </c>
      <c r="G180" s="202">
        <f t="shared" si="32"/>
        <v>47.32</v>
      </c>
      <c r="H180" s="260">
        <f>E$47</f>
        <v>7</v>
      </c>
      <c r="I180" s="176">
        <f>F$47</f>
        <v>75</v>
      </c>
      <c r="J180" s="176">
        <f>G$47</f>
        <v>85</v>
      </c>
      <c r="K180" s="202">
        <f t="shared" si="33"/>
        <v>47.32</v>
      </c>
      <c r="L180" s="260">
        <f>H$47</f>
        <v>7</v>
      </c>
      <c r="M180" s="176">
        <f>I$47</f>
        <v>80.13333333333334</v>
      </c>
      <c r="N180" s="176">
        <f>J$47</f>
        <v>88.26666666666667</v>
      </c>
      <c r="O180" s="202"/>
      <c r="P180" s="260">
        <f>K$47</f>
        <v>7</v>
      </c>
      <c r="Q180" s="176">
        <f>L$47</f>
        <v>97</v>
      </c>
      <c r="R180" s="98">
        <f>M$47</f>
        <v>99</v>
      </c>
      <c r="S180" s="187"/>
      <c r="T180" s="187"/>
      <c r="U180" s="187"/>
      <c r="V180" s="187"/>
      <c r="W180" s="187"/>
      <c r="X180" s="187"/>
      <c r="Y180" s="187"/>
    </row>
    <row r="181" spans="1:25" ht="12.75">
      <c r="A181" s="187" t="s">
        <v>257</v>
      </c>
      <c r="B181" s="188">
        <v>4</v>
      </c>
      <c r="C181" s="202"/>
      <c r="D181" s="260">
        <f>B$55</f>
        <v>5</v>
      </c>
      <c r="E181" s="176">
        <f>C$55</f>
        <v>53.3</v>
      </c>
      <c r="F181" s="176">
        <f>D$55</f>
        <v>69.1</v>
      </c>
      <c r="G181" s="202">
        <f t="shared" si="32"/>
        <v>13.52</v>
      </c>
      <c r="H181" s="260">
        <f>E$55</f>
        <v>5</v>
      </c>
      <c r="I181" s="176">
        <f>F$55</f>
        <v>66.6</v>
      </c>
      <c r="J181" s="176">
        <f>G$55</f>
        <v>78.2</v>
      </c>
      <c r="K181" s="202">
        <f t="shared" si="33"/>
        <v>13.52</v>
      </c>
      <c r="L181" s="260">
        <f>H$55</f>
        <v>4</v>
      </c>
      <c r="M181" s="176">
        <f>I$55</f>
        <v>81.8</v>
      </c>
      <c r="N181" s="176">
        <f>J$55</f>
        <v>88.6</v>
      </c>
      <c r="O181" s="202"/>
      <c r="P181" s="260">
        <f>K$55</f>
        <v>2</v>
      </c>
      <c r="Q181" s="176">
        <f>L$55</f>
        <v>97</v>
      </c>
      <c r="R181" s="98">
        <f>M$55</f>
        <v>99</v>
      </c>
      <c r="S181" s="187"/>
      <c r="T181" s="187"/>
      <c r="U181" s="187"/>
      <c r="V181" s="187"/>
      <c r="W181" s="187"/>
      <c r="X181" s="187"/>
      <c r="Y181" s="187"/>
    </row>
    <row r="182" spans="1:25" ht="12.75">
      <c r="A182" s="187" t="s">
        <v>819</v>
      </c>
      <c r="B182" s="188">
        <v>4</v>
      </c>
      <c r="C182" s="202"/>
      <c r="D182" s="260">
        <f>B$51</f>
        <v>8</v>
      </c>
      <c r="E182" s="176">
        <f>C$51</f>
        <v>0</v>
      </c>
      <c r="F182" s="176">
        <f>D$51</f>
        <v>14.733333333333334</v>
      </c>
      <c r="G182" s="202">
        <f t="shared" si="32"/>
        <v>13.52</v>
      </c>
      <c r="H182" s="260">
        <f>E$51</f>
        <v>5</v>
      </c>
      <c r="I182" s="176">
        <f>F$51</f>
        <v>8.622222222222222</v>
      </c>
      <c r="J182" s="176">
        <f>G$51</f>
        <v>27.022222222222222</v>
      </c>
      <c r="K182" s="202">
        <f t="shared" si="33"/>
        <v>13.52</v>
      </c>
      <c r="L182" s="260">
        <f>H$51</f>
        <v>5</v>
      </c>
      <c r="M182" s="176">
        <f>I$51</f>
        <v>25.866666666666667</v>
      </c>
      <c r="N182" s="176">
        <f>J$51</f>
        <v>41.06666666666666</v>
      </c>
      <c r="O182" s="202"/>
      <c r="P182" s="260">
        <f>K$51</f>
        <v>3</v>
      </c>
      <c r="Q182" s="176">
        <f>L$51</f>
        <v>92.68888888888888</v>
      </c>
      <c r="R182" s="98">
        <f>M$51</f>
        <v>95.4888888888889</v>
      </c>
      <c r="S182" s="187"/>
      <c r="T182" s="187"/>
      <c r="U182" s="187"/>
      <c r="V182" s="187"/>
      <c r="W182" s="187"/>
      <c r="X182" s="187"/>
      <c r="Y182" s="187"/>
    </row>
    <row r="183" spans="1:25" ht="12.75">
      <c r="A183" s="187" t="s">
        <v>181</v>
      </c>
      <c r="B183" s="188">
        <v>2</v>
      </c>
      <c r="C183" s="202"/>
      <c r="D183" s="260">
        <f>B$56</f>
        <v>5</v>
      </c>
      <c r="E183" s="176">
        <f>C$56</f>
        <v>53.3</v>
      </c>
      <c r="F183" s="176">
        <f>D$56</f>
        <v>69.1</v>
      </c>
      <c r="G183" s="202">
        <f t="shared" si="32"/>
        <v>6.76</v>
      </c>
      <c r="H183" s="260">
        <f>E$56</f>
        <v>5</v>
      </c>
      <c r="I183" s="176">
        <f>F$56</f>
        <v>66.6</v>
      </c>
      <c r="J183" s="176">
        <f>G$56</f>
        <v>78.2</v>
      </c>
      <c r="K183" s="202">
        <f t="shared" si="33"/>
        <v>6.76</v>
      </c>
      <c r="L183" s="260">
        <f>H$56</f>
        <v>4</v>
      </c>
      <c r="M183" s="176">
        <f>I$56</f>
        <v>81.8</v>
      </c>
      <c r="N183" s="176">
        <f>J$56</f>
        <v>88.6</v>
      </c>
      <c r="O183" s="202"/>
      <c r="P183" s="260">
        <f>K$56</f>
        <v>2</v>
      </c>
      <c r="Q183" s="176">
        <f>L$56</f>
        <v>97</v>
      </c>
      <c r="R183" s="98">
        <f>M$56</f>
        <v>99</v>
      </c>
      <c r="S183" s="187"/>
      <c r="T183" s="187"/>
      <c r="U183" s="187"/>
      <c r="V183" s="187"/>
      <c r="W183" s="187"/>
      <c r="X183" s="187"/>
      <c r="Y183" s="187"/>
    </row>
    <row r="184" spans="1:25" ht="12.75">
      <c r="A184" s="190" t="s">
        <v>828</v>
      </c>
      <c r="B184" s="189">
        <f>SUM(B185:B190)</f>
        <v>100</v>
      </c>
      <c r="C184" s="203">
        <v>85</v>
      </c>
      <c r="D184" s="261"/>
      <c r="E184" s="199">
        <f>SUMPRODUCT($B185:$B190,E185:E190)/100</f>
        <v>59.754</v>
      </c>
      <c r="F184" s="199">
        <f>SUMPRODUCT($B185:$B190,F185:F190)/100</f>
        <v>69.04133333333333</v>
      </c>
      <c r="G184" s="203">
        <v>2332</v>
      </c>
      <c r="H184" s="261"/>
      <c r="I184" s="199">
        <f>SUMPRODUCT($B185:$B190,I185:I190)/100</f>
        <v>66.96355555555556</v>
      </c>
      <c r="J184" s="199">
        <f>SUMPRODUCT($B185:$B190,J185:J190)/100</f>
        <v>75.57155555555555</v>
      </c>
      <c r="K184" s="203">
        <v>2332</v>
      </c>
      <c r="L184" s="261"/>
      <c r="M184" s="199">
        <f>SUMPRODUCT($B185:$B190,M185:M190)/100</f>
        <v>77.05066666666667</v>
      </c>
      <c r="N184" s="199">
        <f>SUMPRODUCT($B185:$B190,N185:N190)/100</f>
        <v>83.03466666666667</v>
      </c>
      <c r="O184" s="203">
        <v>9239</v>
      </c>
      <c r="P184" s="261"/>
      <c r="Q184" s="199">
        <f>SUMPRODUCT($B185:$B190,Q185:Q190)/100</f>
        <v>95.92222222222223</v>
      </c>
      <c r="R184" s="209">
        <f>SUMPRODUCT($B185:$B190,R185:R190)/100</f>
        <v>98.12222222222222</v>
      </c>
      <c r="S184" s="187"/>
      <c r="T184" s="187"/>
      <c r="U184" s="187"/>
      <c r="V184" s="187"/>
      <c r="W184" s="187"/>
      <c r="X184" s="187"/>
      <c r="Y184" s="187"/>
    </row>
    <row r="185" spans="1:25" ht="12.75">
      <c r="A185" s="187" t="s">
        <v>826</v>
      </c>
      <c r="B185" s="188">
        <v>38</v>
      </c>
      <c r="C185" s="202">
        <f aca="true" t="shared" si="34" ref="C185:C190">$C$184*B185/100</f>
        <v>32.3</v>
      </c>
      <c r="D185" s="260">
        <f>B$49</f>
        <v>5</v>
      </c>
      <c r="E185" s="176">
        <f>C$49</f>
        <v>62.8</v>
      </c>
      <c r="F185" s="176">
        <f>D$49</f>
        <v>75.6</v>
      </c>
      <c r="G185" s="202">
        <f aca="true" t="shared" si="35" ref="G185:G190">$G$184*B185/100</f>
        <v>886.16</v>
      </c>
      <c r="H185" s="260">
        <f>E$49</f>
        <v>4</v>
      </c>
      <c r="I185" s="176">
        <f>F$49</f>
        <v>76.1</v>
      </c>
      <c r="J185" s="176">
        <f>G$49</f>
        <v>84.7</v>
      </c>
      <c r="K185" s="202">
        <f aca="true" t="shared" si="36" ref="K185:K190">$K$184*B185/100</f>
        <v>886.16</v>
      </c>
      <c r="L185" s="260">
        <f>H$49</f>
        <v>4</v>
      </c>
      <c r="M185" s="176">
        <f>I$49</f>
        <v>91.3</v>
      </c>
      <c r="N185" s="176">
        <f>J$49</f>
        <v>95.1</v>
      </c>
      <c r="O185" s="202">
        <f aca="true" t="shared" si="37" ref="O185:O190">$O$184*B185/100</f>
        <v>3510.82</v>
      </c>
      <c r="P185" s="260">
        <f>K$49</f>
        <v>2</v>
      </c>
      <c r="Q185" s="176">
        <f>L$49</f>
        <v>97</v>
      </c>
      <c r="R185" s="98">
        <f>M$49</f>
        <v>99</v>
      </c>
      <c r="S185" s="187"/>
      <c r="T185" s="187"/>
      <c r="U185" s="187"/>
      <c r="V185" s="187"/>
      <c r="W185" s="187"/>
      <c r="X185" s="187"/>
      <c r="Y185" s="187"/>
    </row>
    <row r="186" spans="1:25" ht="12.75">
      <c r="A186" s="187" t="s">
        <v>827</v>
      </c>
      <c r="B186" s="188">
        <v>25</v>
      </c>
      <c r="C186" s="202">
        <f t="shared" si="34"/>
        <v>21.25</v>
      </c>
      <c r="D186" s="260">
        <f>B$57</f>
        <v>8</v>
      </c>
      <c r="E186" s="176">
        <f>C$57</f>
        <v>0</v>
      </c>
      <c r="F186" s="176">
        <f>D$57</f>
        <v>14.733333333333334</v>
      </c>
      <c r="G186" s="202">
        <f t="shared" si="35"/>
        <v>583</v>
      </c>
      <c r="H186" s="260">
        <f>E$57</f>
        <v>5</v>
      </c>
      <c r="I186" s="176">
        <f>F$57</f>
        <v>8.622222222222222</v>
      </c>
      <c r="J186" s="176">
        <f>G$57</f>
        <v>27.022222222222222</v>
      </c>
      <c r="K186" s="202">
        <f t="shared" si="36"/>
        <v>583</v>
      </c>
      <c r="L186" s="260">
        <f>H$57</f>
        <v>5</v>
      </c>
      <c r="M186" s="176">
        <f>I$57</f>
        <v>25.866666666666667</v>
      </c>
      <c r="N186" s="176">
        <f>J$57</f>
        <v>41.06666666666666</v>
      </c>
      <c r="O186" s="202">
        <f t="shared" si="37"/>
        <v>2309.75</v>
      </c>
      <c r="P186" s="260">
        <f>K$57</f>
        <v>3</v>
      </c>
      <c r="Q186" s="176">
        <f>L$57</f>
        <v>92.68888888888888</v>
      </c>
      <c r="R186" s="98">
        <f>M$57</f>
        <v>95.4888888888889</v>
      </c>
      <c r="S186" s="187"/>
      <c r="T186" s="187"/>
      <c r="U186" s="187"/>
      <c r="V186" s="187"/>
      <c r="W186" s="187"/>
      <c r="X186" s="187"/>
      <c r="Y186" s="187"/>
    </row>
    <row r="187" spans="1:25" ht="12.75">
      <c r="A187" s="187" t="s">
        <v>251</v>
      </c>
      <c r="B187" s="188">
        <v>10</v>
      </c>
      <c r="C187" s="202">
        <f t="shared" si="34"/>
        <v>8.5</v>
      </c>
      <c r="D187" s="260">
        <f>B$58</f>
        <v>1</v>
      </c>
      <c r="E187" s="176">
        <f>C$58</f>
        <v>97</v>
      </c>
      <c r="F187" s="176">
        <f>D$58</f>
        <v>99</v>
      </c>
      <c r="G187" s="202">
        <f t="shared" si="35"/>
        <v>233.2</v>
      </c>
      <c r="H187" s="260">
        <f>E$58</f>
        <v>1</v>
      </c>
      <c r="I187" s="176">
        <f>F$58</f>
        <v>97</v>
      </c>
      <c r="J187" s="176">
        <f>G$58</f>
        <v>99</v>
      </c>
      <c r="K187" s="202">
        <f t="shared" si="36"/>
        <v>233.2</v>
      </c>
      <c r="L187" s="260">
        <f>H$58</f>
        <v>1</v>
      </c>
      <c r="M187" s="176">
        <f>I$58</f>
        <v>97</v>
      </c>
      <c r="N187" s="176">
        <f>J$58</f>
        <v>99</v>
      </c>
      <c r="O187" s="202">
        <f t="shared" si="37"/>
        <v>923.9</v>
      </c>
      <c r="P187" s="260">
        <f>K$58</f>
        <v>1</v>
      </c>
      <c r="Q187" s="176">
        <f>L$58</f>
        <v>97</v>
      </c>
      <c r="R187" s="98">
        <f>M$58</f>
        <v>99</v>
      </c>
      <c r="S187" s="187"/>
      <c r="T187" s="187"/>
      <c r="U187" s="187"/>
      <c r="V187" s="187"/>
      <c r="W187" s="187"/>
      <c r="X187" s="187"/>
      <c r="Y187" s="187"/>
    </row>
    <row r="188" spans="1:25" ht="12.75">
      <c r="A188" s="187" t="s">
        <v>829</v>
      </c>
      <c r="B188" s="188">
        <v>13</v>
      </c>
      <c r="C188" s="202">
        <f t="shared" si="34"/>
        <v>11.05</v>
      </c>
      <c r="D188" s="260">
        <f>B$59</f>
        <v>1</v>
      </c>
      <c r="E188" s="176">
        <f>C$59</f>
        <v>97</v>
      </c>
      <c r="F188" s="176">
        <f>D$59</f>
        <v>99</v>
      </c>
      <c r="G188" s="202">
        <f t="shared" si="35"/>
        <v>303.16</v>
      </c>
      <c r="H188" s="260">
        <f>E$59</f>
        <v>1</v>
      </c>
      <c r="I188" s="176">
        <f>F$59</f>
        <v>97</v>
      </c>
      <c r="J188" s="176">
        <f>G$59</f>
        <v>99</v>
      </c>
      <c r="K188" s="202">
        <f t="shared" si="36"/>
        <v>303.16</v>
      </c>
      <c r="L188" s="260">
        <f>H$59</f>
        <v>1</v>
      </c>
      <c r="M188" s="176">
        <f>I$59</f>
        <v>97</v>
      </c>
      <c r="N188" s="176">
        <f>J$59</f>
        <v>99</v>
      </c>
      <c r="O188" s="202">
        <f t="shared" si="37"/>
        <v>1201.07</v>
      </c>
      <c r="P188" s="260">
        <f>K$59</f>
        <v>1</v>
      </c>
      <c r="Q188" s="176">
        <f>L$59</f>
        <v>97</v>
      </c>
      <c r="R188" s="98">
        <f>M$59</f>
        <v>99</v>
      </c>
      <c r="S188" s="187"/>
      <c r="T188" s="187"/>
      <c r="U188" s="187"/>
      <c r="V188" s="187"/>
      <c r="W188" s="187"/>
      <c r="X188" s="187"/>
      <c r="Y188" s="187"/>
    </row>
    <row r="189" spans="1:25" ht="12.75">
      <c r="A189" s="187" t="s">
        <v>258</v>
      </c>
      <c r="B189" s="188">
        <v>6</v>
      </c>
      <c r="C189" s="202">
        <f t="shared" si="34"/>
        <v>5.1</v>
      </c>
      <c r="D189" s="260">
        <f>B$60</f>
        <v>1</v>
      </c>
      <c r="E189" s="176">
        <f>C$60</f>
        <v>97</v>
      </c>
      <c r="F189" s="176">
        <f>D$60</f>
        <v>99</v>
      </c>
      <c r="G189" s="202">
        <f t="shared" si="35"/>
        <v>139.92</v>
      </c>
      <c r="H189" s="260">
        <f>E$60</f>
        <v>1</v>
      </c>
      <c r="I189" s="176">
        <f>F$60</f>
        <v>97</v>
      </c>
      <c r="J189" s="176">
        <f>G$60</f>
        <v>99</v>
      </c>
      <c r="K189" s="202">
        <f t="shared" si="36"/>
        <v>139.92</v>
      </c>
      <c r="L189" s="260">
        <f>H$60</f>
        <v>1</v>
      </c>
      <c r="M189" s="176">
        <f>I$60</f>
        <v>97</v>
      </c>
      <c r="N189" s="176">
        <f>J$60</f>
        <v>99</v>
      </c>
      <c r="O189" s="202">
        <f t="shared" si="37"/>
        <v>554.34</v>
      </c>
      <c r="P189" s="260">
        <f>K$60</f>
        <v>1</v>
      </c>
      <c r="Q189" s="176">
        <f>L$60</f>
        <v>97</v>
      </c>
      <c r="R189" s="98">
        <f>M$60</f>
        <v>99</v>
      </c>
      <c r="S189" s="187"/>
      <c r="T189" s="187"/>
      <c r="U189" s="187"/>
      <c r="V189" s="187"/>
      <c r="W189" s="187"/>
      <c r="X189" s="187"/>
      <c r="Y189" s="187"/>
    </row>
    <row r="190" spans="1:25" ht="12.75">
      <c r="A190" s="187" t="s">
        <v>830</v>
      </c>
      <c r="B190" s="188">
        <v>8</v>
      </c>
      <c r="C190" s="202">
        <f t="shared" si="34"/>
        <v>6.8</v>
      </c>
      <c r="D190" s="260">
        <f>B$61</f>
        <v>1</v>
      </c>
      <c r="E190" s="176">
        <f>C$61</f>
        <v>97</v>
      </c>
      <c r="F190" s="176">
        <f>D$61</f>
        <v>99</v>
      </c>
      <c r="G190" s="202">
        <f t="shared" si="35"/>
        <v>186.56</v>
      </c>
      <c r="H190" s="260">
        <f>E$61</f>
        <v>1</v>
      </c>
      <c r="I190" s="176">
        <f>F$61</f>
        <v>97</v>
      </c>
      <c r="J190" s="176">
        <f>G$61</f>
        <v>99</v>
      </c>
      <c r="K190" s="202">
        <f t="shared" si="36"/>
        <v>186.56</v>
      </c>
      <c r="L190" s="260">
        <f>H$61</f>
        <v>1</v>
      </c>
      <c r="M190" s="176">
        <f>I$61</f>
        <v>97</v>
      </c>
      <c r="N190" s="176">
        <f>J$61</f>
        <v>99</v>
      </c>
      <c r="O190" s="202">
        <f t="shared" si="37"/>
        <v>739.12</v>
      </c>
      <c r="P190" s="260">
        <f>K$61</f>
        <v>1</v>
      </c>
      <c r="Q190" s="176">
        <f>L$61</f>
        <v>97</v>
      </c>
      <c r="R190" s="98">
        <f>M$61</f>
        <v>99</v>
      </c>
      <c r="S190" s="187"/>
      <c r="T190" s="187"/>
      <c r="U190" s="187"/>
      <c r="V190" s="187"/>
      <c r="W190" s="187"/>
      <c r="X190" s="187"/>
      <c r="Y190" s="187"/>
    </row>
    <row r="191" spans="1:25" ht="12.75">
      <c r="A191" s="190" t="s">
        <v>832</v>
      </c>
      <c r="B191" s="189">
        <f>SUM(B192:B199)</f>
        <v>100</v>
      </c>
      <c r="C191" s="203">
        <v>28</v>
      </c>
      <c r="D191" s="261"/>
      <c r="E191" s="199">
        <f>SUMPRODUCT($B192:$B199,E192:E199)/100</f>
        <v>58.18</v>
      </c>
      <c r="F191" s="199">
        <f>SUMPRODUCT($B192:$B199,F192:F199)/100</f>
        <v>65.94933333333333</v>
      </c>
      <c r="G191" s="203">
        <v>1219</v>
      </c>
      <c r="H191" s="261"/>
      <c r="I191" s="199">
        <f>SUMPRODUCT($B192:$B199,I192:I199)/100</f>
        <v>63.38266666666667</v>
      </c>
      <c r="J191" s="199">
        <f>SUMPRODUCT($B192:$B199,J192:J199)/100</f>
        <v>71.83866666666667</v>
      </c>
      <c r="K191" s="203">
        <v>1219</v>
      </c>
      <c r="L191" s="261"/>
      <c r="M191" s="199">
        <f>SUMPRODUCT($B192:$B199,M192:M199)/100</f>
        <v>71.84133333333334</v>
      </c>
      <c r="N191" s="199">
        <f>SUMPRODUCT($B192:$B199,N192:N199)/100</f>
        <v>78.56933333333332</v>
      </c>
      <c r="O191" s="203">
        <v>4583</v>
      </c>
      <c r="P191" s="261"/>
      <c r="Q191" s="199">
        <f>SUMPRODUCT($B192:$B199,Q192:Q199)/100</f>
        <v>95.53422222222221</v>
      </c>
      <c r="R191" s="209">
        <f>SUMPRODUCT($B192:$B199,R192:R199)/100</f>
        <v>97.80622222222222</v>
      </c>
      <c r="S191" s="187"/>
      <c r="T191" s="187"/>
      <c r="U191" s="187"/>
      <c r="V191" s="187"/>
      <c r="W191" s="187"/>
      <c r="X191" s="187"/>
      <c r="Y191" s="187"/>
    </row>
    <row r="192" spans="1:25" ht="12.75">
      <c r="A192" s="187" t="s">
        <v>251</v>
      </c>
      <c r="B192" s="188">
        <v>38</v>
      </c>
      <c r="C192" s="202">
        <f>$C$191*B192/100</f>
        <v>10.64</v>
      </c>
      <c r="D192" s="260">
        <f>B$58</f>
        <v>1</v>
      </c>
      <c r="E192" s="176">
        <f>C$58</f>
        <v>97</v>
      </c>
      <c r="F192" s="176">
        <f>D$58</f>
        <v>99</v>
      </c>
      <c r="G192" s="202">
        <f>$G$191*B192/100</f>
        <v>463.22</v>
      </c>
      <c r="H192" s="260">
        <f>E$58</f>
        <v>1</v>
      </c>
      <c r="I192" s="176">
        <f>F$58</f>
        <v>97</v>
      </c>
      <c r="J192" s="176">
        <f>G$58</f>
        <v>99</v>
      </c>
      <c r="K192" s="202">
        <f>$K$191*B192/100</f>
        <v>463.22</v>
      </c>
      <c r="L192" s="260">
        <f>H$58</f>
        <v>1</v>
      </c>
      <c r="M192" s="176">
        <f>I$58</f>
        <v>97</v>
      </c>
      <c r="N192" s="176">
        <f>J$58</f>
        <v>99</v>
      </c>
      <c r="O192" s="202">
        <f>$O$191*B192/100</f>
        <v>1741.54</v>
      </c>
      <c r="P192" s="260">
        <f>K$58</f>
        <v>1</v>
      </c>
      <c r="Q192" s="176">
        <f>L$58</f>
        <v>97</v>
      </c>
      <c r="R192" s="98">
        <f>M$58</f>
        <v>99</v>
      </c>
      <c r="S192" s="187"/>
      <c r="T192" s="187"/>
      <c r="U192" s="187"/>
      <c r="V192" s="187"/>
      <c r="W192" s="187"/>
      <c r="X192" s="187"/>
      <c r="Y192" s="187"/>
    </row>
    <row r="193" spans="1:25" ht="12.75">
      <c r="A193" s="187" t="s">
        <v>827</v>
      </c>
      <c r="B193" s="188">
        <v>16</v>
      </c>
      <c r="C193" s="202">
        <f aca="true" t="shared" si="38" ref="C193:C199">$C$191*B193/100</f>
        <v>4.48</v>
      </c>
      <c r="D193" s="260">
        <f>B$57</f>
        <v>8</v>
      </c>
      <c r="E193" s="176">
        <f>C$57</f>
        <v>0</v>
      </c>
      <c r="F193" s="176">
        <f>D$57</f>
        <v>14.733333333333334</v>
      </c>
      <c r="G193" s="202">
        <f aca="true" t="shared" si="39" ref="G193:G199">$G$191*B193/100</f>
        <v>195.04</v>
      </c>
      <c r="H193" s="260">
        <f>E$57</f>
        <v>5</v>
      </c>
      <c r="I193" s="176">
        <f>F$57</f>
        <v>8.622222222222222</v>
      </c>
      <c r="J193" s="176">
        <f>G$57</f>
        <v>27.022222222222222</v>
      </c>
      <c r="K193" s="202">
        <f aca="true" t="shared" si="40" ref="K193:K199">$K$191*B193/100</f>
        <v>195.04</v>
      </c>
      <c r="L193" s="260">
        <f>H$57</f>
        <v>5</v>
      </c>
      <c r="M193" s="176">
        <f>I$57</f>
        <v>25.866666666666667</v>
      </c>
      <c r="N193" s="176">
        <f>J$57</f>
        <v>41.06666666666666</v>
      </c>
      <c r="O193" s="202">
        <f aca="true" t="shared" si="41" ref="O193:O199">$O$191*B193/100</f>
        <v>733.28</v>
      </c>
      <c r="P193" s="260">
        <f>K$57</f>
        <v>3</v>
      </c>
      <c r="Q193" s="176">
        <f>L$57</f>
        <v>92.68888888888888</v>
      </c>
      <c r="R193" s="98">
        <f>M$57</f>
        <v>95.4888888888889</v>
      </c>
      <c r="S193" s="187"/>
      <c r="T193" s="187"/>
      <c r="U193" s="187"/>
      <c r="V193" s="187"/>
      <c r="W193" s="187"/>
      <c r="X193" s="187"/>
      <c r="Y193" s="187"/>
    </row>
    <row r="194" spans="1:25" ht="12.75">
      <c r="A194" s="187" t="s">
        <v>825</v>
      </c>
      <c r="B194" s="188">
        <v>8</v>
      </c>
      <c r="C194" s="202">
        <f t="shared" si="38"/>
        <v>2.24</v>
      </c>
      <c r="D194" s="260">
        <f>B$49</f>
        <v>5</v>
      </c>
      <c r="E194" s="176">
        <f>C$49</f>
        <v>62.8</v>
      </c>
      <c r="F194" s="176">
        <f>D$49</f>
        <v>75.6</v>
      </c>
      <c r="G194" s="202">
        <f t="shared" si="39"/>
        <v>97.52</v>
      </c>
      <c r="H194" s="260">
        <f>E$49</f>
        <v>4</v>
      </c>
      <c r="I194" s="176">
        <f>F$49</f>
        <v>76.1</v>
      </c>
      <c r="J194" s="176">
        <f>G$49</f>
        <v>84.7</v>
      </c>
      <c r="K194" s="202">
        <f t="shared" si="40"/>
        <v>97.52</v>
      </c>
      <c r="L194" s="260">
        <f>H$49</f>
        <v>4</v>
      </c>
      <c r="M194" s="176">
        <f>I$49</f>
        <v>91.3</v>
      </c>
      <c r="N194" s="176">
        <f>J$49</f>
        <v>95.1</v>
      </c>
      <c r="O194" s="202">
        <f t="shared" si="41"/>
        <v>366.64</v>
      </c>
      <c r="P194" s="260">
        <f>K$49</f>
        <v>2</v>
      </c>
      <c r="Q194" s="176">
        <f>L$49</f>
        <v>97</v>
      </c>
      <c r="R194" s="98">
        <f>M$49</f>
        <v>99</v>
      </c>
      <c r="S194" s="187"/>
      <c r="T194" s="187"/>
      <c r="U194" s="187"/>
      <c r="V194" s="187"/>
      <c r="W194" s="187"/>
      <c r="X194" s="187"/>
      <c r="Y194" s="187"/>
    </row>
    <row r="195" spans="1:25" ht="12.75">
      <c r="A195" s="187" t="s">
        <v>192</v>
      </c>
      <c r="B195" s="188">
        <v>8</v>
      </c>
      <c r="C195" s="202">
        <f t="shared" si="38"/>
        <v>2.24</v>
      </c>
      <c r="D195" s="260">
        <f>B$63</f>
        <v>8</v>
      </c>
      <c r="E195" s="176">
        <f>C$63</f>
        <v>0</v>
      </c>
      <c r="F195" s="176">
        <f>D$63</f>
        <v>14.733333333333334</v>
      </c>
      <c r="G195" s="202">
        <f t="shared" si="39"/>
        <v>97.52</v>
      </c>
      <c r="H195" s="260">
        <f>E$63</f>
        <v>5</v>
      </c>
      <c r="I195" s="176">
        <f>F$63</f>
        <v>8.622222222222222</v>
      </c>
      <c r="J195" s="176">
        <f>G$63</f>
        <v>27.022222222222222</v>
      </c>
      <c r="K195" s="202">
        <f t="shared" si="40"/>
        <v>97.52</v>
      </c>
      <c r="L195" s="260">
        <f>H$63</f>
        <v>5</v>
      </c>
      <c r="M195" s="176">
        <f>I$63</f>
        <v>25.866666666666667</v>
      </c>
      <c r="N195" s="176">
        <f>J$63</f>
        <v>41.06666666666666</v>
      </c>
      <c r="O195" s="202">
        <f t="shared" si="41"/>
        <v>366.64</v>
      </c>
      <c r="P195" s="260">
        <f>K$63</f>
        <v>3</v>
      </c>
      <c r="Q195" s="176">
        <f>L$63</f>
        <v>92.68888888888888</v>
      </c>
      <c r="R195" s="98">
        <f>M$63</f>
        <v>95.4888888888889</v>
      </c>
      <c r="S195" s="187"/>
      <c r="T195" s="187"/>
      <c r="U195" s="187"/>
      <c r="V195" s="187"/>
      <c r="W195" s="187"/>
      <c r="X195" s="187"/>
      <c r="Y195" s="187"/>
    </row>
    <row r="196" spans="1:25" ht="12.75">
      <c r="A196" s="187" t="s">
        <v>238</v>
      </c>
      <c r="B196" s="188">
        <v>3</v>
      </c>
      <c r="C196" s="202">
        <f t="shared" si="38"/>
        <v>0.84</v>
      </c>
      <c r="D196" s="260">
        <f>B$64</f>
        <v>8</v>
      </c>
      <c r="E196" s="176">
        <f>C$64</f>
        <v>0</v>
      </c>
      <c r="F196" s="176">
        <f>D$64</f>
        <v>14.733333333333334</v>
      </c>
      <c r="G196" s="202">
        <f t="shared" si="39"/>
        <v>36.57</v>
      </c>
      <c r="H196" s="260">
        <f>E$64</f>
        <v>5</v>
      </c>
      <c r="I196" s="176">
        <f>F$64</f>
        <v>8.622222222222222</v>
      </c>
      <c r="J196" s="176">
        <f>G$64</f>
        <v>27.022222222222222</v>
      </c>
      <c r="K196" s="202">
        <f t="shared" si="40"/>
        <v>36.57</v>
      </c>
      <c r="L196" s="260">
        <f>H$64</f>
        <v>5</v>
      </c>
      <c r="M196" s="176">
        <f>I$64</f>
        <v>25.866666666666667</v>
      </c>
      <c r="N196" s="176">
        <f>J$64</f>
        <v>41.06666666666666</v>
      </c>
      <c r="O196" s="202">
        <f t="shared" si="41"/>
        <v>137.49</v>
      </c>
      <c r="P196" s="260">
        <f>K$64</f>
        <v>3</v>
      </c>
      <c r="Q196" s="176">
        <f>L$64</f>
        <v>92.68888888888888</v>
      </c>
      <c r="R196" s="98">
        <f>M$64</f>
        <v>95.4888888888889</v>
      </c>
      <c r="S196" s="187"/>
      <c r="T196" s="187"/>
      <c r="U196" s="187"/>
      <c r="V196" s="187"/>
      <c r="W196" s="187"/>
      <c r="X196" s="187"/>
      <c r="Y196" s="187"/>
    </row>
    <row r="197" spans="1:25" ht="12.75">
      <c r="A197" s="187" t="s">
        <v>259</v>
      </c>
      <c r="B197" s="188">
        <v>8</v>
      </c>
      <c r="C197" s="202">
        <f t="shared" si="38"/>
        <v>2.24</v>
      </c>
      <c r="D197" s="260">
        <f>B$65</f>
        <v>4</v>
      </c>
      <c r="E197" s="176">
        <f>C$65</f>
        <v>58.2</v>
      </c>
      <c r="F197" s="176">
        <f>D$65</f>
        <v>67.4</v>
      </c>
      <c r="G197" s="202">
        <f t="shared" si="39"/>
        <v>97.52</v>
      </c>
      <c r="H197" s="260">
        <f>E$65</f>
        <v>3</v>
      </c>
      <c r="I197" s="176">
        <f>F$65</f>
        <v>73.28888888888889</v>
      </c>
      <c r="J197" s="176">
        <f>G$65</f>
        <v>79.6888888888889</v>
      </c>
      <c r="K197" s="202">
        <f t="shared" si="40"/>
        <v>97.52</v>
      </c>
      <c r="L197" s="260">
        <f>H$65</f>
        <v>3</v>
      </c>
      <c r="M197" s="176">
        <f>I$65</f>
        <v>90.53333333333333</v>
      </c>
      <c r="N197" s="176">
        <f>J$65</f>
        <v>93.73333333333333</v>
      </c>
      <c r="O197" s="202">
        <f t="shared" si="41"/>
        <v>366.64</v>
      </c>
      <c r="P197" s="260">
        <f>K$65</f>
        <v>2</v>
      </c>
      <c r="Q197" s="176">
        <f>L$65</f>
        <v>97</v>
      </c>
      <c r="R197" s="98">
        <f>M$65</f>
        <v>99</v>
      </c>
      <c r="S197" s="187"/>
      <c r="T197" s="187"/>
      <c r="U197" s="187"/>
      <c r="V197" s="187"/>
      <c r="W197" s="187"/>
      <c r="X197" s="187"/>
      <c r="Y197" s="187"/>
    </row>
    <row r="198" spans="1:25" ht="12.75">
      <c r="A198" s="187" t="s">
        <v>831</v>
      </c>
      <c r="B198" s="188">
        <v>7</v>
      </c>
      <c r="C198" s="202">
        <f t="shared" si="38"/>
        <v>1.96</v>
      </c>
      <c r="D198" s="260">
        <f>B$66</f>
        <v>8</v>
      </c>
      <c r="E198" s="176">
        <f>C$66</f>
        <v>0</v>
      </c>
      <c r="F198" s="176">
        <f>D$66</f>
        <v>14.733333333333334</v>
      </c>
      <c r="G198" s="202">
        <f t="shared" si="39"/>
        <v>85.33</v>
      </c>
      <c r="H198" s="260">
        <f>E$66</f>
        <v>5</v>
      </c>
      <c r="I198" s="176">
        <f>F$66</f>
        <v>8.622222222222222</v>
      </c>
      <c r="J198" s="176">
        <f>G$66</f>
        <v>27.022222222222222</v>
      </c>
      <c r="K198" s="202">
        <f t="shared" si="40"/>
        <v>85.33</v>
      </c>
      <c r="L198" s="260">
        <f>H$66</f>
        <v>5</v>
      </c>
      <c r="M198" s="176">
        <f>I$66</f>
        <v>25.866666666666667</v>
      </c>
      <c r="N198" s="176">
        <f>J$66</f>
        <v>41.06666666666666</v>
      </c>
      <c r="O198" s="202">
        <f t="shared" si="41"/>
        <v>320.81</v>
      </c>
      <c r="P198" s="260">
        <f>K$66</f>
        <v>3</v>
      </c>
      <c r="Q198" s="176">
        <f>L$66</f>
        <v>92.68888888888888</v>
      </c>
      <c r="R198" s="98">
        <f>M$66</f>
        <v>95.4888888888889</v>
      </c>
      <c r="S198" s="187"/>
      <c r="T198" s="187"/>
      <c r="U198" s="187"/>
      <c r="V198" s="187"/>
      <c r="W198" s="187"/>
      <c r="X198" s="187"/>
      <c r="Y198" s="187"/>
    </row>
    <row r="199" spans="1:25" ht="12.75">
      <c r="A199" s="187" t="s">
        <v>184</v>
      </c>
      <c r="B199" s="188">
        <v>12</v>
      </c>
      <c r="C199" s="202">
        <f t="shared" si="38"/>
        <v>3.36</v>
      </c>
      <c r="D199" s="260">
        <f>B$67</f>
        <v>1</v>
      </c>
      <c r="E199" s="176">
        <f>C$67</f>
        <v>97</v>
      </c>
      <c r="F199" s="176">
        <f>D$67</f>
        <v>99</v>
      </c>
      <c r="G199" s="202">
        <f t="shared" si="39"/>
        <v>146.28</v>
      </c>
      <c r="H199" s="260">
        <f>E$67</f>
        <v>1</v>
      </c>
      <c r="I199" s="176">
        <f>F$67</f>
        <v>97</v>
      </c>
      <c r="J199" s="176">
        <f>G$67</f>
        <v>99</v>
      </c>
      <c r="K199" s="202">
        <f t="shared" si="40"/>
        <v>146.28</v>
      </c>
      <c r="L199" s="260">
        <f>H$67</f>
        <v>1</v>
      </c>
      <c r="M199" s="176">
        <f>I$67</f>
        <v>97</v>
      </c>
      <c r="N199" s="176">
        <f>J$67</f>
        <v>99</v>
      </c>
      <c r="O199" s="202">
        <f t="shared" si="41"/>
        <v>549.96</v>
      </c>
      <c r="P199" s="260">
        <f>K$67</f>
        <v>1</v>
      </c>
      <c r="Q199" s="176">
        <f>L$67</f>
        <v>97</v>
      </c>
      <c r="R199" s="98">
        <f>M$67</f>
        <v>99</v>
      </c>
      <c r="S199" s="187"/>
      <c r="T199" s="187"/>
      <c r="U199" s="187"/>
      <c r="V199" s="187"/>
      <c r="W199" s="187"/>
      <c r="X199" s="187"/>
      <c r="Y199" s="187"/>
    </row>
    <row r="200" spans="1:25" ht="12.75">
      <c r="A200" s="190" t="s">
        <v>835</v>
      </c>
      <c r="B200" s="189">
        <f>SUM(B201:B209)</f>
        <v>100</v>
      </c>
      <c r="C200" s="203">
        <v>7</v>
      </c>
      <c r="D200" s="261"/>
      <c r="E200" s="199">
        <f>SUMPRODUCT($B201:$B209,E201:E209)/100</f>
        <v>50.39688888888889</v>
      </c>
      <c r="F200" s="199">
        <f>SUMPRODUCT($B201:$B209,F201:F209)/100</f>
        <v>57.74488888888889</v>
      </c>
      <c r="G200" s="203">
        <v>581</v>
      </c>
      <c r="H200" s="261"/>
      <c r="I200" s="199">
        <f>SUMPRODUCT($B201:$B209,I201:I209)/100</f>
        <v>57.035999999999994</v>
      </c>
      <c r="J200" s="199">
        <f>SUMPRODUCT($B201:$B209,J201:J209)/100</f>
        <v>63.152</v>
      </c>
      <c r="K200" s="203">
        <v>581</v>
      </c>
      <c r="L200" s="261"/>
      <c r="M200" s="199">
        <f>SUMPRODUCT($B201:$B209,M201:M209)/100</f>
        <v>64.62355555555555</v>
      </c>
      <c r="N200" s="199">
        <f>SUMPRODUCT($B201:$B209,N201:N209)/100</f>
        <v>69.33155555555555</v>
      </c>
      <c r="O200" s="203">
        <v>2586</v>
      </c>
      <c r="P200" s="261"/>
      <c r="Q200" s="199">
        <f>SUMPRODUCT($B201:$B209,Q201:Q209)/100</f>
        <v>75.66</v>
      </c>
      <c r="R200" s="209">
        <f>SUMPRODUCT($B201:$B209,R201:R209)/100</f>
        <v>78.32</v>
      </c>
      <c r="S200" s="187"/>
      <c r="T200" s="187"/>
      <c r="U200" s="187"/>
      <c r="V200" s="187"/>
      <c r="W200" s="187"/>
      <c r="X200" s="187"/>
      <c r="Y200" s="187"/>
    </row>
    <row r="201" spans="1:25" ht="12.75">
      <c r="A201" s="187" t="s">
        <v>336</v>
      </c>
      <c r="B201" s="188">
        <v>22</v>
      </c>
      <c r="C201" s="202">
        <f>$C$200*B201/100</f>
        <v>1.54</v>
      </c>
      <c r="D201" s="260">
        <f>B$68</f>
        <v>8</v>
      </c>
      <c r="E201" s="176">
        <f>C$68</f>
        <v>0</v>
      </c>
      <c r="F201" s="176">
        <f>D$68</f>
        <v>5</v>
      </c>
      <c r="G201" s="202">
        <f>$G$200*B201/100</f>
        <v>127.82</v>
      </c>
      <c r="H201" s="260">
        <f>E$68</f>
        <v>8</v>
      </c>
      <c r="I201" s="176">
        <f>F$68</f>
        <v>0</v>
      </c>
      <c r="J201" s="176">
        <f>G$68</f>
        <v>5</v>
      </c>
      <c r="K201" s="202">
        <f>$K$200*B201/100</f>
        <v>127.82</v>
      </c>
      <c r="L201" s="260">
        <f>H$68</f>
        <v>8</v>
      </c>
      <c r="M201" s="176">
        <f>I$68</f>
        <v>0</v>
      </c>
      <c r="N201" s="176">
        <f>J$68</f>
        <v>5</v>
      </c>
      <c r="O201" s="202">
        <f>$O$200*B201/100</f>
        <v>568.92</v>
      </c>
      <c r="P201" s="260">
        <f>K$68</f>
        <v>8</v>
      </c>
      <c r="Q201" s="176">
        <f>L$68</f>
        <v>0</v>
      </c>
      <c r="R201" s="98">
        <f>M$68</f>
        <v>5</v>
      </c>
      <c r="S201" s="187"/>
      <c r="T201" s="187"/>
      <c r="U201" s="187"/>
      <c r="V201" s="187"/>
      <c r="W201" s="187"/>
      <c r="X201" s="187"/>
      <c r="Y201" s="187"/>
    </row>
    <row r="202" spans="1:25" ht="12.75">
      <c r="A202" s="187" t="s">
        <v>262</v>
      </c>
      <c r="B202" s="188">
        <v>23</v>
      </c>
      <c r="C202" s="202">
        <f aca="true" t="shared" si="42" ref="C202:C209">$C$200*B202/100</f>
        <v>1.61</v>
      </c>
      <c r="D202" s="260">
        <f>B$69</f>
        <v>4</v>
      </c>
      <c r="E202" s="176">
        <f>C$69</f>
        <v>47.422222222222224</v>
      </c>
      <c r="F202" s="176">
        <f>D$69</f>
        <v>58.62222222222222</v>
      </c>
      <c r="G202" s="202">
        <f aca="true" t="shared" si="43" ref="G202:G209">$G$200*B202/100</f>
        <v>133.63</v>
      </c>
      <c r="H202" s="260">
        <f>E$69</f>
        <v>4</v>
      </c>
      <c r="I202" s="176">
        <f>F$69</f>
        <v>62.51111111111111</v>
      </c>
      <c r="J202" s="176">
        <f>G$69</f>
        <v>70.91111111111111</v>
      </c>
      <c r="K202" s="202">
        <f aca="true" t="shared" si="44" ref="K202:K209">$K$200*B202/100</f>
        <v>133.63</v>
      </c>
      <c r="L202" s="260">
        <f>H$69</f>
        <v>3</v>
      </c>
      <c r="M202" s="176">
        <f>I$69</f>
        <v>79.75555555555556</v>
      </c>
      <c r="N202" s="176">
        <f>J$69</f>
        <v>84.95555555555555</v>
      </c>
      <c r="O202" s="202">
        <f aca="true" t="shared" si="45" ref="O202:O209">$O$200*B202/100</f>
        <v>594.78</v>
      </c>
      <c r="P202" s="260">
        <f>K$69</f>
        <v>2</v>
      </c>
      <c r="Q202" s="176">
        <f>L$69</f>
        <v>97</v>
      </c>
      <c r="R202" s="98">
        <f>M$69</f>
        <v>99</v>
      </c>
      <c r="S202" s="187"/>
      <c r="T202" s="187"/>
      <c r="U202" s="187"/>
      <c r="V202" s="187"/>
      <c r="W202" s="187"/>
      <c r="X202" s="187"/>
      <c r="Y202" s="187"/>
    </row>
    <row r="203" spans="1:25" ht="12.75">
      <c r="A203" s="187" t="s">
        <v>203</v>
      </c>
      <c r="B203" s="188">
        <v>7</v>
      </c>
      <c r="C203" s="202">
        <f t="shared" si="42"/>
        <v>0.49</v>
      </c>
      <c r="D203" s="260">
        <f>B$70</f>
        <v>1</v>
      </c>
      <c r="E203" s="176">
        <f>C$70</f>
        <v>97</v>
      </c>
      <c r="F203" s="176">
        <f>D$70</f>
        <v>99</v>
      </c>
      <c r="G203" s="202">
        <f t="shared" si="43"/>
        <v>40.67</v>
      </c>
      <c r="H203" s="260">
        <f>E$70</f>
        <v>1</v>
      </c>
      <c r="I203" s="176">
        <f>F$70</f>
        <v>97</v>
      </c>
      <c r="J203" s="176">
        <f>G$70</f>
        <v>99</v>
      </c>
      <c r="K203" s="202">
        <f t="shared" si="44"/>
        <v>40.67</v>
      </c>
      <c r="L203" s="260">
        <f>H$70</f>
        <v>1</v>
      </c>
      <c r="M203" s="176">
        <f>I$70</f>
        <v>97</v>
      </c>
      <c r="N203" s="176">
        <f>J$70</f>
        <v>99</v>
      </c>
      <c r="O203" s="202">
        <f t="shared" si="45"/>
        <v>181.02</v>
      </c>
      <c r="P203" s="260">
        <f>K$70</f>
        <v>1</v>
      </c>
      <c r="Q203" s="176">
        <f>L$70</f>
        <v>97</v>
      </c>
      <c r="R203" s="98">
        <f>M$70</f>
        <v>99</v>
      </c>
      <c r="S203" s="187"/>
      <c r="T203" s="187"/>
      <c r="U203" s="187"/>
      <c r="V203" s="187"/>
      <c r="W203" s="187"/>
      <c r="X203" s="187"/>
      <c r="Y203" s="187"/>
    </row>
    <row r="204" spans="1:25" ht="12.75">
      <c r="A204" s="187" t="s">
        <v>833</v>
      </c>
      <c r="B204" s="188">
        <v>8</v>
      </c>
      <c r="C204" s="202">
        <f t="shared" si="42"/>
        <v>0.56</v>
      </c>
      <c r="D204" s="260">
        <f>B$71</f>
        <v>5</v>
      </c>
      <c r="E204" s="176">
        <f>C$71</f>
        <v>15.088888888888889</v>
      </c>
      <c r="F204" s="176">
        <f>D$71</f>
        <v>32.28888888888889</v>
      </c>
      <c r="G204" s="202">
        <f t="shared" si="43"/>
        <v>46.48</v>
      </c>
      <c r="H204" s="260">
        <f>E$71</f>
        <v>5</v>
      </c>
      <c r="I204" s="176">
        <f>F$71</f>
        <v>30.177777777777777</v>
      </c>
      <c r="J204" s="176">
        <f>G$71</f>
        <v>44.57777777777778</v>
      </c>
      <c r="K204" s="202">
        <f t="shared" si="44"/>
        <v>46.48</v>
      </c>
      <c r="L204" s="260">
        <f>H$71</f>
        <v>4</v>
      </c>
      <c r="M204" s="176">
        <f>I$71</f>
        <v>47.422222222222224</v>
      </c>
      <c r="N204" s="176">
        <f>J$71</f>
        <v>58.62222222222222</v>
      </c>
      <c r="O204" s="202">
        <f t="shared" si="45"/>
        <v>206.88</v>
      </c>
      <c r="P204" s="260">
        <f>K$71</f>
        <v>2</v>
      </c>
      <c r="Q204" s="176">
        <f>L$71</f>
        <v>97</v>
      </c>
      <c r="R204" s="98">
        <f>M$71</f>
        <v>99</v>
      </c>
      <c r="S204" s="187"/>
      <c r="T204" s="187"/>
      <c r="U204" s="187"/>
      <c r="V204" s="187"/>
      <c r="W204" s="187"/>
      <c r="X204" s="187"/>
      <c r="Y204" s="187"/>
    </row>
    <row r="205" spans="1:25" ht="12.75">
      <c r="A205" s="187" t="s">
        <v>183</v>
      </c>
      <c r="B205" s="188">
        <v>9</v>
      </c>
      <c r="C205" s="202">
        <f t="shared" si="42"/>
        <v>0.63</v>
      </c>
      <c r="D205" s="260">
        <f>B$72</f>
        <v>4</v>
      </c>
      <c r="E205" s="176">
        <f>C$72</f>
        <v>47.422222222222224</v>
      </c>
      <c r="F205" s="176">
        <f>D$72</f>
        <v>58.62222222222222</v>
      </c>
      <c r="G205" s="202">
        <f t="shared" si="43"/>
        <v>52.29</v>
      </c>
      <c r="H205" s="260">
        <f>E$72</f>
        <v>4</v>
      </c>
      <c r="I205" s="176">
        <f>F$72</f>
        <v>62.51111111111111</v>
      </c>
      <c r="J205" s="176">
        <f>G$72</f>
        <v>70.91111111111111</v>
      </c>
      <c r="K205" s="202">
        <f t="shared" si="44"/>
        <v>52.29</v>
      </c>
      <c r="L205" s="260">
        <f>H$72</f>
        <v>3</v>
      </c>
      <c r="M205" s="176">
        <f>I$72</f>
        <v>79.75555555555556</v>
      </c>
      <c r="N205" s="176">
        <f>J$72</f>
        <v>84.95555555555555</v>
      </c>
      <c r="O205" s="202">
        <f t="shared" si="45"/>
        <v>232.74</v>
      </c>
      <c r="P205" s="260">
        <f>K$72</f>
        <v>2</v>
      </c>
      <c r="Q205" s="176">
        <f>L$72</f>
        <v>97</v>
      </c>
      <c r="R205" s="98">
        <f>M$72</f>
        <v>99</v>
      </c>
      <c r="S205" s="187"/>
      <c r="T205" s="187"/>
      <c r="U205" s="187"/>
      <c r="V205" s="187"/>
      <c r="W205" s="187"/>
      <c r="X205" s="187"/>
      <c r="Y205" s="187"/>
    </row>
    <row r="206" spans="1:25" ht="12.75">
      <c r="A206" s="187" t="s">
        <v>834</v>
      </c>
      <c r="B206" s="188">
        <v>7</v>
      </c>
      <c r="C206" s="202">
        <f t="shared" si="42"/>
        <v>0.49</v>
      </c>
      <c r="D206" s="260">
        <f>B$73</f>
        <v>1</v>
      </c>
      <c r="E206" s="176">
        <f>C$73</f>
        <v>97</v>
      </c>
      <c r="F206" s="176">
        <f>D$73</f>
        <v>99</v>
      </c>
      <c r="G206" s="202">
        <f t="shared" si="43"/>
        <v>40.67</v>
      </c>
      <c r="H206" s="260">
        <f>E$73</f>
        <v>1</v>
      </c>
      <c r="I206" s="176">
        <f>F$73</f>
        <v>97</v>
      </c>
      <c r="J206" s="176">
        <f>G$73</f>
        <v>99</v>
      </c>
      <c r="K206" s="202">
        <f t="shared" si="44"/>
        <v>40.67</v>
      </c>
      <c r="L206" s="260">
        <f>H$73</f>
        <v>1</v>
      </c>
      <c r="M206" s="176">
        <f>I$73</f>
        <v>97</v>
      </c>
      <c r="N206" s="176">
        <f>J$73</f>
        <v>99</v>
      </c>
      <c r="O206" s="202">
        <f t="shared" si="45"/>
        <v>181.02</v>
      </c>
      <c r="P206" s="260">
        <f>K$73</f>
        <v>1</v>
      </c>
      <c r="Q206" s="176">
        <f>L$73</f>
        <v>97</v>
      </c>
      <c r="R206" s="98">
        <f>M$73</f>
        <v>99</v>
      </c>
      <c r="S206" s="187"/>
      <c r="T206" s="187"/>
      <c r="U206" s="187"/>
      <c r="V206" s="187"/>
      <c r="W206" s="187"/>
      <c r="X206" s="187"/>
      <c r="Y206" s="187"/>
    </row>
    <row r="207" spans="1:25" ht="12.75">
      <c r="A207" s="187" t="s">
        <v>837</v>
      </c>
      <c r="B207" s="188">
        <v>7</v>
      </c>
      <c r="C207" s="202">
        <f t="shared" si="42"/>
        <v>0.49</v>
      </c>
      <c r="D207" s="260">
        <f>B$74</f>
        <v>1</v>
      </c>
      <c r="E207" s="176">
        <f>C$74</f>
        <v>97</v>
      </c>
      <c r="F207" s="176">
        <f>D$74</f>
        <v>99</v>
      </c>
      <c r="G207" s="202">
        <f t="shared" si="43"/>
        <v>40.67</v>
      </c>
      <c r="H207" s="260">
        <f>E$74</f>
        <v>1</v>
      </c>
      <c r="I207" s="176">
        <f>F$74</f>
        <v>97</v>
      </c>
      <c r="J207" s="176">
        <f>G$74</f>
        <v>99</v>
      </c>
      <c r="K207" s="202">
        <f t="shared" si="44"/>
        <v>40.67</v>
      </c>
      <c r="L207" s="260">
        <f>H$74</f>
        <v>1</v>
      </c>
      <c r="M207" s="176">
        <f>I$74</f>
        <v>97</v>
      </c>
      <c r="N207" s="176">
        <f>J$74</f>
        <v>99</v>
      </c>
      <c r="O207" s="202">
        <f t="shared" si="45"/>
        <v>181.02</v>
      </c>
      <c r="P207" s="260">
        <f>K$74</f>
        <v>1</v>
      </c>
      <c r="Q207" s="176">
        <f>L$74</f>
        <v>97</v>
      </c>
      <c r="R207" s="98">
        <f>M$74</f>
        <v>99</v>
      </c>
      <c r="S207" s="187"/>
      <c r="T207" s="187"/>
      <c r="U207" s="187"/>
      <c r="V207" s="187"/>
      <c r="W207" s="187"/>
      <c r="X207" s="187"/>
      <c r="Y207" s="187"/>
    </row>
    <row r="208" spans="1:25" ht="12.75">
      <c r="A208" s="187" t="s">
        <v>836</v>
      </c>
      <c r="B208" s="188">
        <v>13</v>
      </c>
      <c r="C208" s="202">
        <f t="shared" si="42"/>
        <v>0.91</v>
      </c>
      <c r="D208" s="260">
        <f>B$75</f>
        <v>1</v>
      </c>
      <c r="E208" s="176">
        <f>C$75</f>
        <v>97</v>
      </c>
      <c r="F208" s="176">
        <f>D$75</f>
        <v>99</v>
      </c>
      <c r="G208" s="202">
        <f t="shared" si="43"/>
        <v>75.53</v>
      </c>
      <c r="H208" s="260">
        <f>E$75</f>
        <v>1</v>
      </c>
      <c r="I208" s="176">
        <f>F$75</f>
        <v>97</v>
      </c>
      <c r="J208" s="176">
        <f>G$75</f>
        <v>99</v>
      </c>
      <c r="K208" s="202">
        <f t="shared" si="44"/>
        <v>75.53</v>
      </c>
      <c r="L208" s="260">
        <f>H$75</f>
        <v>1</v>
      </c>
      <c r="M208" s="176">
        <f>I$75</f>
        <v>97</v>
      </c>
      <c r="N208" s="176">
        <f>J$75</f>
        <v>99</v>
      </c>
      <c r="O208" s="202">
        <f t="shared" si="45"/>
        <v>336.18</v>
      </c>
      <c r="P208" s="260">
        <f>K$75</f>
        <v>1</v>
      </c>
      <c r="Q208" s="176">
        <f>L$75</f>
        <v>97</v>
      </c>
      <c r="R208" s="98">
        <f>M$75</f>
        <v>99</v>
      </c>
      <c r="S208" s="187"/>
      <c r="T208" s="187"/>
      <c r="U208" s="187"/>
      <c r="V208" s="187"/>
      <c r="W208" s="187"/>
      <c r="X208" s="187"/>
      <c r="Y208" s="187"/>
    </row>
    <row r="209" spans="1:25" ht="12.75">
      <c r="A209" s="187" t="s">
        <v>264</v>
      </c>
      <c r="B209" s="188">
        <v>4</v>
      </c>
      <c r="C209" s="202">
        <f t="shared" si="42"/>
        <v>0.28</v>
      </c>
      <c r="D209" s="260">
        <f>B$76</f>
        <v>5</v>
      </c>
      <c r="E209" s="176">
        <f>C$76</f>
        <v>25.866666666666667</v>
      </c>
      <c r="F209" s="176">
        <f>D$76</f>
        <v>41.06666666666666</v>
      </c>
      <c r="G209" s="202">
        <f t="shared" si="43"/>
        <v>23.24</v>
      </c>
      <c r="H209" s="260">
        <f>E$76</f>
        <v>4</v>
      </c>
      <c r="I209" s="176">
        <f>F$76</f>
        <v>40.955555555555556</v>
      </c>
      <c r="J209" s="176">
        <f>G$76</f>
        <v>53.355555555555554</v>
      </c>
      <c r="K209" s="202">
        <f t="shared" si="44"/>
        <v>23.24</v>
      </c>
      <c r="L209" s="260">
        <f>H$76</f>
        <v>4</v>
      </c>
      <c r="M209" s="176">
        <f>I$76</f>
        <v>58.2</v>
      </c>
      <c r="N209" s="176">
        <f>J$76</f>
        <v>67.4</v>
      </c>
      <c r="O209" s="202">
        <f t="shared" si="45"/>
        <v>103.44</v>
      </c>
      <c r="P209" s="260">
        <f>K$76</f>
        <v>2</v>
      </c>
      <c r="Q209" s="176">
        <f>L$76</f>
        <v>97</v>
      </c>
      <c r="R209" s="98">
        <f>M$76</f>
        <v>99</v>
      </c>
      <c r="S209" s="187"/>
      <c r="T209" s="187"/>
      <c r="U209" s="187"/>
      <c r="V209" s="187"/>
      <c r="W209" s="187"/>
      <c r="X209" s="187"/>
      <c r="Y209" s="187"/>
    </row>
    <row r="210" spans="1:25" ht="12.75">
      <c r="A210" s="190" t="s">
        <v>839</v>
      </c>
      <c r="B210" s="189">
        <f>SUM(B211:B217)</f>
        <v>100</v>
      </c>
      <c r="C210" s="203">
        <v>7</v>
      </c>
      <c r="D210" s="261"/>
      <c r="E210" s="199">
        <f>SUMPRODUCT($B211:$B217,E211:E217)/100</f>
        <v>28.866000000000003</v>
      </c>
      <c r="F210" s="199">
        <f>SUMPRODUCT($B211:$B217,F211:F217)/100</f>
        <v>45.662000000000006</v>
      </c>
      <c r="G210" s="203">
        <v>243</v>
      </c>
      <c r="H210" s="261"/>
      <c r="I210" s="199">
        <f>SUMPRODUCT($B211:$B217,I211:I217)/100</f>
        <v>38.824666666666666</v>
      </c>
      <c r="J210" s="199">
        <f>SUMPRODUCT($B211:$B217,J211:J217)/100</f>
        <v>53.772666666666666</v>
      </c>
      <c r="K210" s="203">
        <v>243</v>
      </c>
      <c r="L210" s="261"/>
      <c r="M210" s="199">
        <f>SUMPRODUCT($B211:$B217,M211:M217)/100</f>
        <v>49.94733333333333</v>
      </c>
      <c r="N210" s="199">
        <f>SUMPRODUCT($B211:$B217,N211:N217)/100</f>
        <v>62.83133333333334</v>
      </c>
      <c r="O210" s="203">
        <v>612</v>
      </c>
      <c r="P210" s="261"/>
      <c r="Q210" s="199">
        <f>SUMPRODUCT($B211:$B217,Q211:Q217)/100</f>
        <v>80.47</v>
      </c>
      <c r="R210" s="209">
        <f>SUMPRODUCT($B211:$B217,R211:R217)/100</f>
        <v>87.69</v>
      </c>
      <c r="S210" s="187"/>
      <c r="T210" s="187"/>
      <c r="U210" s="187"/>
      <c r="V210" s="187"/>
      <c r="W210" s="187"/>
      <c r="X210" s="187"/>
      <c r="Y210" s="187"/>
    </row>
    <row r="211" spans="1:25" ht="12.75">
      <c r="A211" s="187" t="s">
        <v>268</v>
      </c>
      <c r="B211" s="188">
        <v>48</v>
      </c>
      <c r="C211" s="202">
        <f>$C$210*B211/100</f>
        <v>3.36</v>
      </c>
      <c r="D211" s="260">
        <f>B$77</f>
        <v>5</v>
      </c>
      <c r="E211" s="176">
        <f>C$77</f>
        <v>10.777777777777779</v>
      </c>
      <c r="F211" s="176">
        <f>D$77</f>
        <v>28.77777777777778</v>
      </c>
      <c r="G211" s="202">
        <f>$G$210*B211/100</f>
        <v>116.64</v>
      </c>
      <c r="H211" s="260">
        <f>E$77</f>
        <v>5</v>
      </c>
      <c r="I211" s="176">
        <f>F$77</f>
        <v>25.866666666666667</v>
      </c>
      <c r="J211" s="176">
        <f>G$77</f>
        <v>41.06666666666666</v>
      </c>
      <c r="K211" s="202">
        <f>$K$210*B211/100</f>
        <v>116.64</v>
      </c>
      <c r="L211" s="260">
        <f>H$77</f>
        <v>4</v>
      </c>
      <c r="M211" s="176">
        <f>I$77</f>
        <v>43.111111111111114</v>
      </c>
      <c r="N211" s="176">
        <f>J$77</f>
        <v>55.111111111111114</v>
      </c>
      <c r="O211" s="202">
        <f>$O$210*B211/100</f>
        <v>293.76</v>
      </c>
      <c r="P211" s="260">
        <f>K$77</f>
        <v>2</v>
      </c>
      <c r="Q211" s="176">
        <f>L$77</f>
        <v>97</v>
      </c>
      <c r="R211" s="98">
        <f>M$77</f>
        <v>99</v>
      </c>
      <c r="S211" s="187"/>
      <c r="T211" s="187"/>
      <c r="U211" s="187"/>
      <c r="V211" s="187"/>
      <c r="W211" s="187"/>
      <c r="X211" s="187"/>
      <c r="Y211" s="187"/>
    </row>
    <row r="212" spans="1:25" ht="12.75">
      <c r="A212" s="187" t="s">
        <v>838</v>
      </c>
      <c r="B212" s="188">
        <v>29</v>
      </c>
      <c r="C212" s="202">
        <f aca="true" t="shared" si="46" ref="C212:C217">$C$210*B212/100</f>
        <v>2.03</v>
      </c>
      <c r="D212" s="260">
        <f>B$78</f>
        <v>5</v>
      </c>
      <c r="E212" s="176">
        <f>C$78</f>
        <v>40</v>
      </c>
      <c r="F212" s="176">
        <f>D$78</f>
        <v>60</v>
      </c>
      <c r="G212" s="202">
        <f aca="true" t="shared" si="47" ref="G212:G217">$G$210*B212/100</f>
        <v>70.47</v>
      </c>
      <c r="H212" s="260">
        <f>E$78</f>
        <v>5</v>
      </c>
      <c r="I212" s="176">
        <f>F$78</f>
        <v>40</v>
      </c>
      <c r="J212" s="176">
        <f>G$78</f>
        <v>60</v>
      </c>
      <c r="K212" s="202">
        <f aca="true" t="shared" si="48" ref="K212:K217">$K$210*B212/100</f>
        <v>70.47</v>
      </c>
      <c r="L212" s="260">
        <f>H$78</f>
        <v>5</v>
      </c>
      <c r="M212" s="176">
        <f>I$78</f>
        <v>40</v>
      </c>
      <c r="N212" s="176">
        <f>J$78</f>
        <v>60</v>
      </c>
      <c r="O212" s="202">
        <f aca="true" t="shared" si="49" ref="O212:O217">$O$210*B212/100</f>
        <v>177.48</v>
      </c>
      <c r="P212" s="260">
        <f>K$78</f>
        <v>5</v>
      </c>
      <c r="Q212" s="176">
        <f>L$78</f>
        <v>40</v>
      </c>
      <c r="R212" s="98">
        <f>M$78</f>
        <v>60</v>
      </c>
      <c r="S212" s="187"/>
      <c r="T212" s="187"/>
      <c r="U212" s="187"/>
      <c r="V212" s="187"/>
      <c r="W212" s="187"/>
      <c r="X212" s="187"/>
      <c r="Y212" s="187"/>
    </row>
    <row r="213" spans="1:25" ht="12.75">
      <c r="A213" s="187" t="s">
        <v>840</v>
      </c>
      <c r="B213" s="188">
        <v>7</v>
      </c>
      <c r="C213" s="202">
        <f t="shared" si="46"/>
        <v>0.49</v>
      </c>
      <c r="D213" s="260">
        <f>B$79</f>
        <v>5</v>
      </c>
      <c r="E213" s="176">
        <f>C$79</f>
        <v>25.866666666666667</v>
      </c>
      <c r="F213" s="176">
        <f>D$79</f>
        <v>41.06666666666666</v>
      </c>
      <c r="G213" s="202">
        <f t="shared" si="47"/>
        <v>17.01</v>
      </c>
      <c r="H213" s="260">
        <f>E$79</f>
        <v>4</v>
      </c>
      <c r="I213" s="176">
        <f>F$79</f>
        <v>40.955555555555556</v>
      </c>
      <c r="J213" s="176">
        <f>G$79</f>
        <v>53.355555555555554</v>
      </c>
      <c r="K213" s="202">
        <f t="shared" si="48"/>
        <v>17.01</v>
      </c>
      <c r="L213" s="260">
        <f>H$79</f>
        <v>4</v>
      </c>
      <c r="M213" s="176">
        <f>I$79</f>
        <v>58.2</v>
      </c>
      <c r="N213" s="176">
        <f>J$79</f>
        <v>67.4</v>
      </c>
      <c r="O213" s="202">
        <f t="shared" si="49"/>
        <v>42.84</v>
      </c>
      <c r="P213" s="260">
        <f>K$79</f>
        <v>2</v>
      </c>
      <c r="Q213" s="176">
        <f>L$79</f>
        <v>97</v>
      </c>
      <c r="R213" s="98">
        <f>M$79</f>
        <v>99</v>
      </c>
      <c r="S213" s="187"/>
      <c r="T213" s="187"/>
      <c r="U213" s="187"/>
      <c r="V213" s="187"/>
      <c r="W213" s="187"/>
      <c r="X213" s="187"/>
      <c r="Y213" s="187"/>
    </row>
    <row r="214" spans="1:25" ht="12.75">
      <c r="A214" s="187" t="s">
        <v>265</v>
      </c>
      <c r="B214" s="188">
        <v>6</v>
      </c>
      <c r="C214" s="202">
        <f t="shared" si="46"/>
        <v>0.42</v>
      </c>
      <c r="D214" s="260">
        <f>B$80</f>
        <v>3</v>
      </c>
      <c r="E214" s="176">
        <f>C$80</f>
        <v>68.97777777777777</v>
      </c>
      <c r="F214" s="176">
        <f>D$80</f>
        <v>76.17777777777778</v>
      </c>
      <c r="G214" s="202">
        <f t="shared" si="47"/>
        <v>14.58</v>
      </c>
      <c r="H214" s="260">
        <f>E$80</f>
        <v>3</v>
      </c>
      <c r="I214" s="176">
        <f>F$80</f>
        <v>84.06666666666666</v>
      </c>
      <c r="J214" s="176">
        <f>G$80</f>
        <v>88.46666666666667</v>
      </c>
      <c r="K214" s="202">
        <f t="shared" si="48"/>
        <v>14.58</v>
      </c>
      <c r="L214" s="260">
        <f>H$80</f>
        <v>2</v>
      </c>
      <c r="M214" s="176">
        <f>I$80</f>
        <v>97</v>
      </c>
      <c r="N214" s="176">
        <f>J$80</f>
        <v>99</v>
      </c>
      <c r="O214" s="202">
        <f t="shared" si="49"/>
        <v>36.72</v>
      </c>
      <c r="P214" s="260">
        <f>K$80</f>
        <v>2</v>
      </c>
      <c r="Q214" s="176">
        <f>L$80</f>
        <v>97</v>
      </c>
      <c r="R214" s="98">
        <f>M$80</f>
        <v>99</v>
      </c>
      <c r="S214" s="187"/>
      <c r="T214" s="187"/>
      <c r="U214" s="187"/>
      <c r="V214" s="187"/>
      <c r="W214" s="187"/>
      <c r="X214" s="187"/>
      <c r="Y214" s="187"/>
    </row>
    <row r="215" spans="1:25" ht="12.75">
      <c r="A215" s="187" t="s">
        <v>239</v>
      </c>
      <c r="B215" s="188">
        <v>5</v>
      </c>
      <c r="C215" s="202">
        <f t="shared" si="46"/>
        <v>0.35</v>
      </c>
      <c r="D215" s="260">
        <f>B$81</f>
        <v>5</v>
      </c>
      <c r="E215" s="176">
        <f>C$81</f>
        <v>25.866666666666667</v>
      </c>
      <c r="F215" s="176">
        <f>D$81</f>
        <v>41.06666666666666</v>
      </c>
      <c r="G215" s="202">
        <f t="shared" si="47"/>
        <v>12.15</v>
      </c>
      <c r="H215" s="260">
        <f>E$81</f>
        <v>4</v>
      </c>
      <c r="I215" s="176">
        <f>F$81</f>
        <v>40.955555555555556</v>
      </c>
      <c r="J215" s="176">
        <f>G$81</f>
        <v>53.355555555555554</v>
      </c>
      <c r="K215" s="202">
        <f t="shared" si="48"/>
        <v>12.15</v>
      </c>
      <c r="L215" s="260">
        <f>H$81</f>
        <v>4</v>
      </c>
      <c r="M215" s="176">
        <f>I$81</f>
        <v>58.2</v>
      </c>
      <c r="N215" s="176">
        <f>J$81</f>
        <v>67.4</v>
      </c>
      <c r="O215" s="202">
        <f t="shared" si="49"/>
        <v>30.6</v>
      </c>
      <c r="P215" s="260">
        <f>K$81</f>
        <v>2</v>
      </c>
      <c r="Q215" s="176">
        <f>L$81</f>
        <v>97</v>
      </c>
      <c r="R215" s="98">
        <f>M$81</f>
        <v>99</v>
      </c>
      <c r="S215" s="187"/>
      <c r="T215" s="187"/>
      <c r="U215" s="187"/>
      <c r="V215" s="187"/>
      <c r="W215" s="187"/>
      <c r="X215" s="187"/>
      <c r="Y215" s="187"/>
    </row>
    <row r="216" spans="1:25" ht="12.75">
      <c r="A216" s="187" t="s">
        <v>203</v>
      </c>
      <c r="B216" s="188">
        <v>2</v>
      </c>
      <c r="C216" s="202">
        <f t="shared" si="46"/>
        <v>0.14</v>
      </c>
      <c r="D216" s="260">
        <f>B$70</f>
        <v>1</v>
      </c>
      <c r="E216" s="176">
        <f>C$70</f>
        <v>97</v>
      </c>
      <c r="F216" s="176">
        <f>D$70</f>
        <v>99</v>
      </c>
      <c r="G216" s="202">
        <f t="shared" si="47"/>
        <v>4.86</v>
      </c>
      <c r="H216" s="260">
        <f>E$70</f>
        <v>1</v>
      </c>
      <c r="I216" s="176">
        <f>F$70</f>
        <v>97</v>
      </c>
      <c r="J216" s="176">
        <f>G$70</f>
        <v>99</v>
      </c>
      <c r="K216" s="202">
        <f t="shared" si="48"/>
        <v>4.86</v>
      </c>
      <c r="L216" s="260">
        <f>H$70</f>
        <v>1</v>
      </c>
      <c r="M216" s="176">
        <f>I$70</f>
        <v>97</v>
      </c>
      <c r="N216" s="176">
        <f>J$70</f>
        <v>99</v>
      </c>
      <c r="O216" s="202">
        <f t="shared" si="49"/>
        <v>12.24</v>
      </c>
      <c r="P216" s="260">
        <f>K$70</f>
        <v>1</v>
      </c>
      <c r="Q216" s="176">
        <f>L$70</f>
        <v>97</v>
      </c>
      <c r="R216" s="98">
        <f>M$70</f>
        <v>99</v>
      </c>
      <c r="S216" s="187"/>
      <c r="T216" s="187"/>
      <c r="U216" s="187"/>
      <c r="V216" s="187"/>
      <c r="W216" s="187"/>
      <c r="X216" s="187"/>
      <c r="Y216" s="187"/>
    </row>
    <row r="217" spans="1:25" ht="12.75">
      <c r="A217" s="187" t="s">
        <v>841</v>
      </c>
      <c r="B217" s="188">
        <v>3</v>
      </c>
      <c r="C217" s="202">
        <f t="shared" si="46"/>
        <v>0.21</v>
      </c>
      <c r="D217" s="260">
        <f>B$73</f>
        <v>1</v>
      </c>
      <c r="E217" s="176">
        <f>C$73</f>
        <v>97</v>
      </c>
      <c r="F217" s="176">
        <f>D$73</f>
        <v>99</v>
      </c>
      <c r="G217" s="202">
        <f t="shared" si="47"/>
        <v>7.29</v>
      </c>
      <c r="H217" s="260">
        <f>E$73</f>
        <v>1</v>
      </c>
      <c r="I217" s="176">
        <f>F$73</f>
        <v>97</v>
      </c>
      <c r="J217" s="176">
        <f>G$73</f>
        <v>99</v>
      </c>
      <c r="K217" s="202">
        <f t="shared" si="48"/>
        <v>7.29</v>
      </c>
      <c r="L217" s="260">
        <f>H$73</f>
        <v>1</v>
      </c>
      <c r="M217" s="176">
        <f>I$73</f>
        <v>97</v>
      </c>
      <c r="N217" s="176">
        <f>J$73</f>
        <v>99</v>
      </c>
      <c r="O217" s="202">
        <f t="shared" si="49"/>
        <v>18.36</v>
      </c>
      <c r="P217" s="260">
        <f>K$73</f>
        <v>1</v>
      </c>
      <c r="Q217" s="176">
        <f>L$73</f>
        <v>97</v>
      </c>
      <c r="R217" s="98">
        <f>M$73</f>
        <v>99</v>
      </c>
      <c r="S217" s="187"/>
      <c r="T217" s="187"/>
      <c r="U217" s="187"/>
      <c r="V217" s="187"/>
      <c r="W217" s="187"/>
      <c r="X217" s="187"/>
      <c r="Y217" s="187"/>
    </row>
    <row r="218" spans="1:25" ht="12.75">
      <c r="A218" s="190" t="s">
        <v>842</v>
      </c>
      <c r="B218" s="189">
        <f>SUM(B219:B227)</f>
        <v>100</v>
      </c>
      <c r="C218" s="203">
        <v>7</v>
      </c>
      <c r="D218" s="261"/>
      <c r="E218" s="199">
        <f>SUMPRODUCT($B219:$B227,E219:E227)/100</f>
        <v>34.18711111111111</v>
      </c>
      <c r="F218" s="199">
        <f>SUMPRODUCT($B219:$B227,F219:F227)/100</f>
        <v>47.52711111111111</v>
      </c>
      <c r="G218" s="203">
        <v>1902</v>
      </c>
      <c r="H218" s="261"/>
      <c r="I218" s="199">
        <f>SUMPRODUCT($B219:$B227,I219:I227)/100</f>
        <v>47.22822222222223</v>
      </c>
      <c r="J218" s="199">
        <f>SUMPRODUCT($B219:$B227,J219:J227)/100</f>
        <v>58.46422222222222</v>
      </c>
      <c r="K218" s="203">
        <v>1902</v>
      </c>
      <c r="L218" s="261"/>
      <c r="M218" s="199">
        <f>SUMPRODUCT($B219:$B227,M219:M227)/100</f>
        <v>62.57577777777779</v>
      </c>
      <c r="N218" s="199">
        <f>SUMPRODUCT($B219:$B227,N219:N227)/100</f>
        <v>70.96377777777776</v>
      </c>
      <c r="O218" s="203">
        <v>991</v>
      </c>
      <c r="P218" s="261"/>
      <c r="Q218" s="199">
        <f>SUMPRODUCT($B219:$B227,Q219:Q227)/100</f>
        <v>96.74133333333333</v>
      </c>
      <c r="R218" s="209">
        <f>SUMPRODUCT($B219:$B227,R219:R227)/100</f>
        <v>98.78933333333335</v>
      </c>
      <c r="S218" s="187"/>
      <c r="T218" s="187"/>
      <c r="U218" s="187"/>
      <c r="V218" s="187"/>
      <c r="W218" s="187"/>
      <c r="X218" s="187"/>
      <c r="Y218" s="187"/>
    </row>
    <row r="219" spans="1:25" ht="12.75">
      <c r="A219" s="187" t="s">
        <v>269</v>
      </c>
      <c r="B219" s="188">
        <v>34</v>
      </c>
      <c r="C219" s="202">
        <f>$C$218*B219/100</f>
        <v>2.38</v>
      </c>
      <c r="D219" s="260">
        <f>B$82</f>
        <v>4</v>
      </c>
      <c r="E219" s="176">
        <f>C$82</f>
        <v>47.422222222222224</v>
      </c>
      <c r="F219" s="176">
        <f>D$82</f>
        <v>58.62222222222222</v>
      </c>
      <c r="G219" s="202">
        <f>$G$218*B219/100</f>
        <v>646.68</v>
      </c>
      <c r="H219" s="260">
        <f>E$82</f>
        <v>4</v>
      </c>
      <c r="I219" s="176">
        <f>F$82</f>
        <v>62.51111111111111</v>
      </c>
      <c r="J219" s="176">
        <f>G$82</f>
        <v>70.91111111111111</v>
      </c>
      <c r="K219" s="202">
        <f>$K$218*B219/100</f>
        <v>646.68</v>
      </c>
      <c r="L219" s="260">
        <f>H$82</f>
        <v>3</v>
      </c>
      <c r="M219" s="176">
        <f>I$82</f>
        <v>79.75555555555556</v>
      </c>
      <c r="N219" s="176">
        <f>J$82</f>
        <v>84.95555555555555</v>
      </c>
      <c r="O219" s="202">
        <f>$O$218*B219/100</f>
        <v>336.94</v>
      </c>
      <c r="P219" s="260">
        <f>K$82</f>
        <v>2</v>
      </c>
      <c r="Q219" s="176">
        <f>L$82</f>
        <v>97</v>
      </c>
      <c r="R219" s="98">
        <f>M$82</f>
        <v>99</v>
      </c>
      <c r="S219" s="187"/>
      <c r="T219" s="187"/>
      <c r="U219" s="187"/>
      <c r="V219" s="187"/>
      <c r="W219" s="187"/>
      <c r="X219" s="187"/>
      <c r="Y219" s="187"/>
    </row>
    <row r="220" spans="1:25" ht="12.75">
      <c r="A220" s="187" t="s">
        <v>268</v>
      </c>
      <c r="B220" s="188">
        <v>15</v>
      </c>
      <c r="C220" s="202">
        <f aca="true" t="shared" si="50" ref="C220:C227">$C$218*B220/100</f>
        <v>1.05</v>
      </c>
      <c r="D220" s="260">
        <f>B$77</f>
        <v>5</v>
      </c>
      <c r="E220" s="176">
        <f>C$77</f>
        <v>10.777777777777779</v>
      </c>
      <c r="F220" s="176">
        <f>D$77</f>
        <v>28.77777777777778</v>
      </c>
      <c r="G220" s="202">
        <f aca="true" t="shared" si="51" ref="G220:G227">$G$218*B220/100</f>
        <v>285.3</v>
      </c>
      <c r="H220" s="260">
        <f>E$77</f>
        <v>5</v>
      </c>
      <c r="I220" s="176">
        <f>F$77</f>
        <v>25.866666666666667</v>
      </c>
      <c r="J220" s="176">
        <f>G$77</f>
        <v>41.06666666666666</v>
      </c>
      <c r="K220" s="202">
        <f aca="true" t="shared" si="52" ref="K220:K227">$K$218*B220/100</f>
        <v>285.3</v>
      </c>
      <c r="L220" s="260">
        <f>H$77</f>
        <v>4</v>
      </c>
      <c r="M220" s="176">
        <f>I$77</f>
        <v>43.111111111111114</v>
      </c>
      <c r="N220" s="176">
        <f>J$77</f>
        <v>55.111111111111114</v>
      </c>
      <c r="O220" s="202">
        <f aca="true" t="shared" si="53" ref="O220:O227">$O$218*B220/100</f>
        <v>148.65</v>
      </c>
      <c r="P220" s="260">
        <f>K$77</f>
        <v>2</v>
      </c>
      <c r="Q220" s="176">
        <f>L$77</f>
        <v>97</v>
      </c>
      <c r="R220" s="98">
        <f>M$77</f>
        <v>99</v>
      </c>
      <c r="S220" s="187"/>
      <c r="T220" s="187"/>
      <c r="U220" s="187"/>
      <c r="V220" s="187"/>
      <c r="W220" s="187"/>
      <c r="X220" s="187"/>
      <c r="Y220" s="187"/>
    </row>
    <row r="221" spans="1:25" ht="12.75">
      <c r="A221" s="187" t="s">
        <v>266</v>
      </c>
      <c r="B221" s="188">
        <v>23</v>
      </c>
      <c r="C221" s="202">
        <f t="shared" si="50"/>
        <v>1.61</v>
      </c>
      <c r="D221" s="260">
        <f>B$83</f>
        <v>5</v>
      </c>
      <c r="E221" s="176">
        <f>C$83</f>
        <v>15.088888888888889</v>
      </c>
      <c r="F221" s="176">
        <f>D$83</f>
        <v>32.28888888888889</v>
      </c>
      <c r="G221" s="202">
        <f t="shared" si="51"/>
        <v>437.46</v>
      </c>
      <c r="H221" s="260">
        <f>E$83</f>
        <v>5</v>
      </c>
      <c r="I221" s="176">
        <f>F$83</f>
        <v>30.177777777777777</v>
      </c>
      <c r="J221" s="176">
        <f>G$83</f>
        <v>44.57777777777778</v>
      </c>
      <c r="K221" s="202">
        <f t="shared" si="52"/>
        <v>437.46</v>
      </c>
      <c r="L221" s="260">
        <f>H$83</f>
        <v>4</v>
      </c>
      <c r="M221" s="176">
        <f>I$83</f>
        <v>47.422222222222224</v>
      </c>
      <c r="N221" s="176">
        <f>J$83</f>
        <v>58.62222222222222</v>
      </c>
      <c r="O221" s="202">
        <f t="shared" si="53"/>
        <v>227.93</v>
      </c>
      <c r="P221" s="260">
        <f>K$83</f>
        <v>2</v>
      </c>
      <c r="Q221" s="176">
        <f>L$83</f>
        <v>97</v>
      </c>
      <c r="R221" s="98">
        <f>M$83</f>
        <v>99</v>
      </c>
      <c r="S221" s="187"/>
      <c r="T221" s="187"/>
      <c r="U221" s="187"/>
      <c r="V221" s="187"/>
      <c r="W221" s="187"/>
      <c r="X221" s="187"/>
      <c r="Y221" s="187"/>
    </row>
    <row r="222" spans="1:25" ht="12.75">
      <c r="A222" s="187" t="s">
        <v>275</v>
      </c>
      <c r="B222" s="188">
        <v>7</v>
      </c>
      <c r="C222" s="202">
        <f t="shared" si="50"/>
        <v>0.49</v>
      </c>
      <c r="D222" s="260">
        <f>B$84</f>
        <v>1</v>
      </c>
      <c r="E222" s="176">
        <f>C$84</f>
        <v>97</v>
      </c>
      <c r="F222" s="176">
        <f>D$84</f>
        <v>99</v>
      </c>
      <c r="G222" s="202">
        <f t="shared" si="51"/>
        <v>133.14</v>
      </c>
      <c r="H222" s="260">
        <f>E$84</f>
        <v>1</v>
      </c>
      <c r="I222" s="176">
        <f>F$84</f>
        <v>97</v>
      </c>
      <c r="J222" s="176">
        <f>G$84</f>
        <v>99</v>
      </c>
      <c r="K222" s="202">
        <f t="shared" si="52"/>
        <v>133.14</v>
      </c>
      <c r="L222" s="260">
        <f>H$84</f>
        <v>1</v>
      </c>
      <c r="M222" s="176">
        <f>I$84</f>
        <v>97</v>
      </c>
      <c r="N222" s="176">
        <f>J$84</f>
        <v>99</v>
      </c>
      <c r="O222" s="202">
        <f t="shared" si="53"/>
        <v>69.37</v>
      </c>
      <c r="P222" s="260">
        <f>K$84</f>
        <v>1</v>
      </c>
      <c r="Q222" s="176">
        <f>L$84</f>
        <v>97</v>
      </c>
      <c r="R222" s="98">
        <f>M$84</f>
        <v>99</v>
      </c>
      <c r="S222" s="187"/>
      <c r="T222" s="187"/>
      <c r="U222" s="187"/>
      <c r="V222" s="187"/>
      <c r="W222" s="187"/>
      <c r="X222" s="187"/>
      <c r="Y222" s="187"/>
    </row>
    <row r="223" spans="1:25" ht="12.75">
      <c r="A223" s="187" t="s">
        <v>310</v>
      </c>
      <c r="B223" s="188">
        <v>4</v>
      </c>
      <c r="C223" s="202">
        <f t="shared" si="50"/>
        <v>0.28</v>
      </c>
      <c r="D223" s="260">
        <f>B$61</f>
        <v>1</v>
      </c>
      <c r="E223" s="176">
        <f>C$61</f>
        <v>97</v>
      </c>
      <c r="F223" s="176">
        <f>D$61</f>
        <v>99</v>
      </c>
      <c r="G223" s="202">
        <f t="shared" si="51"/>
        <v>76.08</v>
      </c>
      <c r="H223" s="260">
        <f>E$61</f>
        <v>1</v>
      </c>
      <c r="I223" s="176">
        <f>F$61</f>
        <v>97</v>
      </c>
      <c r="J223" s="176">
        <f>G$61</f>
        <v>99</v>
      </c>
      <c r="K223" s="202">
        <f t="shared" si="52"/>
        <v>76.08</v>
      </c>
      <c r="L223" s="260">
        <f>H$61</f>
        <v>1</v>
      </c>
      <c r="M223" s="176">
        <f>I$61</f>
        <v>97</v>
      </c>
      <c r="N223" s="176">
        <f>J$61</f>
        <v>99</v>
      </c>
      <c r="O223" s="202">
        <f t="shared" si="53"/>
        <v>39.64</v>
      </c>
      <c r="P223" s="260">
        <f>K$61</f>
        <v>1</v>
      </c>
      <c r="Q223" s="176">
        <f>L$61</f>
        <v>97</v>
      </c>
      <c r="R223" s="98">
        <f>M$61</f>
        <v>99</v>
      </c>
      <c r="S223" s="187"/>
      <c r="T223" s="187"/>
      <c r="U223" s="187"/>
      <c r="V223" s="187"/>
      <c r="W223" s="187"/>
      <c r="X223" s="187"/>
      <c r="Y223" s="187"/>
    </row>
    <row r="224" spans="1:25" ht="12.75">
      <c r="A224" s="187" t="s">
        <v>827</v>
      </c>
      <c r="B224" s="188">
        <v>4</v>
      </c>
      <c r="C224" s="202">
        <f t="shared" si="50"/>
        <v>0.28</v>
      </c>
      <c r="D224" s="260">
        <f>B$57</f>
        <v>8</v>
      </c>
      <c r="E224" s="176">
        <f>C$57</f>
        <v>0</v>
      </c>
      <c r="F224" s="176">
        <f>D$57</f>
        <v>14.733333333333334</v>
      </c>
      <c r="G224" s="202">
        <f t="shared" si="51"/>
        <v>76.08</v>
      </c>
      <c r="H224" s="260">
        <f>E$57</f>
        <v>5</v>
      </c>
      <c r="I224" s="176">
        <f>F$57</f>
        <v>8.622222222222222</v>
      </c>
      <c r="J224" s="176">
        <f>G$57</f>
        <v>27.022222222222222</v>
      </c>
      <c r="K224" s="202">
        <f t="shared" si="52"/>
        <v>76.08</v>
      </c>
      <c r="L224" s="260">
        <f>H$57</f>
        <v>5</v>
      </c>
      <c r="M224" s="176">
        <f>I$57</f>
        <v>25.866666666666667</v>
      </c>
      <c r="N224" s="176">
        <f>J$57</f>
        <v>41.06666666666666</v>
      </c>
      <c r="O224" s="202">
        <f t="shared" si="53"/>
        <v>39.64</v>
      </c>
      <c r="P224" s="260">
        <f>K$57</f>
        <v>3</v>
      </c>
      <c r="Q224" s="176">
        <f>L$57</f>
        <v>92.68888888888888</v>
      </c>
      <c r="R224" s="98">
        <f>M$57</f>
        <v>95.4888888888889</v>
      </c>
      <c r="S224" s="187"/>
      <c r="T224" s="187"/>
      <c r="U224" s="187"/>
      <c r="V224" s="187"/>
      <c r="W224" s="187"/>
      <c r="X224" s="187"/>
      <c r="Y224" s="187"/>
    </row>
    <row r="225" spans="1:25" ht="12.75">
      <c r="A225" s="187" t="s">
        <v>267</v>
      </c>
      <c r="B225" s="188">
        <v>2</v>
      </c>
      <c r="C225" s="202">
        <f t="shared" si="50"/>
        <v>0.14</v>
      </c>
      <c r="D225" s="260">
        <f>B$85</f>
        <v>8</v>
      </c>
      <c r="E225" s="176">
        <f>C$85</f>
        <v>0</v>
      </c>
      <c r="F225" s="176">
        <f>D$85</f>
        <v>14.733333333333334</v>
      </c>
      <c r="G225" s="202">
        <f t="shared" si="51"/>
        <v>38.04</v>
      </c>
      <c r="H225" s="260">
        <f>E$85</f>
        <v>5</v>
      </c>
      <c r="I225" s="176">
        <f>F$85</f>
        <v>8.622222222222222</v>
      </c>
      <c r="J225" s="176">
        <f>G$85</f>
        <v>27.022222222222222</v>
      </c>
      <c r="K225" s="202">
        <f t="shared" si="52"/>
        <v>38.04</v>
      </c>
      <c r="L225" s="260">
        <f>H$85</f>
        <v>5</v>
      </c>
      <c r="M225" s="176">
        <f>I$85</f>
        <v>25.866666666666667</v>
      </c>
      <c r="N225" s="176">
        <f>J$85</f>
        <v>41.06666666666666</v>
      </c>
      <c r="O225" s="202">
        <f t="shared" si="53"/>
        <v>19.82</v>
      </c>
      <c r="P225" s="260">
        <f>K$85</f>
        <v>3</v>
      </c>
      <c r="Q225" s="176">
        <f>L$85</f>
        <v>92.68888888888888</v>
      </c>
      <c r="R225" s="98">
        <f>M$85</f>
        <v>95.4888888888889</v>
      </c>
      <c r="S225" s="187"/>
      <c r="T225" s="187"/>
      <c r="U225" s="187"/>
      <c r="V225" s="187"/>
      <c r="W225" s="187"/>
      <c r="X225" s="187"/>
      <c r="Y225" s="187"/>
    </row>
    <row r="226" spans="1:25" ht="12.75">
      <c r="A226" s="187" t="s">
        <v>433</v>
      </c>
      <c r="B226" s="188">
        <v>6</v>
      </c>
      <c r="C226" s="202">
        <f t="shared" si="50"/>
        <v>0.42</v>
      </c>
      <c r="D226" s="260">
        <f>B$86</f>
        <v>5</v>
      </c>
      <c r="E226" s="176">
        <f>C$86</f>
        <v>25.866666666666667</v>
      </c>
      <c r="F226" s="176">
        <f>D$86</f>
        <v>41.06666666666666</v>
      </c>
      <c r="G226" s="202">
        <f t="shared" si="51"/>
        <v>114.12</v>
      </c>
      <c r="H226" s="260">
        <f>E$86</f>
        <v>4</v>
      </c>
      <c r="I226" s="176">
        <f>F$86</f>
        <v>40.955555555555556</v>
      </c>
      <c r="J226" s="176">
        <f>G$86</f>
        <v>53.355555555555554</v>
      </c>
      <c r="K226" s="202">
        <f t="shared" si="52"/>
        <v>114.12</v>
      </c>
      <c r="L226" s="260">
        <f>H$86</f>
        <v>4</v>
      </c>
      <c r="M226" s="176">
        <f>I$86</f>
        <v>58.2</v>
      </c>
      <c r="N226" s="176">
        <f>J$86</f>
        <v>67.4</v>
      </c>
      <c r="O226" s="202">
        <f t="shared" si="53"/>
        <v>59.46</v>
      </c>
      <c r="P226" s="260">
        <f>K$86</f>
        <v>2</v>
      </c>
      <c r="Q226" s="176">
        <f>L$86</f>
        <v>97</v>
      </c>
      <c r="R226" s="98">
        <f>M$86</f>
        <v>99</v>
      </c>
      <c r="S226" s="187"/>
      <c r="T226" s="187"/>
      <c r="U226" s="187"/>
      <c r="V226" s="187"/>
      <c r="W226" s="187"/>
      <c r="X226" s="187"/>
      <c r="Y226" s="187"/>
    </row>
    <row r="227" spans="1:25" ht="12.75">
      <c r="A227" s="187" t="s">
        <v>843</v>
      </c>
      <c r="B227" s="188">
        <v>5</v>
      </c>
      <c r="C227" s="202">
        <f t="shared" si="50"/>
        <v>0.35</v>
      </c>
      <c r="D227" s="260">
        <f>B$71</f>
        <v>5</v>
      </c>
      <c r="E227" s="176">
        <f>C$71</f>
        <v>15.088888888888889</v>
      </c>
      <c r="F227" s="176">
        <f>D$71</f>
        <v>32.28888888888889</v>
      </c>
      <c r="G227" s="202">
        <f t="shared" si="51"/>
        <v>95.1</v>
      </c>
      <c r="H227" s="260">
        <f>E$71</f>
        <v>5</v>
      </c>
      <c r="I227" s="176">
        <f>F$71</f>
        <v>30.177777777777777</v>
      </c>
      <c r="J227" s="176">
        <f>G$71</f>
        <v>44.57777777777778</v>
      </c>
      <c r="K227" s="202">
        <f t="shared" si="52"/>
        <v>95.1</v>
      </c>
      <c r="L227" s="260">
        <f>H$71</f>
        <v>4</v>
      </c>
      <c r="M227" s="176">
        <f>I$71</f>
        <v>47.422222222222224</v>
      </c>
      <c r="N227" s="176">
        <f>J$71</f>
        <v>58.62222222222222</v>
      </c>
      <c r="O227" s="202">
        <f t="shared" si="53"/>
        <v>49.55</v>
      </c>
      <c r="P227" s="260">
        <f>K$71</f>
        <v>2</v>
      </c>
      <c r="Q227" s="176">
        <f>L$71</f>
        <v>97</v>
      </c>
      <c r="R227" s="98">
        <f>M$71</f>
        <v>99</v>
      </c>
      <c r="S227" s="187"/>
      <c r="T227" s="187"/>
      <c r="U227" s="187"/>
      <c r="V227" s="187"/>
      <c r="W227" s="187"/>
      <c r="X227" s="187"/>
      <c r="Y227" s="187"/>
    </row>
    <row r="228" spans="1:25" ht="12.75">
      <c r="A228" s="190" t="s">
        <v>847</v>
      </c>
      <c r="B228" s="189">
        <f>SUM(B229:B237)</f>
        <v>100</v>
      </c>
      <c r="C228" s="203">
        <v>25</v>
      </c>
      <c r="D228" s="261"/>
      <c r="E228" s="199">
        <f>SUMPRODUCT($B229:$B237,E229:E237)/100</f>
        <v>77.1</v>
      </c>
      <c r="F228" s="199">
        <f>SUMPRODUCT($B229:$B237,F229:F237)/100</f>
        <v>84.13133333333333</v>
      </c>
      <c r="G228" s="203">
        <v>969</v>
      </c>
      <c r="H228" s="261"/>
      <c r="I228" s="199">
        <f>SUMPRODUCT($B229:$B237,I229:I237)/100</f>
        <v>81.69355555555556</v>
      </c>
      <c r="J228" s="199">
        <f>SUMPRODUCT($B229:$B237,J229:J237)/100</f>
        <v>87.72155555555557</v>
      </c>
      <c r="K228" s="203">
        <v>969</v>
      </c>
      <c r="L228" s="261"/>
      <c r="M228" s="199">
        <f>SUMPRODUCT($B229:$B237,M229:M237)/100</f>
        <v>87.46066666666665</v>
      </c>
      <c r="N228" s="199">
        <f>SUMPRODUCT($B229:$B237,N229:N237)/100</f>
        <v>91.82466666666666</v>
      </c>
      <c r="O228" s="203"/>
      <c r="P228" s="261"/>
      <c r="Q228" s="199">
        <f>SUMPRODUCT($B229:$B237,Q229:Q237)/100</f>
        <v>96.69822222222221</v>
      </c>
      <c r="R228" s="209">
        <f>SUMPRODUCT($B229:$B237,R229:R237)/100</f>
        <v>98.75422222222224</v>
      </c>
      <c r="S228" s="187"/>
      <c r="T228" s="187"/>
      <c r="U228" s="187"/>
      <c r="V228" s="187"/>
      <c r="W228" s="187"/>
      <c r="X228" s="187"/>
      <c r="Y228" s="187"/>
    </row>
    <row r="229" spans="1:25" ht="12.75">
      <c r="A229" s="187" t="s">
        <v>844</v>
      </c>
      <c r="B229" s="188">
        <v>17</v>
      </c>
      <c r="C229" s="202">
        <f>$C$228*B229/100</f>
        <v>4.25</v>
      </c>
      <c r="D229" s="260">
        <f>B$75</f>
        <v>1</v>
      </c>
      <c r="E229" s="176">
        <f>C$75</f>
        <v>97</v>
      </c>
      <c r="F229" s="176">
        <f>D$75</f>
        <v>99</v>
      </c>
      <c r="G229" s="202">
        <f>$G$228*B229/100</f>
        <v>164.73</v>
      </c>
      <c r="H229" s="260">
        <f>E$75</f>
        <v>1</v>
      </c>
      <c r="I229" s="176">
        <f>F$75</f>
        <v>97</v>
      </c>
      <c r="J229" s="176">
        <f>G$75</f>
        <v>99</v>
      </c>
      <c r="K229" s="202">
        <f>$K$228*B229/100</f>
        <v>164.73</v>
      </c>
      <c r="L229" s="260">
        <f>H$75</f>
        <v>1</v>
      </c>
      <c r="M229" s="176">
        <f>I$75</f>
        <v>97</v>
      </c>
      <c r="N229" s="176">
        <f>J$75</f>
        <v>99</v>
      </c>
      <c r="O229" s="202"/>
      <c r="P229" s="260">
        <f>K$75</f>
        <v>1</v>
      </c>
      <c r="Q229" s="176">
        <f>L$75</f>
        <v>97</v>
      </c>
      <c r="R229" s="98">
        <f>M$75</f>
        <v>99</v>
      </c>
      <c r="S229" s="187"/>
      <c r="T229" s="187"/>
      <c r="U229" s="187"/>
      <c r="V229" s="187"/>
      <c r="W229" s="187"/>
      <c r="X229" s="187"/>
      <c r="Y229" s="187"/>
    </row>
    <row r="230" spans="1:25" ht="12.75">
      <c r="A230" s="187" t="s">
        <v>845</v>
      </c>
      <c r="B230" s="188">
        <v>19</v>
      </c>
      <c r="C230" s="202">
        <f aca="true" t="shared" si="54" ref="C230:C237">$C$228*B230/100</f>
        <v>4.75</v>
      </c>
      <c r="D230" s="260">
        <f>B$56</f>
        <v>5</v>
      </c>
      <c r="E230" s="176">
        <f>C$56</f>
        <v>53.3</v>
      </c>
      <c r="F230" s="176">
        <f>D$56</f>
        <v>69.1</v>
      </c>
      <c r="G230" s="202">
        <f aca="true" t="shared" si="55" ref="G230:G237">$G$228*B230/100</f>
        <v>184.11</v>
      </c>
      <c r="H230" s="260">
        <f>E$56</f>
        <v>5</v>
      </c>
      <c r="I230" s="176">
        <f>F$56</f>
        <v>66.6</v>
      </c>
      <c r="J230" s="176">
        <f>G$56</f>
        <v>78.2</v>
      </c>
      <c r="K230" s="202">
        <f aca="true" t="shared" si="56" ref="K230:K237">$K$228*B230/100</f>
        <v>184.11</v>
      </c>
      <c r="L230" s="260">
        <f>H$56</f>
        <v>4</v>
      </c>
      <c r="M230" s="176">
        <f>I$56</f>
        <v>81.8</v>
      </c>
      <c r="N230" s="176">
        <f>J$56</f>
        <v>88.6</v>
      </c>
      <c r="O230" s="202"/>
      <c r="P230" s="260">
        <f>K$56</f>
        <v>2</v>
      </c>
      <c r="Q230" s="176">
        <f>L$56</f>
        <v>97</v>
      </c>
      <c r="R230" s="98">
        <f>M$56</f>
        <v>99</v>
      </c>
      <c r="S230" s="187"/>
      <c r="T230" s="187"/>
      <c r="U230" s="187"/>
      <c r="V230" s="187"/>
      <c r="W230" s="187"/>
      <c r="X230" s="187"/>
      <c r="Y230" s="187"/>
    </row>
    <row r="231" spans="1:25" ht="12.75">
      <c r="A231" s="187" t="s">
        <v>846</v>
      </c>
      <c r="B231" s="188">
        <v>10</v>
      </c>
      <c r="C231" s="202">
        <f t="shared" si="54"/>
        <v>2.5</v>
      </c>
      <c r="D231" s="260">
        <f>B$61</f>
        <v>1</v>
      </c>
      <c r="E231" s="176">
        <f>C$61</f>
        <v>97</v>
      </c>
      <c r="F231" s="176">
        <f>D$61</f>
        <v>99</v>
      </c>
      <c r="G231" s="202">
        <f t="shared" si="55"/>
        <v>96.9</v>
      </c>
      <c r="H231" s="260">
        <f>E$61</f>
        <v>1</v>
      </c>
      <c r="I231" s="176">
        <f>F$61</f>
        <v>97</v>
      </c>
      <c r="J231" s="176">
        <f>G$61</f>
        <v>99</v>
      </c>
      <c r="K231" s="202">
        <f t="shared" si="56"/>
        <v>96.9</v>
      </c>
      <c r="L231" s="260">
        <f>H$61</f>
        <v>1</v>
      </c>
      <c r="M231" s="176">
        <f>I$61</f>
        <v>97</v>
      </c>
      <c r="N231" s="176">
        <f>J$61</f>
        <v>99</v>
      </c>
      <c r="O231" s="202"/>
      <c r="P231" s="260">
        <f>K$61</f>
        <v>1</v>
      </c>
      <c r="Q231" s="176">
        <f>L$61</f>
        <v>97</v>
      </c>
      <c r="R231" s="98">
        <f>M$61</f>
        <v>99</v>
      </c>
      <c r="S231" s="187"/>
      <c r="T231" s="187"/>
      <c r="U231" s="187"/>
      <c r="V231" s="187"/>
      <c r="W231" s="187"/>
      <c r="X231" s="187"/>
      <c r="Y231" s="187"/>
    </row>
    <row r="232" spans="1:25" ht="12.75">
      <c r="A232" s="187" t="s">
        <v>229</v>
      </c>
      <c r="B232" s="188">
        <v>7</v>
      </c>
      <c r="C232" s="202">
        <f t="shared" si="54"/>
        <v>1.75</v>
      </c>
      <c r="D232" s="260">
        <f>B$48</f>
        <v>8</v>
      </c>
      <c r="E232" s="176">
        <f>C$48</f>
        <v>0</v>
      </c>
      <c r="F232" s="176">
        <f>D$48</f>
        <v>14.733333333333334</v>
      </c>
      <c r="G232" s="202">
        <f t="shared" si="55"/>
        <v>67.83</v>
      </c>
      <c r="H232" s="260">
        <f>E$48</f>
        <v>5</v>
      </c>
      <c r="I232" s="176">
        <f>F$48</f>
        <v>8.622222222222222</v>
      </c>
      <c r="J232" s="176">
        <f>G$48</f>
        <v>27.022222222222222</v>
      </c>
      <c r="K232" s="202">
        <f t="shared" si="56"/>
        <v>67.83</v>
      </c>
      <c r="L232" s="260">
        <f>H$48</f>
        <v>5</v>
      </c>
      <c r="M232" s="176">
        <f>I$48</f>
        <v>25.866666666666667</v>
      </c>
      <c r="N232" s="176">
        <f>J$48</f>
        <v>41.06666666666666</v>
      </c>
      <c r="O232" s="202"/>
      <c r="P232" s="260">
        <f>K$48</f>
        <v>3</v>
      </c>
      <c r="Q232" s="176">
        <f>L$48</f>
        <v>92.68888888888888</v>
      </c>
      <c r="R232" s="98">
        <f>M$48</f>
        <v>95.4888888888889</v>
      </c>
      <c r="S232" s="187"/>
      <c r="T232" s="187"/>
      <c r="U232" s="187"/>
      <c r="V232" s="187"/>
      <c r="W232" s="187"/>
      <c r="X232" s="187"/>
      <c r="Y232" s="187"/>
    </row>
    <row r="233" spans="1:25" ht="12.75">
      <c r="A233" s="187" t="s">
        <v>275</v>
      </c>
      <c r="B233" s="188">
        <v>15</v>
      </c>
      <c r="C233" s="202">
        <f t="shared" si="54"/>
        <v>3.75</v>
      </c>
      <c r="D233" s="260">
        <f>B$84</f>
        <v>1</v>
      </c>
      <c r="E233" s="176">
        <f>C$84</f>
        <v>97</v>
      </c>
      <c r="F233" s="176">
        <f>D$84</f>
        <v>99</v>
      </c>
      <c r="G233" s="202">
        <f t="shared" si="55"/>
        <v>145.35</v>
      </c>
      <c r="H233" s="260">
        <f>E$84</f>
        <v>1</v>
      </c>
      <c r="I233" s="176">
        <f>F$84</f>
        <v>97</v>
      </c>
      <c r="J233" s="176">
        <f>G$84</f>
        <v>99</v>
      </c>
      <c r="K233" s="202">
        <f t="shared" si="56"/>
        <v>145.35</v>
      </c>
      <c r="L233" s="260">
        <f>H$84</f>
        <v>1</v>
      </c>
      <c r="M233" s="176">
        <f>I$84</f>
        <v>97</v>
      </c>
      <c r="N233" s="176">
        <f>J$84</f>
        <v>99</v>
      </c>
      <c r="O233" s="202"/>
      <c r="P233" s="260">
        <f>K$84</f>
        <v>1</v>
      </c>
      <c r="Q233" s="176">
        <f>L$84</f>
        <v>97</v>
      </c>
      <c r="R233" s="98">
        <f>M$84</f>
        <v>99</v>
      </c>
      <c r="S233" s="187"/>
      <c r="T233" s="187"/>
      <c r="U233" s="187"/>
      <c r="V233" s="187"/>
      <c r="W233" s="187"/>
      <c r="X233" s="187"/>
      <c r="Y233" s="187"/>
    </row>
    <row r="234" spans="1:25" ht="12.75">
      <c r="A234" s="187" t="s">
        <v>270</v>
      </c>
      <c r="B234" s="188">
        <v>11</v>
      </c>
      <c r="C234" s="202">
        <f t="shared" si="54"/>
        <v>2.75</v>
      </c>
      <c r="D234" s="260">
        <f>B$87</f>
        <v>1</v>
      </c>
      <c r="E234" s="176">
        <f>C$87</f>
        <v>97</v>
      </c>
      <c r="F234" s="176">
        <f>D$87</f>
        <v>99</v>
      </c>
      <c r="G234" s="202">
        <f t="shared" si="55"/>
        <v>106.59</v>
      </c>
      <c r="H234" s="260">
        <f>E$87</f>
        <v>1</v>
      </c>
      <c r="I234" s="176">
        <f>F$87</f>
        <v>97</v>
      </c>
      <c r="J234" s="176">
        <f>G$87</f>
        <v>99</v>
      </c>
      <c r="K234" s="202">
        <f t="shared" si="56"/>
        <v>106.59</v>
      </c>
      <c r="L234" s="260">
        <f>H$87</f>
        <v>1</v>
      </c>
      <c r="M234" s="176">
        <f>I$87</f>
        <v>97</v>
      </c>
      <c r="N234" s="176">
        <f>J$87</f>
        <v>99</v>
      </c>
      <c r="O234" s="202"/>
      <c r="P234" s="260">
        <f>K$87</f>
        <v>1</v>
      </c>
      <c r="Q234" s="176">
        <f>L$87</f>
        <v>97</v>
      </c>
      <c r="R234" s="98">
        <f>M$87</f>
        <v>99</v>
      </c>
      <c r="S234" s="187"/>
      <c r="T234" s="187"/>
      <c r="U234" s="187"/>
      <c r="V234" s="187"/>
      <c r="W234" s="187"/>
      <c r="X234" s="187"/>
      <c r="Y234" s="187"/>
    </row>
    <row r="235" spans="1:25" ht="12.75">
      <c r="A235" s="187" t="s">
        <v>257</v>
      </c>
      <c r="B235" s="188">
        <v>11</v>
      </c>
      <c r="C235" s="202">
        <f t="shared" si="54"/>
        <v>2.75</v>
      </c>
      <c r="D235" s="260">
        <f>B$55</f>
        <v>5</v>
      </c>
      <c r="E235" s="176">
        <f>C$55</f>
        <v>53.3</v>
      </c>
      <c r="F235" s="176">
        <f>D$55</f>
        <v>69.1</v>
      </c>
      <c r="G235" s="202">
        <f t="shared" si="55"/>
        <v>106.59</v>
      </c>
      <c r="H235" s="260">
        <f>E$55</f>
        <v>5</v>
      </c>
      <c r="I235" s="176">
        <f>F$55</f>
        <v>66.6</v>
      </c>
      <c r="J235" s="176">
        <f>G$55</f>
        <v>78.2</v>
      </c>
      <c r="K235" s="202">
        <f t="shared" si="56"/>
        <v>106.59</v>
      </c>
      <c r="L235" s="260">
        <f>H$55</f>
        <v>4</v>
      </c>
      <c r="M235" s="176">
        <f>I$55</f>
        <v>81.8</v>
      </c>
      <c r="N235" s="176">
        <f>J$55</f>
        <v>88.6</v>
      </c>
      <c r="O235" s="202"/>
      <c r="P235" s="260">
        <f>K$55</f>
        <v>2</v>
      </c>
      <c r="Q235" s="176">
        <f>L$55</f>
        <v>97</v>
      </c>
      <c r="R235" s="98">
        <f>M$55</f>
        <v>99</v>
      </c>
      <c r="S235" s="187"/>
      <c r="T235" s="187"/>
      <c r="U235" s="187"/>
      <c r="V235" s="187"/>
      <c r="W235" s="187"/>
      <c r="X235" s="187"/>
      <c r="Y235" s="187"/>
    </row>
    <row r="236" spans="1:25" ht="12.75">
      <c r="A236" s="187" t="s">
        <v>263</v>
      </c>
      <c r="B236" s="188">
        <v>4</v>
      </c>
      <c r="C236" s="202">
        <f t="shared" si="54"/>
        <v>1</v>
      </c>
      <c r="D236" s="260">
        <f>B$74</f>
        <v>1</v>
      </c>
      <c r="E236" s="176">
        <f>C$74</f>
        <v>97</v>
      </c>
      <c r="F236" s="176">
        <f>D$74</f>
        <v>99</v>
      </c>
      <c r="G236" s="202">
        <f t="shared" si="55"/>
        <v>38.76</v>
      </c>
      <c r="H236" s="260">
        <f>E$74</f>
        <v>1</v>
      </c>
      <c r="I236" s="176">
        <f>F$74</f>
        <v>97</v>
      </c>
      <c r="J236" s="176">
        <f>G$74</f>
        <v>99</v>
      </c>
      <c r="K236" s="202">
        <f t="shared" si="56"/>
        <v>38.76</v>
      </c>
      <c r="L236" s="260">
        <f>H$74</f>
        <v>1</v>
      </c>
      <c r="M236" s="176">
        <f>I$74</f>
        <v>97</v>
      </c>
      <c r="N236" s="176">
        <f>J$74</f>
        <v>99</v>
      </c>
      <c r="O236" s="202"/>
      <c r="P236" s="260">
        <f>K$74</f>
        <v>1</v>
      </c>
      <c r="Q236" s="176">
        <f>L$74</f>
        <v>97</v>
      </c>
      <c r="R236" s="98">
        <f>M$74</f>
        <v>99</v>
      </c>
      <c r="S236" s="187"/>
      <c r="T236" s="187"/>
      <c r="U236" s="187"/>
      <c r="V236" s="187"/>
      <c r="W236" s="187"/>
      <c r="X236" s="187"/>
      <c r="Y236" s="187"/>
    </row>
    <row r="237" spans="1:25" ht="12.75">
      <c r="A237" s="187" t="s">
        <v>295</v>
      </c>
      <c r="B237" s="188">
        <v>6</v>
      </c>
      <c r="C237" s="202">
        <f t="shared" si="54"/>
        <v>1.5</v>
      </c>
      <c r="D237" s="260">
        <f>B$88</f>
        <v>1</v>
      </c>
      <c r="E237" s="176">
        <f>C$88</f>
        <v>97</v>
      </c>
      <c r="F237" s="176">
        <f>D$88</f>
        <v>99</v>
      </c>
      <c r="G237" s="202">
        <f t="shared" si="55"/>
        <v>58.14</v>
      </c>
      <c r="H237" s="260">
        <f>E$88</f>
        <v>1</v>
      </c>
      <c r="I237" s="176">
        <f>F$88</f>
        <v>97</v>
      </c>
      <c r="J237" s="176">
        <f>G$88</f>
        <v>99</v>
      </c>
      <c r="K237" s="202">
        <f t="shared" si="56"/>
        <v>58.14</v>
      </c>
      <c r="L237" s="260">
        <f>H$88</f>
        <v>1</v>
      </c>
      <c r="M237" s="176">
        <f>I$88</f>
        <v>97</v>
      </c>
      <c r="N237" s="176">
        <f>J$88</f>
        <v>99</v>
      </c>
      <c r="O237" s="202"/>
      <c r="P237" s="260">
        <f>K$88</f>
        <v>1</v>
      </c>
      <c r="Q237" s="176">
        <f>L$88</f>
        <v>97</v>
      </c>
      <c r="R237" s="98">
        <f>M$88</f>
        <v>99</v>
      </c>
      <c r="S237" s="187"/>
      <c r="T237" s="187"/>
      <c r="U237" s="187"/>
      <c r="V237" s="187"/>
      <c r="W237" s="187"/>
      <c r="X237" s="187"/>
      <c r="Y237" s="187"/>
    </row>
    <row r="238" spans="1:25" ht="12.75">
      <c r="A238" s="190" t="s">
        <v>850</v>
      </c>
      <c r="B238" s="189">
        <f>SUM(B239:B248)</f>
        <v>100</v>
      </c>
      <c r="C238" s="203"/>
      <c r="D238" s="261"/>
      <c r="E238" s="199">
        <f>SUMPRODUCT($B239:$B248,E239:E248)/100</f>
        <v>32.48977777777778</v>
      </c>
      <c r="F238" s="199">
        <f>SUMPRODUCT($B239:$B248,F239:F248)/100</f>
        <v>47.78511111111111</v>
      </c>
      <c r="G238" s="203">
        <v>159</v>
      </c>
      <c r="H238" s="261"/>
      <c r="I238" s="199">
        <f>SUMPRODUCT($B239:$B248,I239:I248)/100</f>
        <v>41.80177777777778</v>
      </c>
      <c r="J238" s="199">
        <f>SUMPRODUCT($B239:$B248,J239:J248)/100</f>
        <v>55.895777777777774</v>
      </c>
      <c r="K238" s="203">
        <v>159</v>
      </c>
      <c r="L238" s="261"/>
      <c r="M238" s="199">
        <f>SUMPRODUCT($B239:$B248,M239:M248)/100</f>
        <v>56.96122222222221</v>
      </c>
      <c r="N238" s="199">
        <f>SUMPRODUCT($B239:$B248,N239:N248)/100</f>
        <v>67.70522222222222</v>
      </c>
      <c r="O238" s="203">
        <v>502</v>
      </c>
      <c r="P238" s="261"/>
      <c r="Q238" s="199">
        <f>SUMPRODUCT($B239:$B248,Q239:Q248)/100</f>
        <v>93.65888888888888</v>
      </c>
      <c r="R238" s="209">
        <f>SUMPRODUCT($B239:$B248,R239:R248)/100</f>
        <v>95.82888888888888</v>
      </c>
      <c r="S238" s="187"/>
      <c r="T238" s="187"/>
      <c r="U238" s="187"/>
      <c r="V238" s="187"/>
      <c r="W238" s="187"/>
      <c r="X238" s="187"/>
      <c r="Y238" s="187"/>
    </row>
    <row r="239" spans="1:25" ht="12.75">
      <c r="A239" s="187" t="s">
        <v>848</v>
      </c>
      <c r="B239" s="188">
        <v>31</v>
      </c>
      <c r="C239" s="202"/>
      <c r="D239" s="260">
        <f>B$79</f>
        <v>5</v>
      </c>
      <c r="E239" s="176">
        <f>C$79</f>
        <v>25.866666666666667</v>
      </c>
      <c r="F239" s="176">
        <f>D$79</f>
        <v>41.06666666666666</v>
      </c>
      <c r="G239" s="202">
        <f>$G$238*B239/100</f>
        <v>49.29</v>
      </c>
      <c r="H239" s="260">
        <f>E$79</f>
        <v>4</v>
      </c>
      <c r="I239" s="176">
        <f>F$79</f>
        <v>40.955555555555556</v>
      </c>
      <c r="J239" s="176">
        <f>G$79</f>
        <v>53.355555555555554</v>
      </c>
      <c r="K239" s="202">
        <f>$K$238*B239/100</f>
        <v>49.29</v>
      </c>
      <c r="L239" s="260">
        <f>H$79</f>
        <v>4</v>
      </c>
      <c r="M239" s="176">
        <f>I$79</f>
        <v>58.2</v>
      </c>
      <c r="N239" s="176">
        <f>J$79</f>
        <v>67.4</v>
      </c>
      <c r="O239" s="202">
        <f>$O$238*B239/100</f>
        <v>155.62</v>
      </c>
      <c r="P239" s="260">
        <f>K$79</f>
        <v>2</v>
      </c>
      <c r="Q239" s="176">
        <f>L$79</f>
        <v>97</v>
      </c>
      <c r="R239" s="98">
        <f>M$79</f>
        <v>99</v>
      </c>
      <c r="S239" s="187"/>
      <c r="T239" s="187"/>
      <c r="U239" s="187"/>
      <c r="V239" s="187"/>
      <c r="W239" s="187"/>
      <c r="X239" s="187"/>
      <c r="Y239" s="187"/>
    </row>
    <row r="240" spans="1:25" ht="12.75">
      <c r="A240" s="187" t="s">
        <v>849</v>
      </c>
      <c r="B240" s="188">
        <v>22</v>
      </c>
      <c r="C240" s="202"/>
      <c r="D240" s="260">
        <f>B$89</f>
        <v>5</v>
      </c>
      <c r="E240" s="176">
        <f>C$89</f>
        <v>40</v>
      </c>
      <c r="F240" s="176">
        <f>D$89</f>
        <v>60</v>
      </c>
      <c r="G240" s="202">
        <f aca="true" t="shared" si="57" ref="G240:G248">$G$238*B240/100</f>
        <v>34.98</v>
      </c>
      <c r="H240" s="260">
        <f>E$89</f>
        <v>5</v>
      </c>
      <c r="I240" s="176">
        <f>F$89</f>
        <v>40</v>
      </c>
      <c r="J240" s="176">
        <f>G$89</f>
        <v>60</v>
      </c>
      <c r="K240" s="202">
        <f aca="true" t="shared" si="58" ref="K240:K248">$K$238*B240/100</f>
        <v>34.98</v>
      </c>
      <c r="L240" s="260">
        <f>H$89</f>
        <v>5</v>
      </c>
      <c r="M240" s="176">
        <f>I$89</f>
        <v>53.3</v>
      </c>
      <c r="N240" s="176">
        <f>J$89</f>
        <v>69.1</v>
      </c>
      <c r="O240" s="202">
        <f aca="true" t="shared" si="59" ref="O240:O248">$O$238*B240/100</f>
        <v>110.44</v>
      </c>
      <c r="P240" s="260">
        <f>K$89</f>
        <v>3</v>
      </c>
      <c r="Q240" s="176">
        <f>L$89</f>
        <v>97</v>
      </c>
      <c r="R240" s="98">
        <f>M$89</f>
        <v>99</v>
      </c>
      <c r="S240" s="187"/>
      <c r="T240" s="187"/>
      <c r="U240" s="187"/>
      <c r="V240" s="187"/>
      <c r="W240" s="187"/>
      <c r="X240" s="187"/>
      <c r="Y240" s="187"/>
    </row>
    <row r="241" spans="1:25" ht="12.75">
      <c r="A241" s="187" t="s">
        <v>271</v>
      </c>
      <c r="B241" s="188">
        <v>3</v>
      </c>
      <c r="C241" s="202"/>
      <c r="D241" s="260">
        <f>B$90</f>
        <v>3</v>
      </c>
      <c r="E241" s="176">
        <f>C$90</f>
        <v>68.97777777777777</v>
      </c>
      <c r="F241" s="176">
        <f>D$90</f>
        <v>76.17777777777778</v>
      </c>
      <c r="G241" s="202">
        <f t="shared" si="57"/>
        <v>4.77</v>
      </c>
      <c r="H241" s="260">
        <f>E$90</f>
        <v>3</v>
      </c>
      <c r="I241" s="176">
        <f>F$90</f>
        <v>84.06666666666666</v>
      </c>
      <c r="J241" s="176">
        <f>G$90</f>
        <v>88.46666666666667</v>
      </c>
      <c r="K241" s="202">
        <f t="shared" si="58"/>
        <v>4.77</v>
      </c>
      <c r="L241" s="260">
        <f>H$90</f>
        <v>2</v>
      </c>
      <c r="M241" s="176">
        <f>I$90</f>
        <v>97</v>
      </c>
      <c r="N241" s="176">
        <f>J$90</f>
        <v>99</v>
      </c>
      <c r="O241" s="202">
        <f t="shared" si="59"/>
        <v>15.06</v>
      </c>
      <c r="P241" s="260">
        <f>K$90</f>
        <v>2</v>
      </c>
      <c r="Q241" s="176">
        <f>L$90</f>
        <v>97</v>
      </c>
      <c r="R241" s="98">
        <f>M$90</f>
        <v>99</v>
      </c>
      <c r="S241" s="187"/>
      <c r="T241" s="187"/>
      <c r="U241" s="187"/>
      <c r="V241" s="187"/>
      <c r="W241" s="187"/>
      <c r="X241" s="187"/>
      <c r="Y241" s="187"/>
    </row>
    <row r="242" spans="1:25" ht="12.75">
      <c r="A242" s="187" t="s">
        <v>262</v>
      </c>
      <c r="B242" s="188">
        <v>5</v>
      </c>
      <c r="C242" s="202"/>
      <c r="D242" s="260">
        <f>B$69</f>
        <v>4</v>
      </c>
      <c r="E242" s="176">
        <f>C$69</f>
        <v>47.422222222222224</v>
      </c>
      <c r="F242" s="176">
        <f>D$69</f>
        <v>58.62222222222222</v>
      </c>
      <c r="G242" s="202">
        <f t="shared" si="57"/>
        <v>7.95</v>
      </c>
      <c r="H242" s="260">
        <f>E$69</f>
        <v>4</v>
      </c>
      <c r="I242" s="176">
        <f>F$69</f>
        <v>62.51111111111111</v>
      </c>
      <c r="J242" s="176">
        <f>G$69</f>
        <v>70.91111111111111</v>
      </c>
      <c r="K242" s="202">
        <f t="shared" si="58"/>
        <v>7.95</v>
      </c>
      <c r="L242" s="260">
        <f>H$69</f>
        <v>3</v>
      </c>
      <c r="M242" s="176">
        <f>I$69</f>
        <v>79.75555555555556</v>
      </c>
      <c r="N242" s="176">
        <f>J$69</f>
        <v>84.95555555555555</v>
      </c>
      <c r="O242" s="202">
        <f t="shared" si="59"/>
        <v>25.1</v>
      </c>
      <c r="P242" s="260">
        <f>K$69</f>
        <v>2</v>
      </c>
      <c r="Q242" s="176">
        <f>L$69</f>
        <v>97</v>
      </c>
      <c r="R242" s="98">
        <f>M$69</f>
        <v>99</v>
      </c>
      <c r="S242" s="187"/>
      <c r="T242" s="187"/>
      <c r="U242" s="187"/>
      <c r="V242" s="187"/>
      <c r="W242" s="187"/>
      <c r="X242" s="187"/>
      <c r="Y242" s="187"/>
    </row>
    <row r="243" spans="1:25" ht="12.75">
      <c r="A243" s="187" t="s">
        <v>272</v>
      </c>
      <c r="B243" s="188">
        <v>10</v>
      </c>
      <c r="C243" s="202"/>
      <c r="D243" s="260">
        <f>B$91</f>
        <v>8</v>
      </c>
      <c r="E243" s="176">
        <f>C$91</f>
        <v>0</v>
      </c>
      <c r="F243" s="176">
        <f>D$91</f>
        <v>14.733333333333334</v>
      </c>
      <c r="G243" s="202">
        <f t="shared" si="57"/>
        <v>15.9</v>
      </c>
      <c r="H243" s="260">
        <f>E$91</f>
        <v>5</v>
      </c>
      <c r="I243" s="176">
        <f>F$91</f>
        <v>8.622222222222222</v>
      </c>
      <c r="J243" s="176">
        <f>G$91</f>
        <v>27.022222222222222</v>
      </c>
      <c r="K243" s="202">
        <f t="shared" si="58"/>
        <v>15.9</v>
      </c>
      <c r="L243" s="260">
        <f>H$91</f>
        <v>5</v>
      </c>
      <c r="M243" s="176">
        <f>I$91</f>
        <v>25.866666666666667</v>
      </c>
      <c r="N243" s="176">
        <f>J$91</f>
        <v>41.06666666666666</v>
      </c>
      <c r="O243" s="202">
        <f t="shared" si="59"/>
        <v>50.2</v>
      </c>
      <c r="P243" s="260">
        <f>K$91</f>
        <v>3</v>
      </c>
      <c r="Q243" s="176">
        <f>L$91</f>
        <v>92.68888888888888</v>
      </c>
      <c r="R243" s="98">
        <f>M$91</f>
        <v>95.4888888888889</v>
      </c>
      <c r="S243" s="187"/>
      <c r="T243" s="187"/>
      <c r="U243" s="187"/>
      <c r="V243" s="187"/>
      <c r="W243" s="187"/>
      <c r="X243" s="187"/>
      <c r="Y243" s="187"/>
    </row>
    <row r="244" spans="1:25" ht="12.75">
      <c r="A244" s="187" t="s">
        <v>438</v>
      </c>
      <c r="B244" s="188">
        <v>5</v>
      </c>
      <c r="C244" s="202"/>
      <c r="D244" s="260">
        <f>B$92</f>
        <v>3</v>
      </c>
      <c r="E244" s="176">
        <f>C$92</f>
        <v>68.97777777777777</v>
      </c>
      <c r="F244" s="176">
        <f>D$92</f>
        <v>76.17777777777778</v>
      </c>
      <c r="G244" s="202">
        <f t="shared" si="57"/>
        <v>7.95</v>
      </c>
      <c r="H244" s="260">
        <f>E$92</f>
        <v>3</v>
      </c>
      <c r="I244" s="176">
        <f>F$92</f>
        <v>84.06666666666666</v>
      </c>
      <c r="J244" s="176">
        <f>G$92</f>
        <v>88.46666666666667</v>
      </c>
      <c r="K244" s="202">
        <f t="shared" si="58"/>
        <v>7.95</v>
      </c>
      <c r="L244" s="260">
        <f>H$92</f>
        <v>2</v>
      </c>
      <c r="M244" s="176">
        <f>I$92</f>
        <v>97</v>
      </c>
      <c r="N244" s="176">
        <f>J$92</f>
        <v>99</v>
      </c>
      <c r="O244" s="202">
        <f t="shared" si="59"/>
        <v>25.1</v>
      </c>
      <c r="P244" s="260">
        <f>K$92</f>
        <v>2</v>
      </c>
      <c r="Q244" s="176">
        <f>L$92</f>
        <v>97</v>
      </c>
      <c r="R244" s="98">
        <f>M$92</f>
        <v>99</v>
      </c>
      <c r="S244" s="187"/>
      <c r="T244" s="187"/>
      <c r="U244" s="187"/>
      <c r="V244" s="187"/>
      <c r="W244" s="187"/>
      <c r="X244" s="187"/>
      <c r="Y244" s="187"/>
    </row>
    <row r="245" spans="1:25" ht="12.75">
      <c r="A245" s="187" t="s">
        <v>273</v>
      </c>
      <c r="B245" s="188">
        <v>5</v>
      </c>
      <c r="C245" s="202"/>
      <c r="D245" s="260">
        <f>B$93</f>
        <v>4</v>
      </c>
      <c r="E245" s="176">
        <f>C$93</f>
        <v>47.422222222222224</v>
      </c>
      <c r="F245" s="176">
        <f>D$93</f>
        <v>58.62222222222222</v>
      </c>
      <c r="G245" s="202">
        <f t="shared" si="57"/>
        <v>7.95</v>
      </c>
      <c r="H245" s="260">
        <f>E$93</f>
        <v>4</v>
      </c>
      <c r="I245" s="176">
        <f>F$93</f>
        <v>62.51111111111111</v>
      </c>
      <c r="J245" s="176">
        <f>G$93</f>
        <v>70.91111111111111</v>
      </c>
      <c r="K245" s="202">
        <f t="shared" si="58"/>
        <v>7.95</v>
      </c>
      <c r="L245" s="260">
        <f>H$93</f>
        <v>3</v>
      </c>
      <c r="M245" s="176">
        <f>I$93</f>
        <v>79.75555555555556</v>
      </c>
      <c r="N245" s="176">
        <f>J$93</f>
        <v>84.95555555555555</v>
      </c>
      <c r="O245" s="202">
        <f t="shared" si="59"/>
        <v>25.1</v>
      </c>
      <c r="P245" s="260">
        <f>K$93</f>
        <v>2</v>
      </c>
      <c r="Q245" s="176">
        <f>L$93</f>
        <v>97</v>
      </c>
      <c r="R245" s="98">
        <f>M$93</f>
        <v>99</v>
      </c>
      <c r="S245" s="187"/>
      <c r="T245" s="187"/>
      <c r="U245" s="187"/>
      <c r="V245" s="187"/>
      <c r="W245" s="187"/>
      <c r="X245" s="187"/>
      <c r="Y245" s="187"/>
    </row>
    <row r="246" spans="1:25" ht="12.75">
      <c r="A246" s="187" t="s">
        <v>274</v>
      </c>
      <c r="B246" s="188">
        <v>7</v>
      </c>
      <c r="C246" s="202"/>
      <c r="D246" s="260">
        <f>B$94</f>
        <v>5</v>
      </c>
      <c r="E246" s="176">
        <f>C$94</f>
        <v>25.866666666666667</v>
      </c>
      <c r="F246" s="176">
        <f>D$94</f>
        <v>41.06666666666666</v>
      </c>
      <c r="G246" s="202">
        <f t="shared" si="57"/>
        <v>11.13</v>
      </c>
      <c r="H246" s="260">
        <f>E$94</f>
        <v>4</v>
      </c>
      <c r="I246" s="176">
        <f>F$94</f>
        <v>40.955555555555556</v>
      </c>
      <c r="J246" s="176">
        <f>G$94</f>
        <v>53.355555555555554</v>
      </c>
      <c r="K246" s="202">
        <f t="shared" si="58"/>
        <v>11.13</v>
      </c>
      <c r="L246" s="260">
        <f>H$94</f>
        <v>4</v>
      </c>
      <c r="M246" s="176">
        <f>I$94</f>
        <v>58.2</v>
      </c>
      <c r="N246" s="176">
        <f>J$94</f>
        <v>67.4</v>
      </c>
      <c r="O246" s="202">
        <f t="shared" si="59"/>
        <v>35.14</v>
      </c>
      <c r="P246" s="260">
        <f>K$94</f>
        <v>2</v>
      </c>
      <c r="Q246" s="176">
        <f>L$94</f>
        <v>97</v>
      </c>
      <c r="R246" s="98">
        <f>M$94</f>
        <v>99</v>
      </c>
      <c r="S246" s="187"/>
      <c r="T246" s="187"/>
      <c r="U246" s="187"/>
      <c r="V246" s="187"/>
      <c r="W246" s="187"/>
      <c r="X246" s="187"/>
      <c r="Y246" s="187"/>
    </row>
    <row r="247" spans="1:25" ht="12.75">
      <c r="A247" s="187" t="s">
        <v>240</v>
      </c>
      <c r="B247" s="188">
        <v>9</v>
      </c>
      <c r="C247" s="202"/>
      <c r="D247" s="260">
        <f>B$95</f>
        <v>5</v>
      </c>
      <c r="E247" s="176">
        <f>C$95</f>
        <v>40</v>
      </c>
      <c r="F247" s="176">
        <f>D$95</f>
        <v>60</v>
      </c>
      <c r="G247" s="202">
        <f t="shared" si="57"/>
        <v>14.31</v>
      </c>
      <c r="H247" s="260">
        <f>E$95</f>
        <v>5</v>
      </c>
      <c r="I247" s="176">
        <f>F$95</f>
        <v>40</v>
      </c>
      <c r="J247" s="176">
        <f>G$95</f>
        <v>60</v>
      </c>
      <c r="K247" s="202">
        <f t="shared" si="58"/>
        <v>14.31</v>
      </c>
      <c r="L247" s="260">
        <f>H$95</f>
        <v>5</v>
      </c>
      <c r="M247" s="176">
        <f>I$95</f>
        <v>53.3</v>
      </c>
      <c r="N247" s="176">
        <f>J$95</f>
        <v>69.1</v>
      </c>
      <c r="O247" s="202">
        <f t="shared" si="59"/>
        <v>45.18</v>
      </c>
      <c r="P247" s="260">
        <f>K$95</f>
        <v>3</v>
      </c>
      <c r="Q247" s="176">
        <f>L$95</f>
        <v>97</v>
      </c>
      <c r="R247" s="98">
        <f>M$95</f>
        <v>99</v>
      </c>
      <c r="S247" s="187"/>
      <c r="T247" s="187"/>
      <c r="U247" s="187"/>
      <c r="V247" s="187"/>
      <c r="W247" s="187"/>
      <c r="X247" s="187"/>
      <c r="Y247" s="187"/>
    </row>
    <row r="248" spans="1:25" ht="12.75">
      <c r="A248" s="187" t="s">
        <v>296</v>
      </c>
      <c r="B248" s="188">
        <v>3</v>
      </c>
      <c r="C248" s="202"/>
      <c r="D248" s="260">
        <f>B$96</f>
        <v>8</v>
      </c>
      <c r="E248" s="176">
        <f>C$96</f>
        <v>0</v>
      </c>
      <c r="F248" s="176">
        <f>D$96</f>
        <v>5</v>
      </c>
      <c r="G248" s="202">
        <f t="shared" si="57"/>
        <v>4.77</v>
      </c>
      <c r="H248" s="260">
        <f>E$96</f>
        <v>8</v>
      </c>
      <c r="I248" s="176">
        <f>F$96</f>
        <v>0</v>
      </c>
      <c r="J248" s="176">
        <f>G$96</f>
        <v>5</v>
      </c>
      <c r="K248" s="202">
        <f t="shared" si="58"/>
        <v>4.77</v>
      </c>
      <c r="L248" s="260">
        <f>H$96</f>
        <v>8</v>
      </c>
      <c r="M248" s="176">
        <f>I$96</f>
        <v>0</v>
      </c>
      <c r="N248" s="176">
        <f>J$96</f>
        <v>5</v>
      </c>
      <c r="O248" s="202">
        <f t="shared" si="59"/>
        <v>15.06</v>
      </c>
      <c r="P248" s="260">
        <f>K$96</f>
        <v>8</v>
      </c>
      <c r="Q248" s="176">
        <f>L$96</f>
        <v>0</v>
      </c>
      <c r="R248" s="98">
        <f>M$96</f>
        <v>5</v>
      </c>
      <c r="S248" s="187"/>
      <c r="T248" s="187"/>
      <c r="U248" s="187"/>
      <c r="V248" s="187"/>
      <c r="W248" s="187"/>
      <c r="X248" s="187"/>
      <c r="Y248" s="187"/>
    </row>
    <row r="249" spans="1:25" ht="12.75">
      <c r="A249" s="190" t="s">
        <v>854</v>
      </c>
      <c r="B249" s="189">
        <f>SUM(B250:B257)</f>
        <v>100</v>
      </c>
      <c r="C249" s="203">
        <v>8</v>
      </c>
      <c r="D249" s="261"/>
      <c r="E249" s="199">
        <f>SUMPRODUCT($B250:$B257,E250:E257)/100</f>
        <v>84.584</v>
      </c>
      <c r="F249" s="199">
        <f>SUMPRODUCT($B250:$B257,F250:F257)/100</f>
        <v>88.88799999999999</v>
      </c>
      <c r="G249" s="203">
        <v>207</v>
      </c>
      <c r="H249" s="261"/>
      <c r="I249" s="199">
        <f>SUMPRODUCT($B250:$B257,I250:I257)/100</f>
        <v>87.90355555555556</v>
      </c>
      <c r="J249" s="199">
        <f>SUMPRODUCT($B250:$B257,J250:J257)/100</f>
        <v>91.59155555555557</v>
      </c>
      <c r="K249" s="203">
        <v>207</v>
      </c>
      <c r="L249" s="261"/>
      <c r="M249" s="199">
        <f>SUMPRODUCT($B250:$B257,M250:M257)/100</f>
        <v>91.69733333333333</v>
      </c>
      <c r="N249" s="199">
        <f>SUMPRODUCT($B250:$B257,N250:N257)/100</f>
        <v>94.68133333333333</v>
      </c>
      <c r="O249" s="203">
        <v>681</v>
      </c>
      <c r="P249" s="261"/>
      <c r="Q249" s="199">
        <f>SUMPRODUCT($B250:$B257,Q250:Q257)/100</f>
        <v>97</v>
      </c>
      <c r="R249" s="209">
        <f>SUMPRODUCT($B250:$B257,R250:R257)/100</f>
        <v>99</v>
      </c>
      <c r="S249" s="187"/>
      <c r="T249" s="187"/>
      <c r="U249" s="187"/>
      <c r="V249" s="187"/>
      <c r="W249" s="187"/>
      <c r="X249" s="187"/>
      <c r="Y249" s="187"/>
    </row>
    <row r="250" spans="1:25" ht="12.75">
      <c r="A250" s="187" t="s">
        <v>207</v>
      </c>
      <c r="B250" s="188">
        <v>17</v>
      </c>
      <c r="C250" s="202">
        <f>$C$249*B250/100</f>
        <v>1.36</v>
      </c>
      <c r="D250" s="260">
        <f>B$43</f>
        <v>1</v>
      </c>
      <c r="E250" s="176">
        <f>C$43</f>
        <v>97</v>
      </c>
      <c r="F250" s="176">
        <f>D$43</f>
        <v>99</v>
      </c>
      <c r="G250" s="202">
        <f>$G$249*B250/100</f>
        <v>35.19</v>
      </c>
      <c r="H250" s="260">
        <f>E$43</f>
        <v>1</v>
      </c>
      <c r="I250" s="176">
        <f>F$43</f>
        <v>97</v>
      </c>
      <c r="J250" s="176">
        <f>G$43</f>
        <v>99</v>
      </c>
      <c r="K250" s="202">
        <f>$K$249*B250/100</f>
        <v>35.19</v>
      </c>
      <c r="L250" s="260">
        <f>H$43</f>
        <v>1</v>
      </c>
      <c r="M250" s="176">
        <f>I$43</f>
        <v>97</v>
      </c>
      <c r="N250" s="176">
        <f>J$43</f>
        <v>99</v>
      </c>
      <c r="O250" s="202">
        <f>$O$249*B250/100</f>
        <v>115.77</v>
      </c>
      <c r="P250" s="260">
        <f>K$43</f>
        <v>1</v>
      </c>
      <c r="Q250" s="176">
        <f>L$43</f>
        <v>97</v>
      </c>
      <c r="R250" s="98">
        <f>M$43</f>
        <v>99</v>
      </c>
      <c r="S250" s="187"/>
      <c r="T250" s="187"/>
      <c r="U250" s="187"/>
      <c r="V250" s="187"/>
      <c r="W250" s="187"/>
      <c r="X250" s="187"/>
      <c r="Y250" s="187"/>
    </row>
    <row r="251" spans="1:25" ht="12.75">
      <c r="A251" s="187" t="s">
        <v>302</v>
      </c>
      <c r="B251" s="188">
        <v>26</v>
      </c>
      <c r="C251" s="202">
        <f aca="true" t="shared" si="60" ref="C251:C257">$C$249*B251/100</f>
        <v>2.08</v>
      </c>
      <c r="D251" s="260">
        <f>B$97</f>
        <v>1</v>
      </c>
      <c r="E251" s="176">
        <f>C$97</f>
        <v>97</v>
      </c>
      <c r="F251" s="176">
        <f>D$97</f>
        <v>99</v>
      </c>
      <c r="G251" s="202">
        <f aca="true" t="shared" si="61" ref="G251:G257">$G$249*B251/100</f>
        <v>53.82</v>
      </c>
      <c r="H251" s="260">
        <f>E$97</f>
        <v>1</v>
      </c>
      <c r="I251" s="176">
        <f>F$97</f>
        <v>97</v>
      </c>
      <c r="J251" s="176">
        <f>G$97</f>
        <v>99</v>
      </c>
      <c r="K251" s="202">
        <f aca="true" t="shared" si="62" ref="K251:K257">$K$249*B251/100</f>
        <v>53.82</v>
      </c>
      <c r="L251" s="260">
        <f>H$97</f>
        <v>1</v>
      </c>
      <c r="M251" s="176">
        <f>I$97</f>
        <v>97</v>
      </c>
      <c r="N251" s="176">
        <f>J$97</f>
        <v>99</v>
      </c>
      <c r="O251" s="202">
        <f aca="true" t="shared" si="63" ref="O251:O257">$O$249*B251/100</f>
        <v>177.06</v>
      </c>
      <c r="P251" s="260">
        <f>K$97</f>
        <v>1</v>
      </c>
      <c r="Q251" s="176">
        <f>L$97</f>
        <v>97</v>
      </c>
      <c r="R251" s="98">
        <f>M$97</f>
        <v>99</v>
      </c>
      <c r="S251" s="187"/>
      <c r="T251" s="187"/>
      <c r="U251" s="187"/>
      <c r="V251" s="187"/>
      <c r="W251" s="187"/>
      <c r="X251" s="187"/>
      <c r="Y251" s="187"/>
    </row>
    <row r="252" spans="1:25" ht="12.75">
      <c r="A252" s="187" t="s">
        <v>662</v>
      </c>
      <c r="B252" s="188">
        <v>20</v>
      </c>
      <c r="C252" s="202">
        <f t="shared" si="60"/>
        <v>1.6</v>
      </c>
      <c r="D252" s="260">
        <f>B$98</f>
        <v>1</v>
      </c>
      <c r="E252" s="176">
        <f>C$98</f>
        <v>97</v>
      </c>
      <c r="F252" s="176">
        <f>D$98</f>
        <v>99</v>
      </c>
      <c r="G252" s="202">
        <f t="shared" si="61"/>
        <v>41.4</v>
      </c>
      <c r="H252" s="260">
        <f>E$98</f>
        <v>1</v>
      </c>
      <c r="I252" s="176">
        <f>F$98</f>
        <v>97</v>
      </c>
      <c r="J252" s="176">
        <f>G$98</f>
        <v>99</v>
      </c>
      <c r="K252" s="202">
        <f t="shared" si="62"/>
        <v>41.4</v>
      </c>
      <c r="L252" s="260">
        <f>H$98</f>
        <v>1</v>
      </c>
      <c r="M252" s="176">
        <f>I$98</f>
        <v>97</v>
      </c>
      <c r="N252" s="176">
        <f>J$98</f>
        <v>99</v>
      </c>
      <c r="O252" s="202">
        <f t="shared" si="63"/>
        <v>136.2</v>
      </c>
      <c r="P252" s="260">
        <f>K$98</f>
        <v>1</v>
      </c>
      <c r="Q252" s="176">
        <f>L$98</f>
        <v>97</v>
      </c>
      <c r="R252" s="98">
        <f>M$98</f>
        <v>99</v>
      </c>
      <c r="S252" s="187"/>
      <c r="T252" s="187"/>
      <c r="U252" s="187"/>
      <c r="V252" s="187"/>
      <c r="W252" s="187"/>
      <c r="X252" s="187"/>
      <c r="Y252" s="187"/>
    </row>
    <row r="253" spans="1:25" ht="12.75">
      <c r="A253" s="187" t="s">
        <v>853</v>
      </c>
      <c r="B253" s="188">
        <v>4</v>
      </c>
      <c r="C253" s="202">
        <f t="shared" si="60"/>
        <v>0.32</v>
      </c>
      <c r="D253" s="260">
        <f>B$36</f>
        <v>1</v>
      </c>
      <c r="E253" s="176">
        <f>C$36</f>
        <v>97</v>
      </c>
      <c r="F253" s="176">
        <f>D$36</f>
        <v>99</v>
      </c>
      <c r="G253" s="202">
        <f t="shared" si="61"/>
        <v>8.28</v>
      </c>
      <c r="H253" s="260">
        <f>E$36</f>
        <v>1</v>
      </c>
      <c r="I253" s="176">
        <f>F$36</f>
        <v>97</v>
      </c>
      <c r="J253" s="176">
        <f>G$36</f>
        <v>99</v>
      </c>
      <c r="K253" s="202">
        <f t="shared" si="62"/>
        <v>8.28</v>
      </c>
      <c r="L253" s="260">
        <f>H$36</f>
        <v>1</v>
      </c>
      <c r="M253" s="176">
        <f>I$36</f>
        <v>97</v>
      </c>
      <c r="N253" s="176">
        <f>J$36</f>
        <v>99</v>
      </c>
      <c r="O253" s="202">
        <f t="shared" si="63"/>
        <v>27.24</v>
      </c>
      <c r="P253" s="260">
        <f>K$36</f>
        <v>1</v>
      </c>
      <c r="Q253" s="176">
        <f>L$36</f>
        <v>97</v>
      </c>
      <c r="R253" s="98">
        <f>M$36</f>
        <v>99</v>
      </c>
      <c r="S253" s="187"/>
      <c r="T253" s="187"/>
      <c r="U253" s="187"/>
      <c r="V253" s="187"/>
      <c r="W253" s="187"/>
      <c r="X253" s="187"/>
      <c r="Y253" s="187"/>
    </row>
    <row r="254" spans="1:25" ht="12.75">
      <c r="A254" s="187" t="s">
        <v>851</v>
      </c>
      <c r="B254" s="188">
        <v>7</v>
      </c>
      <c r="C254" s="202">
        <f t="shared" si="60"/>
        <v>0.56</v>
      </c>
      <c r="D254" s="260">
        <f>B$99</f>
        <v>5</v>
      </c>
      <c r="E254" s="176">
        <f>C$99</f>
        <v>25.866666666666667</v>
      </c>
      <c r="F254" s="176">
        <f>D$99</f>
        <v>41.06666666666666</v>
      </c>
      <c r="G254" s="202">
        <f t="shared" si="61"/>
        <v>14.49</v>
      </c>
      <c r="H254" s="260">
        <f>E$99</f>
        <v>4</v>
      </c>
      <c r="I254" s="176">
        <f>F$99</f>
        <v>40.955555555555556</v>
      </c>
      <c r="J254" s="176">
        <f>G$99</f>
        <v>53.355555555555554</v>
      </c>
      <c r="K254" s="202">
        <f t="shared" si="62"/>
        <v>14.49</v>
      </c>
      <c r="L254" s="260">
        <f>H$99</f>
        <v>4</v>
      </c>
      <c r="M254" s="176">
        <f>I$99</f>
        <v>58.2</v>
      </c>
      <c r="N254" s="176">
        <f>J$99</f>
        <v>67.4</v>
      </c>
      <c r="O254" s="202">
        <f t="shared" si="63"/>
        <v>47.67</v>
      </c>
      <c r="P254" s="260">
        <f>K$99</f>
        <v>2</v>
      </c>
      <c r="Q254" s="176">
        <f>L$99</f>
        <v>97</v>
      </c>
      <c r="R254" s="98">
        <f>M$99</f>
        <v>99</v>
      </c>
      <c r="S254" s="187"/>
      <c r="T254" s="187"/>
      <c r="U254" s="187"/>
      <c r="V254" s="187"/>
      <c r="W254" s="187"/>
      <c r="X254" s="187"/>
      <c r="Y254" s="187"/>
    </row>
    <row r="255" spans="1:25" ht="12.75">
      <c r="A255" s="187" t="s">
        <v>262</v>
      </c>
      <c r="B255" s="188">
        <v>15</v>
      </c>
      <c r="C255" s="202">
        <f t="shared" si="60"/>
        <v>1.2</v>
      </c>
      <c r="D255" s="260">
        <f>B$69</f>
        <v>4</v>
      </c>
      <c r="E255" s="176">
        <f>C$69</f>
        <v>47.422222222222224</v>
      </c>
      <c r="F255" s="176">
        <f>D$69</f>
        <v>58.62222222222222</v>
      </c>
      <c r="G255" s="202">
        <f t="shared" si="61"/>
        <v>31.05</v>
      </c>
      <c r="H255" s="260">
        <f>E$69</f>
        <v>4</v>
      </c>
      <c r="I255" s="176">
        <f>F$69</f>
        <v>62.51111111111111</v>
      </c>
      <c r="J255" s="176">
        <f>G$69</f>
        <v>70.91111111111111</v>
      </c>
      <c r="K255" s="202">
        <f t="shared" si="62"/>
        <v>31.05</v>
      </c>
      <c r="L255" s="260">
        <f>H$69</f>
        <v>3</v>
      </c>
      <c r="M255" s="176">
        <f>I$69</f>
        <v>79.75555555555556</v>
      </c>
      <c r="N255" s="176">
        <f>J$69</f>
        <v>84.95555555555555</v>
      </c>
      <c r="O255" s="202">
        <f t="shared" si="63"/>
        <v>102.15</v>
      </c>
      <c r="P255" s="260">
        <f>K$69</f>
        <v>2</v>
      </c>
      <c r="Q255" s="176">
        <f>L$69</f>
        <v>97</v>
      </c>
      <c r="R255" s="98">
        <f>M$69</f>
        <v>99</v>
      </c>
      <c r="S255" s="187"/>
      <c r="T255" s="187"/>
      <c r="U255" s="187"/>
      <c r="V255" s="187"/>
      <c r="W255" s="187"/>
      <c r="X255" s="187"/>
      <c r="Y255" s="187"/>
    </row>
    <row r="256" spans="1:25" ht="12.75">
      <c r="A256" s="187" t="s">
        <v>852</v>
      </c>
      <c r="B256" s="188">
        <v>8</v>
      </c>
      <c r="C256" s="202">
        <f t="shared" si="60"/>
        <v>0.64</v>
      </c>
      <c r="D256" s="260">
        <f>B$46</f>
        <v>1</v>
      </c>
      <c r="E256" s="176">
        <f>C$46</f>
        <v>97</v>
      </c>
      <c r="F256" s="176">
        <f>D$46</f>
        <v>99</v>
      </c>
      <c r="G256" s="202">
        <f t="shared" si="61"/>
        <v>16.56</v>
      </c>
      <c r="H256" s="260">
        <f>E$46</f>
        <v>1</v>
      </c>
      <c r="I256" s="176">
        <f>F$46</f>
        <v>97</v>
      </c>
      <c r="J256" s="176">
        <f>G$46</f>
        <v>99</v>
      </c>
      <c r="K256" s="202">
        <f t="shared" si="62"/>
        <v>16.56</v>
      </c>
      <c r="L256" s="260">
        <f>H$46</f>
        <v>1</v>
      </c>
      <c r="M256" s="176">
        <f>I$46</f>
        <v>97</v>
      </c>
      <c r="N256" s="176">
        <f>J$46</f>
        <v>99</v>
      </c>
      <c r="O256" s="202">
        <f t="shared" si="63"/>
        <v>54.48</v>
      </c>
      <c r="P256" s="260">
        <f>K$46</f>
        <v>1</v>
      </c>
      <c r="Q256" s="176">
        <f>L$46</f>
        <v>97</v>
      </c>
      <c r="R256" s="98">
        <f>M$46</f>
        <v>99</v>
      </c>
      <c r="S256" s="187"/>
      <c r="T256" s="187"/>
      <c r="U256" s="187"/>
      <c r="V256" s="187"/>
      <c r="W256" s="187"/>
      <c r="X256" s="187"/>
      <c r="Y256" s="187"/>
    </row>
    <row r="257" spans="1:25" ht="12.75">
      <c r="A257" s="187" t="s">
        <v>295</v>
      </c>
      <c r="B257" s="188">
        <v>3</v>
      </c>
      <c r="C257" s="202">
        <f t="shared" si="60"/>
        <v>0.24</v>
      </c>
      <c r="D257" s="260">
        <f>B$88</f>
        <v>1</v>
      </c>
      <c r="E257" s="176">
        <f>C$88</f>
        <v>97</v>
      </c>
      <c r="F257" s="176">
        <f>D$88</f>
        <v>99</v>
      </c>
      <c r="G257" s="202">
        <f t="shared" si="61"/>
        <v>6.21</v>
      </c>
      <c r="H257" s="260">
        <f>E$88</f>
        <v>1</v>
      </c>
      <c r="I257" s="176">
        <f>F$88</f>
        <v>97</v>
      </c>
      <c r="J257" s="176">
        <f>G$88</f>
        <v>99</v>
      </c>
      <c r="K257" s="202">
        <f t="shared" si="62"/>
        <v>6.21</v>
      </c>
      <c r="L257" s="260">
        <f>H$88</f>
        <v>1</v>
      </c>
      <c r="M257" s="176">
        <f>I$88</f>
        <v>97</v>
      </c>
      <c r="N257" s="176">
        <f>J$88</f>
        <v>99</v>
      </c>
      <c r="O257" s="202">
        <f t="shared" si="63"/>
        <v>20.43</v>
      </c>
      <c r="P257" s="260">
        <f>K$88</f>
        <v>1</v>
      </c>
      <c r="Q257" s="176">
        <f>L$88</f>
        <v>97</v>
      </c>
      <c r="R257" s="98">
        <f>M$88</f>
        <v>99</v>
      </c>
      <c r="S257" s="187"/>
      <c r="T257" s="187"/>
      <c r="U257" s="187"/>
      <c r="V257" s="187"/>
      <c r="W257" s="187"/>
      <c r="X257" s="187"/>
      <c r="Y257" s="187"/>
    </row>
    <row r="258" spans="1:25" ht="12.75">
      <c r="A258" s="192" t="s">
        <v>855</v>
      </c>
      <c r="B258" s="189">
        <f>SUM(B259:B265)</f>
        <v>100</v>
      </c>
      <c r="C258" s="203">
        <v>9</v>
      </c>
      <c r="D258" s="261"/>
      <c r="E258" s="199">
        <f>SUMPRODUCT($B259:$B265,E259:E265)/100</f>
        <v>26.33555555555556</v>
      </c>
      <c r="F258" s="199">
        <f>SUMPRODUCT($B259:$B265,F259:F265)/100</f>
        <v>36.54555555555556</v>
      </c>
      <c r="G258" s="203">
        <v>18</v>
      </c>
      <c r="H258" s="261"/>
      <c r="I258" s="199">
        <f>SUMPRODUCT($B259:$B265,I259:I265)/100</f>
        <v>33.53</v>
      </c>
      <c r="J258" s="199">
        <f>SUMPRODUCT($B259:$B265,J259:J265)/100</f>
        <v>41.92</v>
      </c>
      <c r="K258" s="203">
        <v>18</v>
      </c>
      <c r="L258" s="261"/>
      <c r="M258" s="199">
        <f>SUMPRODUCT($B259:$B265,M259:M265)/100</f>
        <v>41.75222222222223</v>
      </c>
      <c r="N258" s="199">
        <f>SUMPRODUCT($B259:$B265,N259:N265)/100</f>
        <v>48.062222222222225</v>
      </c>
      <c r="O258" s="203">
        <v>35</v>
      </c>
      <c r="P258" s="261"/>
      <c r="Q258" s="199">
        <f>SUMPRODUCT($B259:$B265,Q259:Q265)/100</f>
        <v>57.23</v>
      </c>
      <c r="R258" s="209">
        <f>SUMPRODUCT($B259:$B265,R259:R265)/100</f>
        <v>60.46</v>
      </c>
      <c r="S258" s="187"/>
      <c r="T258" s="187"/>
      <c r="U258" s="187"/>
      <c r="V258" s="187"/>
      <c r="W258" s="187"/>
      <c r="X258" s="187"/>
      <c r="Y258" s="187"/>
    </row>
    <row r="259" spans="1:25" ht="12.75">
      <c r="A259" s="187" t="s">
        <v>276</v>
      </c>
      <c r="B259" s="188">
        <v>29</v>
      </c>
      <c r="C259" s="202">
        <f>$C$258*B259/100</f>
        <v>2.61</v>
      </c>
      <c r="D259" s="260">
        <f>B$100</f>
        <v>8</v>
      </c>
      <c r="E259" s="176">
        <f>C$100</f>
        <v>0</v>
      </c>
      <c r="F259" s="176">
        <f>D$100</f>
        <v>5</v>
      </c>
      <c r="G259" s="202">
        <f>$G$258*B259/100</f>
        <v>5.22</v>
      </c>
      <c r="H259" s="260">
        <f>E$100</f>
        <v>8</v>
      </c>
      <c r="I259" s="176">
        <f>F$100</f>
        <v>0</v>
      </c>
      <c r="J259" s="176">
        <f>G$100</f>
        <v>5</v>
      </c>
      <c r="K259" s="202">
        <f>$K$258*B259/100</f>
        <v>5.22</v>
      </c>
      <c r="L259" s="260">
        <f>H$100</f>
        <v>8</v>
      </c>
      <c r="M259" s="176">
        <f>I$100</f>
        <v>0</v>
      </c>
      <c r="N259" s="176">
        <f>J$100</f>
        <v>5</v>
      </c>
      <c r="O259" s="202">
        <f>$O$258*B259/100</f>
        <v>10.15</v>
      </c>
      <c r="P259" s="260">
        <f>K$100</f>
        <v>8</v>
      </c>
      <c r="Q259" s="176">
        <f>L$100</f>
        <v>0</v>
      </c>
      <c r="R259" s="98">
        <f>M$100</f>
        <v>5</v>
      </c>
      <c r="S259" s="187"/>
      <c r="T259" s="187"/>
      <c r="U259" s="187"/>
      <c r="V259" s="187"/>
      <c r="W259" s="187"/>
      <c r="X259" s="187"/>
      <c r="Y259" s="187"/>
    </row>
    <row r="260" spans="1:25" ht="12.75">
      <c r="A260" s="187" t="s">
        <v>277</v>
      </c>
      <c r="B260" s="188">
        <v>18</v>
      </c>
      <c r="C260" s="202">
        <f aca="true" t="shared" si="64" ref="C260:C265">$C$258*B260/100</f>
        <v>1.62</v>
      </c>
      <c r="D260" s="260">
        <f>B$101</f>
        <v>5</v>
      </c>
      <c r="E260" s="176">
        <f>C$101</f>
        <v>62.8</v>
      </c>
      <c r="F260" s="176">
        <f>D$101</f>
        <v>75.6</v>
      </c>
      <c r="G260" s="202">
        <f aca="true" t="shared" si="65" ref="G260:G265">$G$258*B260/100</f>
        <v>3.24</v>
      </c>
      <c r="H260" s="260">
        <f>E$101</f>
        <v>4</v>
      </c>
      <c r="I260" s="176">
        <f>F$101</f>
        <v>76.1</v>
      </c>
      <c r="J260" s="176">
        <f>G$101</f>
        <v>84.7</v>
      </c>
      <c r="K260" s="202">
        <f aca="true" t="shared" si="66" ref="K260:K265">$K$258*B260/100</f>
        <v>3.24</v>
      </c>
      <c r="L260" s="260">
        <f>H$101</f>
        <v>4</v>
      </c>
      <c r="M260" s="176">
        <f>I$101</f>
        <v>91.3</v>
      </c>
      <c r="N260" s="176">
        <f>J$101</f>
        <v>95.1</v>
      </c>
      <c r="O260" s="202">
        <f aca="true" t="shared" si="67" ref="O260:O265">$O$258*B260/100</f>
        <v>6.3</v>
      </c>
      <c r="P260" s="260">
        <f>K$101</f>
        <v>2</v>
      </c>
      <c r="Q260" s="176">
        <f>L$101</f>
        <v>97</v>
      </c>
      <c r="R260" s="98">
        <f>M$101</f>
        <v>99</v>
      </c>
      <c r="S260" s="187"/>
      <c r="T260" s="187"/>
      <c r="U260" s="187"/>
      <c r="V260" s="187"/>
      <c r="W260" s="187"/>
      <c r="X260" s="187"/>
      <c r="Y260" s="187"/>
    </row>
    <row r="261" spans="1:25" ht="12.75">
      <c r="A261" s="187" t="s">
        <v>234</v>
      </c>
      <c r="B261" s="188">
        <v>23</v>
      </c>
      <c r="C261" s="202">
        <f t="shared" si="64"/>
        <v>2.07</v>
      </c>
      <c r="D261" s="260">
        <f>B$105</f>
        <v>5</v>
      </c>
      <c r="E261" s="176">
        <f>C$105</f>
        <v>4.311111111111111</v>
      </c>
      <c r="F261" s="176">
        <f>D$105</f>
        <v>23.511111111111113</v>
      </c>
      <c r="G261" s="202">
        <f t="shared" si="65"/>
        <v>4.14</v>
      </c>
      <c r="H261" s="260">
        <f>E$105</f>
        <v>5</v>
      </c>
      <c r="I261" s="176">
        <f>F$105</f>
        <v>19.4</v>
      </c>
      <c r="J261" s="176">
        <f>G$105</f>
        <v>35.8</v>
      </c>
      <c r="K261" s="202">
        <f t="shared" si="66"/>
        <v>4.14</v>
      </c>
      <c r="L261" s="260">
        <f>H$105</f>
        <v>4</v>
      </c>
      <c r="M261" s="176">
        <f>I$105</f>
        <v>36.644444444444446</v>
      </c>
      <c r="N261" s="176">
        <f>J$105</f>
        <v>49.84444444444445</v>
      </c>
      <c r="O261" s="202">
        <f t="shared" si="67"/>
        <v>8.05</v>
      </c>
      <c r="P261" s="260">
        <f>K$105</f>
        <v>2</v>
      </c>
      <c r="Q261" s="176">
        <f>L$105</f>
        <v>97</v>
      </c>
      <c r="R261" s="98">
        <f>M$105</f>
        <v>99</v>
      </c>
      <c r="S261" s="187"/>
      <c r="T261" s="187"/>
      <c r="U261" s="187"/>
      <c r="V261" s="187"/>
      <c r="W261" s="187"/>
      <c r="X261" s="187"/>
      <c r="Y261" s="187"/>
    </row>
    <row r="262" spans="1:25" ht="12.75">
      <c r="A262" s="187" t="s">
        <v>298</v>
      </c>
      <c r="B262" s="188">
        <v>10</v>
      </c>
      <c r="C262" s="202">
        <f t="shared" si="64"/>
        <v>0.9</v>
      </c>
      <c r="D262" s="260">
        <f>B$102</f>
        <v>5</v>
      </c>
      <c r="E262" s="176">
        <f>C$102</f>
        <v>62.8</v>
      </c>
      <c r="F262" s="176">
        <f>D$102</f>
        <v>75.6</v>
      </c>
      <c r="G262" s="202">
        <f t="shared" si="65"/>
        <v>1.8</v>
      </c>
      <c r="H262" s="260">
        <f>E$102</f>
        <v>4</v>
      </c>
      <c r="I262" s="176">
        <f>F$102</f>
        <v>76.1</v>
      </c>
      <c r="J262" s="176">
        <f>G$102</f>
        <v>84.7</v>
      </c>
      <c r="K262" s="202">
        <f t="shared" si="66"/>
        <v>1.8</v>
      </c>
      <c r="L262" s="260">
        <f>H$102</f>
        <v>4</v>
      </c>
      <c r="M262" s="176">
        <f>I$102</f>
        <v>91.3</v>
      </c>
      <c r="N262" s="176">
        <f>J$102</f>
        <v>95.1</v>
      </c>
      <c r="O262" s="202">
        <f t="shared" si="67"/>
        <v>3.5</v>
      </c>
      <c r="P262" s="260">
        <f>K$102</f>
        <v>2</v>
      </c>
      <c r="Q262" s="176">
        <f>L$102</f>
        <v>97</v>
      </c>
      <c r="R262" s="98">
        <f>M$102</f>
        <v>99</v>
      </c>
      <c r="S262" s="187"/>
      <c r="T262" s="187"/>
      <c r="U262" s="187"/>
      <c r="V262" s="187"/>
      <c r="W262" s="187"/>
      <c r="X262" s="187"/>
      <c r="Y262" s="187"/>
    </row>
    <row r="263" spans="1:25" ht="12.75">
      <c r="A263" s="187" t="s">
        <v>278</v>
      </c>
      <c r="B263" s="188">
        <v>8</v>
      </c>
      <c r="C263" s="202">
        <f t="shared" si="64"/>
        <v>0.72</v>
      </c>
      <c r="D263" s="260">
        <f>B$103</f>
        <v>1</v>
      </c>
      <c r="E263" s="176">
        <f>C$103</f>
        <v>97</v>
      </c>
      <c r="F263" s="176">
        <f>D$103</f>
        <v>99</v>
      </c>
      <c r="G263" s="202">
        <f t="shared" si="65"/>
        <v>1.44</v>
      </c>
      <c r="H263" s="260">
        <f>E$103</f>
        <v>1</v>
      </c>
      <c r="I263" s="176">
        <f>F$103</f>
        <v>97</v>
      </c>
      <c r="J263" s="176">
        <f>G$103</f>
        <v>99</v>
      </c>
      <c r="K263" s="202">
        <f t="shared" si="66"/>
        <v>1.44</v>
      </c>
      <c r="L263" s="260">
        <f>H$103</f>
        <v>1</v>
      </c>
      <c r="M263" s="176">
        <f>I$103</f>
        <v>97</v>
      </c>
      <c r="N263" s="176">
        <f>J$103</f>
        <v>99</v>
      </c>
      <c r="O263" s="202">
        <f t="shared" si="67"/>
        <v>2.8</v>
      </c>
      <c r="P263" s="260">
        <f>K$103</f>
        <v>1</v>
      </c>
      <c r="Q263" s="176">
        <f>L$103</f>
        <v>97</v>
      </c>
      <c r="R263" s="98">
        <f>M$103</f>
        <v>99</v>
      </c>
      <c r="S263" s="187"/>
      <c r="T263" s="187"/>
      <c r="U263" s="187"/>
      <c r="V263" s="187"/>
      <c r="W263" s="187"/>
      <c r="X263" s="187"/>
      <c r="Y263" s="187"/>
    </row>
    <row r="264" spans="1:25" ht="12.75">
      <c r="A264" s="187" t="s">
        <v>279</v>
      </c>
      <c r="B264" s="188">
        <v>5</v>
      </c>
      <c r="C264" s="202">
        <f t="shared" si="64"/>
        <v>0.45</v>
      </c>
      <c r="D264" s="260">
        <f>B$104</f>
        <v>8</v>
      </c>
      <c r="E264" s="176">
        <f>C$104</f>
        <v>0</v>
      </c>
      <c r="F264" s="176">
        <f>D$104</f>
        <v>5</v>
      </c>
      <c r="G264" s="202">
        <f t="shared" si="65"/>
        <v>0.9</v>
      </c>
      <c r="H264" s="260">
        <f>E$104</f>
        <v>8</v>
      </c>
      <c r="I264" s="176">
        <f>F$104</f>
        <v>0</v>
      </c>
      <c r="J264" s="176">
        <f>G$104</f>
        <v>5</v>
      </c>
      <c r="K264" s="202">
        <f t="shared" si="66"/>
        <v>0.9</v>
      </c>
      <c r="L264" s="260">
        <f>H$104</f>
        <v>8</v>
      </c>
      <c r="M264" s="176">
        <f>I$104</f>
        <v>0</v>
      </c>
      <c r="N264" s="176">
        <f>J$104</f>
        <v>5</v>
      </c>
      <c r="O264" s="202">
        <f t="shared" si="67"/>
        <v>1.75</v>
      </c>
      <c r="P264" s="260">
        <f>K$104</f>
        <v>8</v>
      </c>
      <c r="Q264" s="176">
        <f>L$104</f>
        <v>0</v>
      </c>
      <c r="R264" s="98">
        <f>M$104</f>
        <v>5</v>
      </c>
      <c r="S264" s="187"/>
      <c r="T264" s="187"/>
      <c r="U264" s="187"/>
      <c r="V264" s="187"/>
      <c r="W264" s="187"/>
      <c r="X264" s="187"/>
      <c r="Y264" s="187"/>
    </row>
    <row r="265" spans="1:25" ht="12.75">
      <c r="A265" s="187" t="s">
        <v>280</v>
      </c>
      <c r="B265" s="188">
        <v>7</v>
      </c>
      <c r="C265" s="202">
        <f t="shared" si="64"/>
        <v>0.63</v>
      </c>
      <c r="D265" s="260">
        <f>B$107</f>
        <v>8</v>
      </c>
      <c r="E265" s="176">
        <f>C$107</f>
        <v>0</v>
      </c>
      <c r="F265" s="176">
        <f>D$107</f>
        <v>5</v>
      </c>
      <c r="G265" s="202">
        <f t="shared" si="65"/>
        <v>1.26</v>
      </c>
      <c r="H265" s="260">
        <f>E$107</f>
        <v>8</v>
      </c>
      <c r="I265" s="176">
        <f>F$107</f>
        <v>0</v>
      </c>
      <c r="J265" s="176">
        <f>G$107</f>
        <v>5</v>
      </c>
      <c r="K265" s="202">
        <f t="shared" si="66"/>
        <v>1.26</v>
      </c>
      <c r="L265" s="260">
        <f>H$107</f>
        <v>8</v>
      </c>
      <c r="M265" s="176">
        <f>I$107</f>
        <v>0</v>
      </c>
      <c r="N265" s="176">
        <f>J$107</f>
        <v>5</v>
      </c>
      <c r="O265" s="202">
        <f t="shared" si="67"/>
        <v>2.45</v>
      </c>
      <c r="P265" s="260">
        <f>K$107</f>
        <v>8</v>
      </c>
      <c r="Q265" s="176">
        <f>L$107</f>
        <v>0</v>
      </c>
      <c r="R265" s="98">
        <f>M$107</f>
        <v>5</v>
      </c>
      <c r="S265" s="187"/>
      <c r="T265" s="187"/>
      <c r="U265" s="187"/>
      <c r="V265" s="187"/>
      <c r="W265" s="187"/>
      <c r="X265" s="187"/>
      <c r="Y265" s="187"/>
    </row>
    <row r="266" spans="1:25" ht="12.75">
      <c r="A266" s="190" t="s">
        <v>857</v>
      </c>
      <c r="B266" s="189">
        <f>SUM(B267:B270)</f>
        <v>100</v>
      </c>
      <c r="C266" s="203"/>
      <c r="D266" s="261"/>
      <c r="E266" s="199">
        <f>SUMPRODUCT($B267:$B270,E267:E270)/100</f>
        <v>90.844</v>
      </c>
      <c r="F266" s="199">
        <f>SUMPRODUCT($B267:$B270,F267:F270)/100</f>
        <v>94.788</v>
      </c>
      <c r="G266" s="203">
        <v>140</v>
      </c>
      <c r="H266" s="261"/>
      <c r="I266" s="199">
        <f>SUMPRODUCT($B267:$B270,I267:I270)/100</f>
        <v>93.238</v>
      </c>
      <c r="J266" s="199">
        <f>SUMPRODUCT($B267:$B270,J267:J270)/100</f>
        <v>96.426</v>
      </c>
      <c r="K266" s="203">
        <v>140</v>
      </c>
      <c r="L266" s="261"/>
      <c r="M266" s="199">
        <f>SUMPRODUCT($B267:$B270,M267:M270)/100</f>
        <v>95.97399999999999</v>
      </c>
      <c r="N266" s="199">
        <f>SUMPRODUCT($B267:$B270,N267:N270)/100</f>
        <v>98.29799999999999</v>
      </c>
      <c r="O266" s="203">
        <v>105</v>
      </c>
      <c r="P266" s="261"/>
      <c r="Q266" s="199">
        <f>SUMPRODUCT($B267:$B270,Q267:Q270)/100</f>
        <v>97</v>
      </c>
      <c r="R266" s="209">
        <f>SUMPRODUCT($B267:$B270,R267:R270)/100</f>
        <v>99</v>
      </c>
      <c r="S266" s="187"/>
      <c r="T266" s="187"/>
      <c r="U266" s="187"/>
      <c r="V266" s="187"/>
      <c r="W266" s="187"/>
      <c r="X266" s="187"/>
      <c r="Y266" s="187"/>
    </row>
    <row r="267" spans="1:25" ht="12.75">
      <c r="A267" s="187" t="s">
        <v>204</v>
      </c>
      <c r="B267" s="188">
        <v>36</v>
      </c>
      <c r="C267" s="202"/>
      <c r="D267" s="260">
        <f>B$46</f>
        <v>1</v>
      </c>
      <c r="E267" s="176">
        <f>C$46</f>
        <v>97</v>
      </c>
      <c r="F267" s="176">
        <f>D$46</f>
        <v>99</v>
      </c>
      <c r="G267" s="202">
        <f>$G$266*B267/100</f>
        <v>50.4</v>
      </c>
      <c r="H267" s="260">
        <f>E$46</f>
        <v>1</v>
      </c>
      <c r="I267" s="176">
        <f>F$46</f>
        <v>97</v>
      </c>
      <c r="J267" s="176">
        <f>G$46</f>
        <v>99</v>
      </c>
      <c r="K267" s="202">
        <f>$K$266*B267/100</f>
        <v>50.4</v>
      </c>
      <c r="L267" s="260">
        <f>H$46</f>
        <v>1</v>
      </c>
      <c r="M267" s="176">
        <f>I$46</f>
        <v>97</v>
      </c>
      <c r="N267" s="176">
        <f>J$46</f>
        <v>99</v>
      </c>
      <c r="O267" s="202">
        <f>$O$266*B267/100</f>
        <v>37.8</v>
      </c>
      <c r="P267" s="260">
        <f>K$46</f>
        <v>1</v>
      </c>
      <c r="Q267" s="176">
        <f>L$46</f>
        <v>97</v>
      </c>
      <c r="R267" s="98">
        <f>M$46</f>
        <v>99</v>
      </c>
      <c r="S267" s="187"/>
      <c r="T267" s="187"/>
      <c r="U267" s="187"/>
      <c r="V267" s="187"/>
      <c r="W267" s="187"/>
      <c r="X267" s="187"/>
      <c r="Y267" s="187"/>
    </row>
    <row r="268" spans="1:25" ht="12.75">
      <c r="A268" s="187" t="s">
        <v>278</v>
      </c>
      <c r="B268" s="188">
        <v>29</v>
      </c>
      <c r="C268" s="202"/>
      <c r="D268" s="260">
        <f>B$103</f>
        <v>1</v>
      </c>
      <c r="E268" s="176">
        <f>C$103</f>
        <v>97</v>
      </c>
      <c r="F268" s="176">
        <f>D$103</f>
        <v>99</v>
      </c>
      <c r="G268" s="202">
        <f>$G$266*B268/100</f>
        <v>40.6</v>
      </c>
      <c r="H268" s="260">
        <f>E$103</f>
        <v>1</v>
      </c>
      <c r="I268" s="176">
        <f>F$103</f>
        <v>97</v>
      </c>
      <c r="J268" s="176">
        <f>G$103</f>
        <v>99</v>
      </c>
      <c r="K268" s="202">
        <f>$K$266*B268/100</f>
        <v>40.6</v>
      </c>
      <c r="L268" s="260">
        <f>H$103</f>
        <v>1</v>
      </c>
      <c r="M268" s="176">
        <f>I$103</f>
        <v>97</v>
      </c>
      <c r="N268" s="176">
        <f>J$103</f>
        <v>99</v>
      </c>
      <c r="O268" s="202">
        <f>$O$266*B268/100</f>
        <v>30.45</v>
      </c>
      <c r="P268" s="260">
        <f>K$103</f>
        <v>1</v>
      </c>
      <c r="Q268" s="176">
        <f>L$103</f>
        <v>97</v>
      </c>
      <c r="R268" s="98">
        <f>M$103</f>
        <v>99</v>
      </c>
      <c r="S268" s="187"/>
      <c r="T268" s="187"/>
      <c r="U268" s="187"/>
      <c r="V268" s="187"/>
      <c r="W268" s="187"/>
      <c r="X268" s="187"/>
      <c r="Y268" s="187"/>
    </row>
    <row r="269" spans="1:25" ht="12.75">
      <c r="A269" s="187" t="s">
        <v>856</v>
      </c>
      <c r="B269" s="188">
        <v>17</v>
      </c>
      <c r="C269" s="202"/>
      <c r="D269" s="260">
        <f>B$36</f>
        <v>1</v>
      </c>
      <c r="E269" s="176">
        <f>C$36</f>
        <v>97</v>
      </c>
      <c r="F269" s="176">
        <f>D$36</f>
        <v>99</v>
      </c>
      <c r="G269" s="202">
        <f>$G$266*B269/100</f>
        <v>23.8</v>
      </c>
      <c r="H269" s="260">
        <f>E$36</f>
        <v>1</v>
      </c>
      <c r="I269" s="176">
        <f>F$36</f>
        <v>97</v>
      </c>
      <c r="J269" s="176">
        <f>G$36</f>
        <v>99</v>
      </c>
      <c r="K269" s="202">
        <f>$K$266*B269/100</f>
        <v>23.8</v>
      </c>
      <c r="L269" s="260">
        <f>H$36</f>
        <v>1</v>
      </c>
      <c r="M269" s="176">
        <f>I$36</f>
        <v>97</v>
      </c>
      <c r="N269" s="176">
        <f>J$36</f>
        <v>99</v>
      </c>
      <c r="O269" s="202">
        <f>$O$266*B269/100</f>
        <v>17.85</v>
      </c>
      <c r="P269" s="260">
        <f>K$36</f>
        <v>1</v>
      </c>
      <c r="Q269" s="176">
        <f>L$36</f>
        <v>97</v>
      </c>
      <c r="R269" s="98">
        <f>M$36</f>
        <v>99</v>
      </c>
      <c r="S269" s="187"/>
      <c r="T269" s="187"/>
      <c r="U269" s="187"/>
      <c r="V269" s="187"/>
      <c r="W269" s="187"/>
      <c r="X269" s="187"/>
      <c r="Y269" s="187"/>
    </row>
    <row r="270" spans="1:25" ht="12.75">
      <c r="A270" s="187" t="s">
        <v>298</v>
      </c>
      <c r="B270" s="188">
        <v>18</v>
      </c>
      <c r="C270" s="202"/>
      <c r="D270" s="260">
        <f>B$102</f>
        <v>5</v>
      </c>
      <c r="E270" s="176">
        <f>C$102</f>
        <v>62.8</v>
      </c>
      <c r="F270" s="176">
        <f>D$102</f>
        <v>75.6</v>
      </c>
      <c r="G270" s="202">
        <f>$G$266*B270/100</f>
        <v>25.2</v>
      </c>
      <c r="H270" s="260">
        <f>E$102</f>
        <v>4</v>
      </c>
      <c r="I270" s="176">
        <f>F$102</f>
        <v>76.1</v>
      </c>
      <c r="J270" s="176">
        <f>G$102</f>
        <v>84.7</v>
      </c>
      <c r="K270" s="202">
        <f>$K$266*B270/100</f>
        <v>25.2</v>
      </c>
      <c r="L270" s="260">
        <f>H$102</f>
        <v>4</v>
      </c>
      <c r="M270" s="176">
        <f>I$102</f>
        <v>91.3</v>
      </c>
      <c r="N270" s="176">
        <f>J$102</f>
        <v>95.1</v>
      </c>
      <c r="O270" s="202">
        <f>$O$266*B270/100</f>
        <v>18.9</v>
      </c>
      <c r="P270" s="260">
        <f>K$102</f>
        <v>2</v>
      </c>
      <c r="Q270" s="176">
        <f>L$102</f>
        <v>97</v>
      </c>
      <c r="R270" s="98">
        <f>M$102</f>
        <v>99</v>
      </c>
      <c r="S270" s="187"/>
      <c r="T270" s="187"/>
      <c r="U270" s="187"/>
      <c r="V270" s="187"/>
      <c r="W270" s="187"/>
      <c r="X270" s="187"/>
      <c r="Y270" s="187"/>
    </row>
    <row r="271" spans="1:25" ht="12.75">
      <c r="A271" s="192" t="s">
        <v>860</v>
      </c>
      <c r="B271" s="189">
        <f>SUM(B272:B281)</f>
        <v>100</v>
      </c>
      <c r="C271" s="203">
        <v>3</v>
      </c>
      <c r="D271" s="261"/>
      <c r="E271" s="199">
        <f>SUMPRODUCT($B272:$B281,E272:E281)/100</f>
        <v>44.46866666666667</v>
      </c>
      <c r="F271" s="199">
        <f>SUMPRODUCT($B272:$B281,F272:F281)/100</f>
        <v>54.670666666666676</v>
      </c>
      <c r="G271" s="203">
        <v>34</v>
      </c>
      <c r="H271" s="261"/>
      <c r="I271" s="199">
        <f>SUMPRODUCT($B272:$B281,I272:I281)/100</f>
        <v>51.16455555555556</v>
      </c>
      <c r="J271" s="199">
        <f>SUMPRODUCT($B272:$B281,J272:J281)/100</f>
        <v>59.44855555555556</v>
      </c>
      <c r="K271" s="203">
        <v>34</v>
      </c>
      <c r="L271" s="261"/>
      <c r="M271" s="199">
        <f>SUMPRODUCT($B272:$B281,M272:M281)/100</f>
        <v>58.817</v>
      </c>
      <c r="N271" s="199">
        <f>SUMPRODUCT($B272:$B281,N272:N281)/100</f>
        <v>64.909</v>
      </c>
      <c r="O271" s="203">
        <v>65</v>
      </c>
      <c r="P271" s="261"/>
      <c r="Q271" s="199">
        <f>SUMPRODUCT($B272:$B281,Q272:Q281)/100</f>
        <v>70.81</v>
      </c>
      <c r="R271" s="209">
        <f>SUMPRODUCT($B272:$B281,R272:R281)/100</f>
        <v>73.62</v>
      </c>
      <c r="S271" s="187"/>
      <c r="T271" s="187"/>
      <c r="U271" s="187"/>
      <c r="V271" s="187"/>
      <c r="W271" s="187"/>
      <c r="X271" s="187"/>
      <c r="Y271" s="187"/>
    </row>
    <row r="272" spans="1:25" ht="12.75">
      <c r="A272" s="187" t="s">
        <v>858</v>
      </c>
      <c r="B272" s="188">
        <v>17</v>
      </c>
      <c r="C272" s="202">
        <f>$C$271*B272/100</f>
        <v>0.51</v>
      </c>
      <c r="D272" s="260">
        <f>B$103</f>
        <v>1</v>
      </c>
      <c r="E272" s="176">
        <f>C$103</f>
        <v>97</v>
      </c>
      <c r="F272" s="176">
        <f>D$103</f>
        <v>99</v>
      </c>
      <c r="G272" s="202">
        <f>$G$271*B272/100</f>
        <v>5.78</v>
      </c>
      <c r="H272" s="260">
        <f>E$103</f>
        <v>1</v>
      </c>
      <c r="I272" s="176">
        <f>F$103</f>
        <v>97</v>
      </c>
      <c r="J272" s="176">
        <f>G$103</f>
        <v>99</v>
      </c>
      <c r="K272" s="202">
        <f>$K$271*B272/100</f>
        <v>5.78</v>
      </c>
      <c r="L272" s="260">
        <f>H$103</f>
        <v>1</v>
      </c>
      <c r="M272" s="176">
        <f>I$103</f>
        <v>97</v>
      </c>
      <c r="N272" s="176">
        <f>J$103</f>
        <v>99</v>
      </c>
      <c r="O272" s="202">
        <f>$O$271*B272/100</f>
        <v>11.05</v>
      </c>
      <c r="P272" s="260">
        <f>K$103</f>
        <v>1</v>
      </c>
      <c r="Q272" s="176">
        <f>L$103</f>
        <v>97</v>
      </c>
      <c r="R272" s="98">
        <f>M$103</f>
        <v>99</v>
      </c>
      <c r="S272" s="187"/>
      <c r="T272" s="187"/>
      <c r="U272" s="187"/>
      <c r="V272" s="187"/>
      <c r="W272" s="187"/>
      <c r="X272" s="187"/>
      <c r="Y272" s="187"/>
    </row>
    <row r="273" spans="1:25" ht="12.75">
      <c r="A273" s="187" t="s">
        <v>193</v>
      </c>
      <c r="B273" s="188">
        <v>9</v>
      </c>
      <c r="C273" s="202">
        <f aca="true" t="shared" si="68" ref="C273:C281">$C$271*B273/100</f>
        <v>0.27</v>
      </c>
      <c r="D273" s="260">
        <f>B$108</f>
        <v>8</v>
      </c>
      <c r="E273" s="176">
        <f>C$108</f>
        <v>0</v>
      </c>
      <c r="F273" s="176">
        <f>D$108</f>
        <v>5</v>
      </c>
      <c r="G273" s="202">
        <f aca="true" t="shared" si="69" ref="G273:G281">$G$271*B273/100</f>
        <v>3.06</v>
      </c>
      <c r="H273" s="260">
        <f>E$108</f>
        <v>8</v>
      </c>
      <c r="I273" s="176">
        <f>F$108</f>
        <v>0</v>
      </c>
      <c r="J273" s="176">
        <f>G$108</f>
        <v>5</v>
      </c>
      <c r="K273" s="202">
        <f aca="true" t="shared" si="70" ref="K273:K281">$K$271*B273/100</f>
        <v>3.06</v>
      </c>
      <c r="L273" s="260">
        <f>H$108</f>
        <v>8</v>
      </c>
      <c r="M273" s="176">
        <f>I$108</f>
        <v>0</v>
      </c>
      <c r="N273" s="176">
        <f>J$108</f>
        <v>5</v>
      </c>
      <c r="O273" s="202">
        <f aca="true" t="shared" si="71" ref="O273:O281">$O$271*B273/100</f>
        <v>5.85</v>
      </c>
      <c r="P273" s="260">
        <f>K$108</f>
        <v>8</v>
      </c>
      <c r="Q273" s="176">
        <f>L$108</f>
        <v>0</v>
      </c>
      <c r="R273" s="98">
        <f>M$108</f>
        <v>5</v>
      </c>
      <c r="S273" s="187"/>
      <c r="T273" s="187"/>
      <c r="U273" s="187"/>
      <c r="V273" s="187"/>
      <c r="W273" s="187"/>
      <c r="X273" s="187"/>
      <c r="Y273" s="187"/>
    </row>
    <row r="274" spans="1:25" ht="12.75">
      <c r="A274" s="187" t="s">
        <v>237</v>
      </c>
      <c r="B274" s="188">
        <v>8</v>
      </c>
      <c r="C274" s="202">
        <f t="shared" si="68"/>
        <v>0.24</v>
      </c>
      <c r="D274" s="260">
        <f>B$112</f>
        <v>8</v>
      </c>
      <c r="E274" s="176">
        <f>C$112</f>
        <v>0</v>
      </c>
      <c r="F274" s="176">
        <f>D$112</f>
        <v>5</v>
      </c>
      <c r="G274" s="202">
        <f t="shared" si="69"/>
        <v>2.72</v>
      </c>
      <c r="H274" s="260">
        <f>E$112</f>
        <v>8</v>
      </c>
      <c r="I274" s="176">
        <f>F$112</f>
        <v>0</v>
      </c>
      <c r="J274" s="176">
        <f>G$112</f>
        <v>5</v>
      </c>
      <c r="K274" s="202">
        <f t="shared" si="70"/>
        <v>2.72</v>
      </c>
      <c r="L274" s="260">
        <f>H$112</f>
        <v>8</v>
      </c>
      <c r="M274" s="176">
        <f>I$112</f>
        <v>0</v>
      </c>
      <c r="N274" s="176">
        <f>J$112</f>
        <v>5</v>
      </c>
      <c r="O274" s="202">
        <f t="shared" si="71"/>
        <v>5.2</v>
      </c>
      <c r="P274" s="260">
        <f>K$112</f>
        <v>8</v>
      </c>
      <c r="Q274" s="176">
        <f>L$112</f>
        <v>0</v>
      </c>
      <c r="R274" s="98">
        <f>M$112</f>
        <v>5</v>
      </c>
      <c r="S274" s="187"/>
      <c r="T274" s="187"/>
      <c r="U274" s="187"/>
      <c r="V274" s="187"/>
      <c r="W274" s="187"/>
      <c r="X274" s="187"/>
      <c r="Y274" s="187"/>
    </row>
    <row r="275" spans="1:25" ht="12.75">
      <c r="A275" s="187" t="s">
        <v>194</v>
      </c>
      <c r="B275" s="188">
        <v>10</v>
      </c>
      <c r="C275" s="202">
        <f t="shared" si="68"/>
        <v>0.3</v>
      </c>
      <c r="D275" s="260">
        <f>B$109</f>
        <v>8</v>
      </c>
      <c r="E275" s="176">
        <f>C$109</f>
        <v>0</v>
      </c>
      <c r="F275" s="176">
        <f>D$109</f>
        <v>5</v>
      </c>
      <c r="G275" s="202">
        <f t="shared" si="69"/>
        <v>3.4</v>
      </c>
      <c r="H275" s="260">
        <f>E$109</f>
        <v>8</v>
      </c>
      <c r="I275" s="176">
        <f>F$109</f>
        <v>0</v>
      </c>
      <c r="J275" s="176">
        <f>G$109</f>
        <v>5</v>
      </c>
      <c r="K275" s="202">
        <f t="shared" si="70"/>
        <v>3.4</v>
      </c>
      <c r="L275" s="260">
        <f>H$109</f>
        <v>8</v>
      </c>
      <c r="M275" s="176">
        <f>I$109</f>
        <v>0</v>
      </c>
      <c r="N275" s="176">
        <f>J$109</f>
        <v>5</v>
      </c>
      <c r="O275" s="202">
        <f t="shared" si="71"/>
        <v>6.5</v>
      </c>
      <c r="P275" s="260">
        <f>K$109</f>
        <v>8</v>
      </c>
      <c r="Q275" s="176">
        <f>L$109</f>
        <v>0</v>
      </c>
      <c r="R275" s="98">
        <f>M$109</f>
        <v>5</v>
      </c>
      <c r="S275" s="187"/>
      <c r="T275" s="187"/>
      <c r="U275" s="187"/>
      <c r="V275" s="187"/>
      <c r="W275" s="187"/>
      <c r="X275" s="187"/>
      <c r="Y275" s="187"/>
    </row>
    <row r="276" spans="1:25" ht="12.75">
      <c r="A276" s="187" t="s">
        <v>859</v>
      </c>
      <c r="B276" s="188">
        <v>10</v>
      </c>
      <c r="C276" s="202">
        <f t="shared" si="68"/>
        <v>0.3</v>
      </c>
      <c r="D276" s="260">
        <f>B$99</f>
        <v>5</v>
      </c>
      <c r="E276" s="176">
        <f>C$99</f>
        <v>25.866666666666667</v>
      </c>
      <c r="F276" s="176">
        <f>D$99</f>
        <v>41.06666666666666</v>
      </c>
      <c r="G276" s="202">
        <f t="shared" si="69"/>
        <v>3.4</v>
      </c>
      <c r="H276" s="260">
        <f>E$99</f>
        <v>4</v>
      </c>
      <c r="I276" s="176">
        <f>F$99</f>
        <v>40.955555555555556</v>
      </c>
      <c r="J276" s="176">
        <f>G$99</f>
        <v>53.355555555555554</v>
      </c>
      <c r="K276" s="202">
        <f t="shared" si="70"/>
        <v>3.4</v>
      </c>
      <c r="L276" s="260">
        <f>H$99</f>
        <v>4</v>
      </c>
      <c r="M276" s="176">
        <f>I$99</f>
        <v>58.2</v>
      </c>
      <c r="N276" s="176">
        <f>J$99</f>
        <v>67.4</v>
      </c>
      <c r="O276" s="202">
        <f t="shared" si="71"/>
        <v>6.5</v>
      </c>
      <c r="P276" s="260">
        <f>K$99</f>
        <v>2</v>
      </c>
      <c r="Q276" s="176">
        <f>L$99</f>
        <v>97</v>
      </c>
      <c r="R276" s="98">
        <f>M$99</f>
        <v>99</v>
      </c>
      <c r="S276" s="187"/>
      <c r="T276" s="187"/>
      <c r="U276" s="187"/>
      <c r="V276" s="187"/>
      <c r="W276" s="187"/>
      <c r="X276" s="187"/>
      <c r="Y276" s="187"/>
    </row>
    <row r="277" spans="1:25" ht="12.75">
      <c r="A277" s="187" t="s">
        <v>195</v>
      </c>
      <c r="B277" s="188">
        <v>13</v>
      </c>
      <c r="C277" s="202">
        <f t="shared" si="68"/>
        <v>0.39</v>
      </c>
      <c r="D277" s="260">
        <f>B$110</f>
        <v>5</v>
      </c>
      <c r="E277" s="176">
        <f>C$110</f>
        <v>43.8</v>
      </c>
      <c r="F277" s="176">
        <f>D$110</f>
        <v>62.6</v>
      </c>
      <c r="G277" s="202">
        <f t="shared" si="69"/>
        <v>4.42</v>
      </c>
      <c r="H277" s="260">
        <f>E$110</f>
        <v>5</v>
      </c>
      <c r="I277" s="176">
        <f>F$110</f>
        <v>57.1</v>
      </c>
      <c r="J277" s="176">
        <f>G$110</f>
        <v>71.7</v>
      </c>
      <c r="K277" s="202">
        <f t="shared" si="70"/>
        <v>4.42</v>
      </c>
      <c r="L277" s="260">
        <f>H$110</f>
        <v>4</v>
      </c>
      <c r="M277" s="176">
        <f>I$110</f>
        <v>72.3</v>
      </c>
      <c r="N277" s="176">
        <f>J$110</f>
        <v>82.1</v>
      </c>
      <c r="O277" s="202">
        <f t="shared" si="71"/>
        <v>8.45</v>
      </c>
      <c r="P277" s="260">
        <f>K$110</f>
        <v>2</v>
      </c>
      <c r="Q277" s="176">
        <f>L$110</f>
        <v>97</v>
      </c>
      <c r="R277" s="98">
        <f>M$110</f>
        <v>99</v>
      </c>
      <c r="S277" s="187"/>
      <c r="T277" s="187"/>
      <c r="U277" s="187"/>
      <c r="V277" s="187"/>
      <c r="W277" s="187"/>
      <c r="X277" s="187"/>
      <c r="Y277" s="187"/>
    </row>
    <row r="278" spans="1:25" ht="12.75">
      <c r="A278" s="187" t="s">
        <v>235</v>
      </c>
      <c r="B278" s="188">
        <v>12</v>
      </c>
      <c r="C278" s="202">
        <f t="shared" si="68"/>
        <v>0.36</v>
      </c>
      <c r="D278" s="260">
        <f>B$106</f>
        <v>5</v>
      </c>
      <c r="E278" s="176">
        <f>C$106</f>
        <v>43.8</v>
      </c>
      <c r="F278" s="176">
        <f>D$106</f>
        <v>62.6</v>
      </c>
      <c r="G278" s="202">
        <f t="shared" si="69"/>
        <v>4.08</v>
      </c>
      <c r="H278" s="260">
        <f>E$106</f>
        <v>5</v>
      </c>
      <c r="I278" s="176">
        <f>F$106</f>
        <v>57.1</v>
      </c>
      <c r="J278" s="176">
        <f>G$106</f>
        <v>71.7</v>
      </c>
      <c r="K278" s="202">
        <f t="shared" si="70"/>
        <v>4.08</v>
      </c>
      <c r="L278" s="260">
        <f>H$106</f>
        <v>4</v>
      </c>
      <c r="M278" s="176">
        <f>I$106</f>
        <v>72.3</v>
      </c>
      <c r="N278" s="176">
        <f>J$106</f>
        <v>82.1</v>
      </c>
      <c r="O278" s="202">
        <f t="shared" si="71"/>
        <v>7.8</v>
      </c>
      <c r="P278" s="260">
        <f>K$106</f>
        <v>2</v>
      </c>
      <c r="Q278" s="176">
        <f>L$106</f>
        <v>97</v>
      </c>
      <c r="R278" s="98">
        <f>M$106</f>
        <v>99</v>
      </c>
      <c r="S278" s="187"/>
      <c r="T278" s="187"/>
      <c r="U278" s="187"/>
      <c r="V278" s="187"/>
      <c r="W278" s="187"/>
      <c r="X278" s="187"/>
      <c r="Y278" s="187"/>
    </row>
    <row r="279" spans="1:25" ht="12.75">
      <c r="A279" s="187" t="s">
        <v>277</v>
      </c>
      <c r="B279" s="188">
        <v>8</v>
      </c>
      <c r="C279" s="202">
        <f t="shared" si="68"/>
        <v>0.24</v>
      </c>
      <c r="D279" s="260">
        <f>B$101</f>
        <v>5</v>
      </c>
      <c r="E279" s="176">
        <f>C$101</f>
        <v>62.8</v>
      </c>
      <c r="F279" s="176">
        <f>D$101</f>
        <v>75.6</v>
      </c>
      <c r="G279" s="202">
        <f t="shared" si="69"/>
        <v>2.72</v>
      </c>
      <c r="H279" s="260">
        <f>E$101</f>
        <v>4</v>
      </c>
      <c r="I279" s="176">
        <f>F$101</f>
        <v>76.1</v>
      </c>
      <c r="J279" s="176">
        <f>G$101</f>
        <v>84.7</v>
      </c>
      <c r="K279" s="202">
        <f t="shared" si="70"/>
        <v>2.72</v>
      </c>
      <c r="L279" s="260">
        <f>H$101</f>
        <v>4</v>
      </c>
      <c r="M279" s="176">
        <f>I$101</f>
        <v>91.3</v>
      </c>
      <c r="N279" s="176">
        <f>J$101</f>
        <v>95.1</v>
      </c>
      <c r="O279" s="202">
        <f t="shared" si="71"/>
        <v>5.2</v>
      </c>
      <c r="P279" s="260">
        <f>K$101</f>
        <v>2</v>
      </c>
      <c r="Q279" s="176">
        <f>L$101</f>
        <v>97</v>
      </c>
      <c r="R279" s="98">
        <f>M$101</f>
        <v>99</v>
      </c>
      <c r="S279" s="187"/>
      <c r="T279" s="187"/>
      <c r="U279" s="187"/>
      <c r="V279" s="187"/>
      <c r="W279" s="187"/>
      <c r="X279" s="187"/>
      <c r="Y279" s="187"/>
    </row>
    <row r="280" spans="1:25" ht="12.75">
      <c r="A280" s="187" t="s">
        <v>852</v>
      </c>
      <c r="B280" s="188">
        <v>7</v>
      </c>
      <c r="C280" s="202">
        <f t="shared" si="68"/>
        <v>0.21</v>
      </c>
      <c r="D280" s="260">
        <f>B$46</f>
        <v>1</v>
      </c>
      <c r="E280" s="176">
        <f>C$46</f>
        <v>97</v>
      </c>
      <c r="F280" s="176">
        <f>D$46</f>
        <v>99</v>
      </c>
      <c r="G280" s="202">
        <f t="shared" si="69"/>
        <v>2.38</v>
      </c>
      <c r="H280" s="260">
        <f>E$46</f>
        <v>1</v>
      </c>
      <c r="I280" s="176">
        <f>F$46</f>
        <v>97</v>
      </c>
      <c r="J280" s="176">
        <f>G$46</f>
        <v>99</v>
      </c>
      <c r="K280" s="202">
        <f t="shared" si="70"/>
        <v>2.38</v>
      </c>
      <c r="L280" s="260">
        <f>H$46</f>
        <v>1</v>
      </c>
      <c r="M280" s="176">
        <f>I$46</f>
        <v>97</v>
      </c>
      <c r="N280" s="176">
        <f>J$46</f>
        <v>99</v>
      </c>
      <c r="O280" s="202">
        <f t="shared" si="71"/>
        <v>4.55</v>
      </c>
      <c r="P280" s="260">
        <f>K$46</f>
        <v>1</v>
      </c>
      <c r="Q280" s="176">
        <f>L$46</f>
        <v>97</v>
      </c>
      <c r="R280" s="98">
        <f>M$46</f>
        <v>99</v>
      </c>
      <c r="S280" s="187"/>
      <c r="T280" s="187"/>
      <c r="U280" s="187"/>
      <c r="V280" s="187"/>
      <c r="W280" s="187"/>
      <c r="X280" s="187"/>
      <c r="Y280" s="187"/>
    </row>
    <row r="281" spans="1:25" ht="12.75">
      <c r="A281" s="187" t="s">
        <v>435</v>
      </c>
      <c r="B281" s="188">
        <v>6</v>
      </c>
      <c r="C281" s="202">
        <f t="shared" si="68"/>
        <v>0.18</v>
      </c>
      <c r="D281" s="260">
        <f>B$111</f>
        <v>5</v>
      </c>
      <c r="E281" s="176">
        <f>C$111</f>
        <v>43.8</v>
      </c>
      <c r="F281" s="176">
        <f>D$111</f>
        <v>62.6</v>
      </c>
      <c r="G281" s="202">
        <f t="shared" si="69"/>
        <v>2.04</v>
      </c>
      <c r="H281" s="260">
        <f>E$111</f>
        <v>5</v>
      </c>
      <c r="I281" s="176">
        <f>F$111</f>
        <v>57.1</v>
      </c>
      <c r="J281" s="176">
        <f>G$111</f>
        <v>71.7</v>
      </c>
      <c r="K281" s="202">
        <f t="shared" si="70"/>
        <v>2.04</v>
      </c>
      <c r="L281" s="260">
        <f>H$111</f>
        <v>4</v>
      </c>
      <c r="M281" s="176">
        <f>I$111</f>
        <v>72.3</v>
      </c>
      <c r="N281" s="176">
        <f>J$111</f>
        <v>82.1</v>
      </c>
      <c r="O281" s="202">
        <f t="shared" si="71"/>
        <v>3.9</v>
      </c>
      <c r="P281" s="260">
        <f>K$111</f>
        <v>2</v>
      </c>
      <c r="Q281" s="176">
        <f>L$111</f>
        <v>97</v>
      </c>
      <c r="R281" s="98">
        <f>M$111</f>
        <v>99</v>
      </c>
      <c r="S281" s="187"/>
      <c r="T281" s="187"/>
      <c r="U281" s="187"/>
      <c r="V281" s="187"/>
      <c r="W281" s="187"/>
      <c r="X281" s="187"/>
      <c r="Y281" s="187"/>
    </row>
    <row r="282" spans="1:25" ht="12.75">
      <c r="A282" s="190" t="s">
        <v>861</v>
      </c>
      <c r="B282" s="189">
        <f>SUM(B283:B290)</f>
        <v>100</v>
      </c>
      <c r="C282" s="203"/>
      <c r="D282" s="261"/>
      <c r="E282" s="199">
        <f>SUMPRODUCT($B283:$B290,E283:E290)/100</f>
        <v>38.64911111111111</v>
      </c>
      <c r="F282" s="199">
        <f>SUMPRODUCT($B283:$B290,F283:F290)/100</f>
        <v>46.487111111111105</v>
      </c>
      <c r="G282" s="203">
        <v>41</v>
      </c>
      <c r="H282" s="261"/>
      <c r="I282" s="199">
        <f>SUMPRODUCT($B283:$B290,I283:I290)/100</f>
        <v>43.56377777777778</v>
      </c>
      <c r="J282" s="199">
        <f>SUMPRODUCT($B283:$B290,J283:J290)/100</f>
        <v>51.27977777777778</v>
      </c>
      <c r="K282" s="203">
        <v>41</v>
      </c>
      <c r="L282" s="261"/>
      <c r="M282" s="199">
        <f>SUMPRODUCT($B283:$B290,M283:M290)/100</f>
        <v>50.289111111111104</v>
      </c>
      <c r="N282" s="199">
        <f>SUMPRODUCT($B283:$B290,N283:N290)/100</f>
        <v>56.757111111111115</v>
      </c>
      <c r="O282" s="203">
        <v>482</v>
      </c>
      <c r="P282" s="261"/>
      <c r="Q282" s="199">
        <f>SUMPRODUCT($B283:$B290,Q283:Q290)/100</f>
        <v>69.19333333333333</v>
      </c>
      <c r="R282" s="209">
        <f>SUMPRODUCT($B283:$B290,R283:R290)/100</f>
        <v>72.15333333333334</v>
      </c>
      <c r="S282" s="187"/>
      <c r="T282" s="187"/>
      <c r="U282" s="187"/>
      <c r="V282" s="187"/>
      <c r="W282" s="187"/>
      <c r="X282" s="187"/>
      <c r="Y282" s="187"/>
    </row>
    <row r="283" spans="1:25" ht="12.75">
      <c r="A283" s="187" t="s">
        <v>302</v>
      </c>
      <c r="B283" s="188">
        <v>33</v>
      </c>
      <c r="C283" s="202"/>
      <c r="D283" s="260">
        <f>B$97</f>
        <v>1</v>
      </c>
      <c r="E283" s="176">
        <f>C$97</f>
        <v>97</v>
      </c>
      <c r="F283" s="176">
        <f>D$97</f>
        <v>99</v>
      </c>
      <c r="G283" s="202">
        <f>$G$282*B283/100</f>
        <v>13.53</v>
      </c>
      <c r="H283" s="260">
        <f>E$97</f>
        <v>1</v>
      </c>
      <c r="I283" s="176">
        <f>F$97</f>
        <v>97</v>
      </c>
      <c r="J283" s="176">
        <f>G$97</f>
        <v>99</v>
      </c>
      <c r="K283" s="202">
        <f>$K$282*B283/100</f>
        <v>13.53</v>
      </c>
      <c r="L283" s="260">
        <f>H$97</f>
        <v>1</v>
      </c>
      <c r="M283" s="176">
        <f>I$97</f>
        <v>97</v>
      </c>
      <c r="N283" s="176">
        <f>J$97</f>
        <v>99</v>
      </c>
      <c r="O283" s="202">
        <f>$O$282*B283/100</f>
        <v>159.06</v>
      </c>
      <c r="P283" s="260">
        <f>K$97</f>
        <v>1</v>
      </c>
      <c r="Q283" s="176">
        <f>L$97</f>
        <v>97</v>
      </c>
      <c r="R283" s="98">
        <f>M$97</f>
        <v>99</v>
      </c>
      <c r="S283" s="187"/>
      <c r="T283" s="187"/>
      <c r="U283" s="187"/>
      <c r="V283" s="187"/>
      <c r="W283" s="187"/>
      <c r="X283" s="187"/>
      <c r="Y283" s="187"/>
    </row>
    <row r="284" spans="1:25" ht="12.75">
      <c r="A284" s="187" t="s">
        <v>851</v>
      </c>
      <c r="B284" s="188">
        <v>8</v>
      </c>
      <c r="C284" s="202"/>
      <c r="D284" s="260">
        <f>B$99</f>
        <v>5</v>
      </c>
      <c r="E284" s="176">
        <f>C$99</f>
        <v>25.866666666666667</v>
      </c>
      <c r="F284" s="176">
        <f>D$99</f>
        <v>41.06666666666666</v>
      </c>
      <c r="G284" s="202">
        <f aca="true" t="shared" si="72" ref="G284:G290">$G$282*B284/100</f>
        <v>3.28</v>
      </c>
      <c r="H284" s="260">
        <f>E$99</f>
        <v>4</v>
      </c>
      <c r="I284" s="176">
        <f>F$99</f>
        <v>40.955555555555556</v>
      </c>
      <c r="J284" s="176">
        <f>G$99</f>
        <v>53.355555555555554</v>
      </c>
      <c r="K284" s="202">
        <f aca="true" t="shared" si="73" ref="K284:K290">$K$282*B284/100</f>
        <v>3.28</v>
      </c>
      <c r="L284" s="260">
        <f>H$99</f>
        <v>4</v>
      </c>
      <c r="M284" s="176">
        <f>I$99</f>
        <v>58.2</v>
      </c>
      <c r="N284" s="176">
        <f>J$99</f>
        <v>67.4</v>
      </c>
      <c r="O284" s="202">
        <f aca="true" t="shared" si="74" ref="O284:O290">$O$282*B284/100</f>
        <v>38.56</v>
      </c>
      <c r="P284" s="260">
        <f>K$99</f>
        <v>2</v>
      </c>
      <c r="Q284" s="176">
        <f>L$99</f>
        <v>97</v>
      </c>
      <c r="R284" s="98">
        <f>M$99</f>
        <v>99</v>
      </c>
      <c r="S284" s="187"/>
      <c r="T284" s="187"/>
      <c r="U284" s="187"/>
      <c r="V284" s="187"/>
      <c r="W284" s="187"/>
      <c r="X284" s="187"/>
      <c r="Y284" s="187"/>
    </row>
    <row r="285" spans="1:25" ht="12.75">
      <c r="A285" s="187" t="s">
        <v>202</v>
      </c>
      <c r="B285" s="188">
        <v>16</v>
      </c>
      <c r="C285" s="202"/>
      <c r="D285" s="260">
        <f>B$113</f>
        <v>8</v>
      </c>
      <c r="E285" s="176">
        <f>C$113</f>
        <v>0</v>
      </c>
      <c r="F285" s="176">
        <f>D$113</f>
        <v>5</v>
      </c>
      <c r="G285" s="202">
        <f t="shared" si="72"/>
        <v>6.56</v>
      </c>
      <c r="H285" s="260">
        <f>E$113</f>
        <v>8</v>
      </c>
      <c r="I285" s="176">
        <f>F$113</f>
        <v>0</v>
      </c>
      <c r="J285" s="176">
        <f>G$113</f>
        <v>5</v>
      </c>
      <c r="K285" s="202">
        <f t="shared" si="73"/>
        <v>6.56</v>
      </c>
      <c r="L285" s="260">
        <f>H$113</f>
        <v>8</v>
      </c>
      <c r="M285" s="176">
        <f>I$113</f>
        <v>0</v>
      </c>
      <c r="N285" s="176">
        <f>J$113</f>
        <v>5</v>
      </c>
      <c r="O285" s="202">
        <f t="shared" si="74"/>
        <v>77.12</v>
      </c>
      <c r="P285" s="260">
        <f>K$113</f>
        <v>8</v>
      </c>
      <c r="Q285" s="176">
        <f>L$113</f>
        <v>0</v>
      </c>
      <c r="R285" s="98">
        <f>M$113</f>
        <v>5</v>
      </c>
      <c r="S285" s="187"/>
      <c r="T285" s="187"/>
      <c r="U285" s="187"/>
      <c r="V285" s="187"/>
      <c r="W285" s="187"/>
      <c r="X285" s="187"/>
      <c r="Y285" s="187"/>
    </row>
    <row r="286" spans="1:25" ht="12.75">
      <c r="A286" s="187" t="s">
        <v>439</v>
      </c>
      <c r="B286" s="188">
        <v>9</v>
      </c>
      <c r="C286" s="202"/>
      <c r="D286" s="260">
        <f>B$114</f>
        <v>8</v>
      </c>
      <c r="E286" s="176">
        <f>C$114</f>
        <v>0</v>
      </c>
      <c r="F286" s="176">
        <f>D$114</f>
        <v>5</v>
      </c>
      <c r="G286" s="202">
        <f t="shared" si="72"/>
        <v>3.69</v>
      </c>
      <c r="H286" s="260">
        <f>E$114</f>
        <v>8</v>
      </c>
      <c r="I286" s="176">
        <f>F$114</f>
        <v>0</v>
      </c>
      <c r="J286" s="176">
        <f>G$114</f>
        <v>5</v>
      </c>
      <c r="K286" s="202">
        <f t="shared" si="73"/>
        <v>3.69</v>
      </c>
      <c r="L286" s="260">
        <f>H$114</f>
        <v>8</v>
      </c>
      <c r="M286" s="176">
        <f>I$114</f>
        <v>0</v>
      </c>
      <c r="N286" s="176">
        <f>J$114</f>
        <v>5</v>
      </c>
      <c r="O286" s="202">
        <f t="shared" si="74"/>
        <v>43.38</v>
      </c>
      <c r="P286" s="260">
        <f>K$114</f>
        <v>8</v>
      </c>
      <c r="Q286" s="176">
        <f>L$114</f>
        <v>0</v>
      </c>
      <c r="R286" s="98">
        <f>M$114</f>
        <v>5</v>
      </c>
      <c r="S286" s="187"/>
      <c r="T286" s="187"/>
      <c r="U286" s="187"/>
      <c r="V286" s="187"/>
      <c r="W286" s="187"/>
      <c r="X286" s="187"/>
      <c r="Y286" s="187"/>
    </row>
    <row r="287" spans="1:25" ht="12.75">
      <c r="A287" s="187" t="s">
        <v>272</v>
      </c>
      <c r="B287" s="188">
        <v>15</v>
      </c>
      <c r="C287" s="202"/>
      <c r="D287" s="260">
        <f>B$91</f>
        <v>8</v>
      </c>
      <c r="E287" s="176">
        <f>C$91</f>
        <v>0</v>
      </c>
      <c r="F287" s="176">
        <f>D$91</f>
        <v>14.733333333333334</v>
      </c>
      <c r="G287" s="202">
        <f t="shared" si="72"/>
        <v>6.15</v>
      </c>
      <c r="H287" s="260">
        <f>E$91</f>
        <v>5</v>
      </c>
      <c r="I287" s="176">
        <f>F$91</f>
        <v>8.622222222222222</v>
      </c>
      <c r="J287" s="176">
        <f>G$91</f>
        <v>27.022222222222222</v>
      </c>
      <c r="K287" s="202">
        <f t="shared" si="73"/>
        <v>6.15</v>
      </c>
      <c r="L287" s="260">
        <f>H$91</f>
        <v>5</v>
      </c>
      <c r="M287" s="176">
        <f>I$91</f>
        <v>25.866666666666667</v>
      </c>
      <c r="N287" s="176">
        <f>J$91</f>
        <v>41.06666666666666</v>
      </c>
      <c r="O287" s="202">
        <f t="shared" si="74"/>
        <v>72.3</v>
      </c>
      <c r="P287" s="260">
        <f>K$91</f>
        <v>3</v>
      </c>
      <c r="Q287" s="176">
        <f>L$91</f>
        <v>92.68888888888888</v>
      </c>
      <c r="R287" s="98">
        <f>M$91</f>
        <v>95.4888888888889</v>
      </c>
      <c r="S287" s="187"/>
      <c r="T287" s="187"/>
      <c r="U287" s="187"/>
      <c r="V287" s="187"/>
      <c r="W287" s="187"/>
      <c r="X287" s="187"/>
      <c r="Y287" s="187"/>
    </row>
    <row r="288" spans="1:25" ht="12.75">
      <c r="A288" s="187" t="s">
        <v>205</v>
      </c>
      <c r="B288" s="188">
        <v>14</v>
      </c>
      <c r="C288" s="202"/>
      <c r="D288" s="260">
        <f>B$115</f>
        <v>5</v>
      </c>
      <c r="E288" s="176">
        <f>C$115</f>
        <v>25.866666666666667</v>
      </c>
      <c r="F288" s="176">
        <f>D$115</f>
        <v>41.06666666666666</v>
      </c>
      <c r="G288" s="202">
        <f t="shared" si="72"/>
        <v>5.74</v>
      </c>
      <c r="H288" s="260">
        <f>E$115</f>
        <v>4</v>
      </c>
      <c r="I288" s="176">
        <f>F$115</f>
        <v>40.955555555555556</v>
      </c>
      <c r="J288" s="176">
        <f>G$115</f>
        <v>53.355555555555554</v>
      </c>
      <c r="K288" s="202">
        <f t="shared" si="73"/>
        <v>5.74</v>
      </c>
      <c r="L288" s="260">
        <f>H$115</f>
        <v>4</v>
      </c>
      <c r="M288" s="176">
        <f>I$115</f>
        <v>58.2</v>
      </c>
      <c r="N288" s="176">
        <f>J$115</f>
        <v>67.4</v>
      </c>
      <c r="O288" s="202">
        <f t="shared" si="74"/>
        <v>67.48</v>
      </c>
      <c r="P288" s="260">
        <f>K$115</f>
        <v>2</v>
      </c>
      <c r="Q288" s="176">
        <f>L$115</f>
        <v>97</v>
      </c>
      <c r="R288" s="98">
        <f>M$115</f>
        <v>99</v>
      </c>
      <c r="S288" s="187"/>
      <c r="T288" s="187"/>
      <c r="U288" s="187"/>
      <c r="V288" s="187"/>
      <c r="W288" s="187"/>
      <c r="X288" s="187"/>
      <c r="Y288" s="187"/>
    </row>
    <row r="289" spans="1:25" ht="12.75">
      <c r="A289" s="187" t="s">
        <v>262</v>
      </c>
      <c r="B289" s="188">
        <v>2</v>
      </c>
      <c r="C289" s="202"/>
      <c r="D289" s="260">
        <f>B$69</f>
        <v>4</v>
      </c>
      <c r="E289" s="176">
        <f>C$69</f>
        <v>47.422222222222224</v>
      </c>
      <c r="F289" s="176">
        <f>D$69</f>
        <v>58.62222222222222</v>
      </c>
      <c r="G289" s="202">
        <f t="shared" si="72"/>
        <v>0.82</v>
      </c>
      <c r="H289" s="260">
        <f>E$69</f>
        <v>4</v>
      </c>
      <c r="I289" s="176">
        <f>F$69</f>
        <v>62.51111111111111</v>
      </c>
      <c r="J289" s="176">
        <f>G$69</f>
        <v>70.91111111111111</v>
      </c>
      <c r="K289" s="202">
        <f t="shared" si="73"/>
        <v>0.82</v>
      </c>
      <c r="L289" s="260">
        <f>H$69</f>
        <v>3</v>
      </c>
      <c r="M289" s="176">
        <f>I$69</f>
        <v>79.75555555555556</v>
      </c>
      <c r="N289" s="176">
        <f>J$69</f>
        <v>84.95555555555555</v>
      </c>
      <c r="O289" s="202">
        <f t="shared" si="74"/>
        <v>9.64</v>
      </c>
      <c r="P289" s="260">
        <f>K$69</f>
        <v>2</v>
      </c>
      <c r="Q289" s="176">
        <f>L$69</f>
        <v>97</v>
      </c>
      <c r="R289" s="98">
        <f>M$69</f>
        <v>99</v>
      </c>
      <c r="S289" s="187"/>
      <c r="T289" s="187"/>
      <c r="U289" s="187"/>
      <c r="V289" s="187"/>
      <c r="W289" s="187"/>
      <c r="X289" s="187"/>
      <c r="Y289" s="187"/>
    </row>
    <row r="290" spans="1:25" ht="12.75">
      <c r="A290" s="187" t="s">
        <v>193</v>
      </c>
      <c r="B290" s="188">
        <v>3</v>
      </c>
      <c r="C290" s="202"/>
      <c r="D290" s="260">
        <f>B$108</f>
        <v>8</v>
      </c>
      <c r="E290" s="176">
        <f>C$108</f>
        <v>0</v>
      </c>
      <c r="F290" s="176">
        <f>D$108</f>
        <v>5</v>
      </c>
      <c r="G290" s="202">
        <f t="shared" si="72"/>
        <v>1.23</v>
      </c>
      <c r="H290" s="260">
        <f>E$108</f>
        <v>8</v>
      </c>
      <c r="I290" s="176">
        <f>F$108</f>
        <v>0</v>
      </c>
      <c r="J290" s="176">
        <f>G$108</f>
        <v>5</v>
      </c>
      <c r="K290" s="202">
        <f t="shared" si="73"/>
        <v>1.23</v>
      </c>
      <c r="L290" s="260">
        <f>H$108</f>
        <v>8</v>
      </c>
      <c r="M290" s="176">
        <f>I$108</f>
        <v>0</v>
      </c>
      <c r="N290" s="176">
        <f>J$108</f>
        <v>5</v>
      </c>
      <c r="O290" s="202">
        <f t="shared" si="74"/>
        <v>14.46</v>
      </c>
      <c r="P290" s="260">
        <f>K$108</f>
        <v>8</v>
      </c>
      <c r="Q290" s="176">
        <f>L$108</f>
        <v>0</v>
      </c>
      <c r="R290" s="98">
        <f>M$108</f>
        <v>5</v>
      </c>
      <c r="S290" s="187"/>
      <c r="T290" s="187"/>
      <c r="U290" s="187"/>
      <c r="V290" s="187"/>
      <c r="W290" s="187"/>
      <c r="X290" s="187"/>
      <c r="Y290" s="187"/>
    </row>
    <row r="291" spans="1:25" ht="12.75">
      <c r="A291" s="190" t="s">
        <v>882</v>
      </c>
      <c r="B291" s="189">
        <f>SUM(B292:B296)</f>
        <v>100</v>
      </c>
      <c r="C291" s="203"/>
      <c r="D291" s="261"/>
      <c r="E291" s="199">
        <f>SUMPRODUCT($B292:$B296,E292:E296)/100</f>
        <v>90.844</v>
      </c>
      <c r="F291" s="199">
        <f>SUMPRODUCT($B292:$B296,F292:F296)/100</f>
        <v>94.788</v>
      </c>
      <c r="G291" s="203">
        <v>2</v>
      </c>
      <c r="H291" s="261"/>
      <c r="I291" s="199">
        <f>SUMPRODUCT($B292:$B296,I292:I296)/100</f>
        <v>93.238</v>
      </c>
      <c r="J291" s="199">
        <f>SUMPRODUCT($B292:$B296,J292:J296)/100</f>
        <v>96.426</v>
      </c>
      <c r="K291" s="203">
        <v>2</v>
      </c>
      <c r="L291" s="261"/>
      <c r="M291" s="199">
        <f>SUMPRODUCT($B292:$B296,M292:M296)/100</f>
        <v>95.97399999999999</v>
      </c>
      <c r="N291" s="199">
        <f>SUMPRODUCT($B292:$B296,N292:N296)/100</f>
        <v>98.29799999999999</v>
      </c>
      <c r="O291" s="203"/>
      <c r="P291" s="261"/>
      <c r="Q291" s="199">
        <f>SUMPRODUCT($B292:$B296,Q292:Q296)/100</f>
        <v>97</v>
      </c>
      <c r="R291" s="209">
        <f>SUMPRODUCT($B292:$B296,R292:R296)/100</f>
        <v>99</v>
      </c>
      <c r="S291" s="187"/>
      <c r="T291" s="187"/>
      <c r="U291" s="187"/>
      <c r="V291" s="187"/>
      <c r="W291" s="187"/>
      <c r="X291" s="187"/>
      <c r="Y291" s="187"/>
    </row>
    <row r="292" spans="1:25" ht="12.75">
      <c r="A292" s="187" t="s">
        <v>236</v>
      </c>
      <c r="B292" s="188">
        <v>45</v>
      </c>
      <c r="C292" s="202"/>
      <c r="D292" s="260">
        <f>B$35</f>
        <v>1</v>
      </c>
      <c r="E292" s="176">
        <f>C$35</f>
        <v>97</v>
      </c>
      <c r="F292" s="176">
        <f>D$35</f>
        <v>99</v>
      </c>
      <c r="G292" s="202">
        <f>$G$291*B292/100</f>
        <v>0.9</v>
      </c>
      <c r="H292" s="260">
        <f>E$35</f>
        <v>1</v>
      </c>
      <c r="I292" s="176">
        <f>F$35</f>
        <v>97</v>
      </c>
      <c r="J292" s="176">
        <f>G$35</f>
        <v>99</v>
      </c>
      <c r="K292" s="202">
        <f>$K$291*B292/100</f>
        <v>0.9</v>
      </c>
      <c r="L292" s="260">
        <f>H$35</f>
        <v>1</v>
      </c>
      <c r="M292" s="176">
        <f>I$35</f>
        <v>97</v>
      </c>
      <c r="N292" s="176">
        <f>J$35</f>
        <v>99</v>
      </c>
      <c r="O292" s="202"/>
      <c r="P292" s="260">
        <f>K$35</f>
        <v>1</v>
      </c>
      <c r="Q292" s="176">
        <f>L$35</f>
        <v>97</v>
      </c>
      <c r="R292" s="98">
        <f>M$35</f>
        <v>99</v>
      </c>
      <c r="S292" s="187"/>
      <c r="T292" s="187"/>
      <c r="U292" s="187"/>
      <c r="V292" s="187"/>
      <c r="W292" s="187"/>
      <c r="X292" s="187"/>
      <c r="Y292" s="187"/>
    </row>
    <row r="293" spans="1:25" ht="12.75">
      <c r="A293" s="187" t="s">
        <v>278</v>
      </c>
      <c r="B293" s="188">
        <v>16</v>
      </c>
      <c r="C293" s="202"/>
      <c r="D293" s="260">
        <f>B$103</f>
        <v>1</v>
      </c>
      <c r="E293" s="176">
        <f>C$103</f>
        <v>97</v>
      </c>
      <c r="F293" s="176">
        <f>D$103</f>
        <v>99</v>
      </c>
      <c r="G293" s="202">
        <f>$G$291*B293/100</f>
        <v>0.32</v>
      </c>
      <c r="H293" s="260">
        <f>E$103</f>
        <v>1</v>
      </c>
      <c r="I293" s="176">
        <f>F$103</f>
        <v>97</v>
      </c>
      <c r="J293" s="176">
        <f>G$103</f>
        <v>99</v>
      </c>
      <c r="K293" s="202">
        <f>$K$291*B293/100</f>
        <v>0.32</v>
      </c>
      <c r="L293" s="260">
        <f>H$103</f>
        <v>1</v>
      </c>
      <c r="M293" s="176">
        <f>I$103</f>
        <v>97</v>
      </c>
      <c r="N293" s="176">
        <f>J$103</f>
        <v>99</v>
      </c>
      <c r="O293" s="202"/>
      <c r="P293" s="260">
        <f>K$103</f>
        <v>1</v>
      </c>
      <c r="Q293" s="176">
        <f>L$103</f>
        <v>97</v>
      </c>
      <c r="R293" s="98">
        <f>M$103</f>
        <v>99</v>
      </c>
      <c r="S293" s="187"/>
      <c r="T293" s="187"/>
      <c r="U293" s="187"/>
      <c r="V293" s="187"/>
      <c r="W293" s="187"/>
      <c r="X293" s="187"/>
      <c r="Y293" s="187"/>
    </row>
    <row r="294" spans="1:25" ht="12.75">
      <c r="A294" s="187" t="s">
        <v>298</v>
      </c>
      <c r="B294" s="188">
        <v>18</v>
      </c>
      <c r="C294" s="202"/>
      <c r="D294" s="260">
        <f>B$102</f>
        <v>5</v>
      </c>
      <c r="E294" s="176">
        <f>C$102</f>
        <v>62.8</v>
      </c>
      <c r="F294" s="176">
        <f>D$102</f>
        <v>75.6</v>
      </c>
      <c r="G294" s="202">
        <f>$G$291*B294/100</f>
        <v>0.36</v>
      </c>
      <c r="H294" s="260">
        <f>E$102</f>
        <v>4</v>
      </c>
      <c r="I294" s="176">
        <f>F$102</f>
        <v>76.1</v>
      </c>
      <c r="J294" s="176">
        <f>G$102</f>
        <v>84.7</v>
      </c>
      <c r="K294" s="202">
        <f>$K$291*B294/100</f>
        <v>0.36</v>
      </c>
      <c r="L294" s="260">
        <f>H$102</f>
        <v>4</v>
      </c>
      <c r="M294" s="176">
        <f>I$102</f>
        <v>91.3</v>
      </c>
      <c r="N294" s="176">
        <f>J$102</f>
        <v>95.1</v>
      </c>
      <c r="O294" s="202"/>
      <c r="P294" s="260">
        <f>K$102</f>
        <v>2</v>
      </c>
      <c r="Q294" s="176">
        <f>L$102</f>
        <v>97</v>
      </c>
      <c r="R294" s="98">
        <f>M$102</f>
        <v>99</v>
      </c>
      <c r="S294" s="187"/>
      <c r="T294" s="187"/>
      <c r="U294" s="187"/>
      <c r="V294" s="187"/>
      <c r="W294" s="187"/>
      <c r="X294" s="187"/>
      <c r="Y294" s="187"/>
    </row>
    <row r="295" spans="1:25" ht="12.75">
      <c r="A295" s="187" t="s">
        <v>206</v>
      </c>
      <c r="B295" s="188">
        <v>6</v>
      </c>
      <c r="C295" s="202"/>
      <c r="D295" s="260">
        <f>B$116</f>
        <v>1</v>
      </c>
      <c r="E295" s="176">
        <f>C$116</f>
        <v>97</v>
      </c>
      <c r="F295" s="176">
        <f>D$116</f>
        <v>99</v>
      </c>
      <c r="G295" s="202">
        <f>$G$291*B295/100</f>
        <v>0.12</v>
      </c>
      <c r="H295" s="260">
        <f>E$116</f>
        <v>1</v>
      </c>
      <c r="I295" s="176">
        <f>F$116</f>
        <v>97</v>
      </c>
      <c r="J295" s="176">
        <f>G$116</f>
        <v>99</v>
      </c>
      <c r="K295" s="202">
        <f>$K$291*B295/100</f>
        <v>0.12</v>
      </c>
      <c r="L295" s="260">
        <f>H$116</f>
        <v>1</v>
      </c>
      <c r="M295" s="176">
        <f>I$116</f>
        <v>97</v>
      </c>
      <c r="N295" s="176">
        <f>J$116</f>
        <v>99</v>
      </c>
      <c r="O295" s="202"/>
      <c r="P295" s="260">
        <f>K$116</f>
        <v>1</v>
      </c>
      <c r="Q295" s="176">
        <f>L$116</f>
        <v>97</v>
      </c>
      <c r="R295" s="98">
        <f>M$116</f>
        <v>99</v>
      </c>
      <c r="S295" s="187"/>
      <c r="T295" s="187"/>
      <c r="U295" s="187"/>
      <c r="V295" s="187"/>
      <c r="W295" s="187"/>
      <c r="X295" s="187"/>
      <c r="Y295" s="187"/>
    </row>
    <row r="296" spans="1:25" ht="12.75">
      <c r="A296" s="187" t="s">
        <v>226</v>
      </c>
      <c r="B296" s="210">
        <v>15</v>
      </c>
      <c r="C296" s="204"/>
      <c r="D296" s="262">
        <f>B$34</f>
        <v>1</v>
      </c>
      <c r="E296" s="211">
        <f>C$34</f>
        <v>97</v>
      </c>
      <c r="F296" s="211">
        <f>D$34</f>
        <v>99</v>
      </c>
      <c r="G296" s="204">
        <f>$G$291*B296/100</f>
        <v>0.3</v>
      </c>
      <c r="H296" s="262">
        <f>E$34</f>
        <v>1</v>
      </c>
      <c r="I296" s="211">
        <f>F$34</f>
        <v>97</v>
      </c>
      <c r="J296" s="211">
        <f>G$34</f>
        <v>99</v>
      </c>
      <c r="K296" s="204">
        <f>$K$291*B296/100</f>
        <v>0.3</v>
      </c>
      <c r="L296" s="262">
        <f>H$34</f>
        <v>1</v>
      </c>
      <c r="M296" s="211">
        <f>I$34</f>
        <v>97</v>
      </c>
      <c r="N296" s="211">
        <f>J$34</f>
        <v>99</v>
      </c>
      <c r="O296" s="204"/>
      <c r="P296" s="262">
        <f>K$34</f>
        <v>1</v>
      </c>
      <c r="Q296" s="211">
        <f>L$34</f>
        <v>97</v>
      </c>
      <c r="R296" s="212">
        <f>M$34</f>
        <v>99</v>
      </c>
      <c r="S296" s="187"/>
      <c r="T296" s="187"/>
      <c r="U296" s="187"/>
      <c r="V296" s="187"/>
      <c r="W296" s="187"/>
      <c r="X296" s="187"/>
      <c r="Y296" s="187"/>
    </row>
    <row r="297" spans="1:25" ht="12.75">
      <c r="A297" s="181" t="s">
        <v>907</v>
      </c>
      <c r="B297" s="46"/>
      <c r="C297" s="11"/>
      <c r="D297" s="206" t="s">
        <v>908</v>
      </c>
      <c r="E297" s="207"/>
      <c r="F297" s="213"/>
      <c r="G297" s="15"/>
      <c r="H297" s="206" t="s">
        <v>908</v>
      </c>
      <c r="I297" s="207"/>
      <c r="J297" s="194"/>
      <c r="K297" s="15"/>
      <c r="L297" s="206" t="s">
        <v>908</v>
      </c>
      <c r="M297" s="207"/>
      <c r="N297" s="194"/>
      <c r="O297" s="15"/>
      <c r="P297" s="206" t="s">
        <v>908</v>
      </c>
      <c r="Q297" s="207"/>
      <c r="R297" s="194"/>
      <c r="S297" s="187"/>
      <c r="T297" s="187"/>
      <c r="U297" s="187"/>
      <c r="V297" s="187"/>
      <c r="W297" s="187"/>
      <c r="X297" s="187"/>
      <c r="Y297" s="187"/>
    </row>
    <row r="298" spans="1:25" ht="12.75">
      <c r="A298" s="31" t="s">
        <v>898</v>
      </c>
      <c r="B298" s="47"/>
      <c r="C298" s="13">
        <f>SUMIF($D$127:$D$296,"1",$C$127:$C$296)</f>
        <v>180.03000000000006</v>
      </c>
      <c r="D298" s="122">
        <v>1</v>
      </c>
      <c r="E298" s="207">
        <f>C298+C299+C303</f>
        <v>180.03000000000006</v>
      </c>
      <c r="F298" s="47"/>
      <c r="G298" s="30">
        <f>SUMIF($H$127:$H296,"1",$G$127:$G$296)</f>
        <v>9416.600000000002</v>
      </c>
      <c r="H298" s="122">
        <v>1</v>
      </c>
      <c r="I298" s="216">
        <f>G298+G299+G303</f>
        <v>9416.600000000002</v>
      </c>
      <c r="J298" s="16"/>
      <c r="K298" s="30">
        <f>SUMIF($L$127:$L296,"1",$K$127:$K$296)</f>
        <v>9416.600000000002</v>
      </c>
      <c r="L298" s="122">
        <v>1</v>
      </c>
      <c r="M298" s="216">
        <f>K298+K299+K303</f>
        <v>9443.900000000001</v>
      </c>
      <c r="N298" s="16"/>
      <c r="O298" s="30">
        <f>SUMIF($P$127:$P296,"1",$O$127:$O$296)</f>
        <v>146953.1599999999</v>
      </c>
      <c r="P298" s="122">
        <v>1</v>
      </c>
      <c r="Q298" s="216">
        <f>O298+O299+O303</f>
        <v>161031.99999999988</v>
      </c>
      <c r="R298" s="16"/>
      <c r="S298" s="187"/>
      <c r="T298" s="187"/>
      <c r="U298" s="187"/>
      <c r="V298" s="187"/>
      <c r="W298" s="187"/>
      <c r="X298" s="187"/>
      <c r="Y298" s="187"/>
    </row>
    <row r="299" spans="1:25" ht="13.5" customHeight="1">
      <c r="A299" s="31" t="s">
        <v>903</v>
      </c>
      <c r="B299" s="47"/>
      <c r="C299" s="13">
        <f>SUMIF($D$127:$D$296,"2",$C$127:$C$296)</f>
        <v>0</v>
      </c>
      <c r="D299" s="122">
        <v>2</v>
      </c>
      <c r="E299" s="207">
        <f>C304</f>
        <v>19.75</v>
      </c>
      <c r="F299" s="47"/>
      <c r="G299" s="30">
        <f>SUMIF($H$127:$H297,"2",$G$127:$G$296)</f>
        <v>0</v>
      </c>
      <c r="H299" s="122">
        <v>2</v>
      </c>
      <c r="I299" s="216">
        <f>G304</f>
        <v>522.3000000000001</v>
      </c>
      <c r="J299" s="16"/>
      <c r="K299" s="30">
        <f>SUMIF($L$127:$L297,"2",$K$127:$K$296)</f>
        <v>27.3</v>
      </c>
      <c r="L299" s="122">
        <v>2</v>
      </c>
      <c r="M299" s="216">
        <f>K304</f>
        <v>522.3000000000001</v>
      </c>
      <c r="N299" s="16"/>
      <c r="O299" s="30">
        <f>SUMIF($P$127:$P297,"2",$O$127:$O$296)</f>
        <v>14078.839999999997</v>
      </c>
      <c r="P299" s="122">
        <v>2</v>
      </c>
      <c r="Q299" s="216">
        <f>O304</f>
        <v>5250.2300000000005</v>
      </c>
      <c r="R299" s="16"/>
      <c r="S299" s="187"/>
      <c r="T299" s="187"/>
      <c r="U299" s="187"/>
      <c r="V299" s="187"/>
      <c r="W299" s="187"/>
      <c r="X299" s="187"/>
      <c r="Y299" s="187"/>
    </row>
    <row r="300" spans="1:25" ht="12.75" customHeight="1">
      <c r="A300" s="31" t="s">
        <v>902</v>
      </c>
      <c r="B300" s="47"/>
      <c r="C300" s="13">
        <f>SUMIF($D$127:$D$296,"3",$C$127:$C$296)</f>
        <v>0.42</v>
      </c>
      <c r="D300" s="122">
        <v>3</v>
      </c>
      <c r="E300" s="207">
        <f>C300</f>
        <v>0.42</v>
      </c>
      <c r="F300" s="47"/>
      <c r="G300" s="30">
        <f>SUMIF($H$127:$H298,"3",$G$127:$G$296)</f>
        <v>124.82</v>
      </c>
      <c r="H300" s="122">
        <v>3</v>
      </c>
      <c r="I300" s="216">
        <f>G300</f>
        <v>124.82</v>
      </c>
      <c r="J300" s="16"/>
      <c r="K300" s="30">
        <f>SUMIF($L$127:$L298,"3",$K$127:$K$296)</f>
        <v>977.89</v>
      </c>
      <c r="L300" s="122">
        <v>3</v>
      </c>
      <c r="M300" s="216">
        <f>K300</f>
        <v>977.89</v>
      </c>
      <c r="N300" s="16"/>
      <c r="O300" s="30">
        <f>SUMIF($P$127:$P298,"3",$O$127:$O$296)</f>
        <v>22586.449999999997</v>
      </c>
      <c r="P300" s="122">
        <v>3</v>
      </c>
      <c r="Q300" s="216">
        <f>O300</f>
        <v>22586.449999999997</v>
      </c>
      <c r="R300" s="16"/>
      <c r="S300" s="187"/>
      <c r="T300" s="187"/>
      <c r="U300" s="187"/>
      <c r="V300" s="187"/>
      <c r="W300" s="187"/>
      <c r="X300" s="187"/>
      <c r="Y300" s="187"/>
    </row>
    <row r="301" spans="1:25" ht="13.5" customHeight="1">
      <c r="A301" s="31" t="s">
        <v>904</v>
      </c>
      <c r="B301" s="47"/>
      <c r="C301" s="13">
        <f>SUMIF($D$127:$D$296,"4",$C$127:$C$296)</f>
        <v>8.06</v>
      </c>
      <c r="D301" s="122">
        <v>4</v>
      </c>
      <c r="E301" s="207">
        <f>C301</f>
        <v>8.06</v>
      </c>
      <c r="F301" s="47"/>
      <c r="G301" s="30">
        <f>SUMIF($H$127:$H299,"4",$G$127:$G$296)</f>
        <v>2462.359999999999</v>
      </c>
      <c r="H301" s="122">
        <v>4</v>
      </c>
      <c r="I301" s="216">
        <f>G301</f>
        <v>2462.359999999999</v>
      </c>
      <c r="J301" s="16"/>
      <c r="K301" s="30">
        <f>SUMIF($L$127:$L299,"4",$K$127:$K$296)</f>
        <v>3019.2799999999997</v>
      </c>
      <c r="L301" s="122">
        <v>4</v>
      </c>
      <c r="M301" s="216">
        <f>K301</f>
        <v>3019.2799999999997</v>
      </c>
      <c r="N301" s="16"/>
      <c r="O301" s="30">
        <f>SUMIF($P$127:$P299,"4",$O$127:$O$296)</f>
        <v>0</v>
      </c>
      <c r="P301" s="122">
        <v>4</v>
      </c>
      <c r="Q301" s="216">
        <f>O301</f>
        <v>0</v>
      </c>
      <c r="R301" s="16"/>
      <c r="S301" s="187"/>
      <c r="T301" s="187"/>
      <c r="U301" s="187"/>
      <c r="V301" s="187"/>
      <c r="W301" s="187"/>
      <c r="X301" s="187"/>
      <c r="Y301" s="187"/>
    </row>
    <row r="302" spans="1:25" ht="12.75" customHeight="1">
      <c r="A302" s="31" t="s">
        <v>905</v>
      </c>
      <c r="B302" s="47"/>
      <c r="C302" s="13">
        <f>SUMIF($D$127:$D$296,"5",$C$127:$C$296)</f>
        <v>76.29000000000002</v>
      </c>
      <c r="D302" s="122">
        <v>5</v>
      </c>
      <c r="E302" s="207">
        <f>C302</f>
        <v>76.29000000000002</v>
      </c>
      <c r="F302" s="47"/>
      <c r="G302" s="30">
        <f>SUMIF($H$127:$H300,"5",$G$127:$G$296)</f>
        <v>4296.29</v>
      </c>
      <c r="H302" s="122">
        <v>5</v>
      </c>
      <c r="I302" s="216">
        <f>G302</f>
        <v>4296.29</v>
      </c>
      <c r="J302" s="16"/>
      <c r="K302" s="30">
        <f>SUMIF($L$127:$L300,"5",$K$127:$K$296)</f>
        <v>2859</v>
      </c>
      <c r="L302" s="122">
        <v>5</v>
      </c>
      <c r="M302" s="216">
        <f>K302</f>
        <v>2859</v>
      </c>
      <c r="N302" s="16"/>
      <c r="O302" s="30">
        <f>SUMIF($P$127:$P300,"5",$O$127:$O$296)</f>
        <v>177.48</v>
      </c>
      <c r="P302" s="122">
        <v>5</v>
      </c>
      <c r="Q302" s="216">
        <f>O302</f>
        <v>177.48</v>
      </c>
      <c r="R302" s="16"/>
      <c r="S302" s="187"/>
      <c r="T302" s="187"/>
      <c r="U302" s="187"/>
      <c r="V302" s="187"/>
      <c r="W302" s="187"/>
      <c r="X302" s="187"/>
      <c r="Y302" s="187"/>
    </row>
    <row r="303" spans="1:25" ht="12.75">
      <c r="A303" s="31" t="s">
        <v>900</v>
      </c>
      <c r="B303" s="47"/>
      <c r="C303" s="13">
        <f>SUMIF($D$127:$D$296,"6",$C$127:$C$296)</f>
        <v>0</v>
      </c>
      <c r="D303" s="122">
        <v>6</v>
      </c>
      <c r="E303" s="207">
        <f>C305</f>
        <v>78.44999999999999</v>
      </c>
      <c r="F303" s="47"/>
      <c r="G303" s="30">
        <f>SUMIF($H$127:$H301,"6",$G$127:$G$296)</f>
        <v>0</v>
      </c>
      <c r="H303" s="122">
        <v>6</v>
      </c>
      <c r="I303" s="216">
        <f>G305</f>
        <v>160.63</v>
      </c>
      <c r="J303" s="16"/>
      <c r="K303" s="30">
        <f>SUMIF($L$127:$L301,"6",$K$127:$K$296)</f>
        <v>0</v>
      </c>
      <c r="L303" s="122">
        <v>6</v>
      </c>
      <c r="M303" s="216">
        <f>K305</f>
        <v>160.63</v>
      </c>
      <c r="N303" s="16"/>
      <c r="O303" s="30">
        <f>SUMIF($P$127:$P301,"6",$O$127:$O$296)</f>
        <v>0</v>
      </c>
      <c r="P303" s="122">
        <v>6</v>
      </c>
      <c r="Q303" s="216">
        <f>O305</f>
        <v>750.84</v>
      </c>
      <c r="R303" s="16"/>
      <c r="S303" s="187"/>
      <c r="T303" s="187"/>
      <c r="U303" s="187"/>
      <c r="V303" s="187"/>
      <c r="W303" s="187"/>
      <c r="X303" s="187"/>
      <c r="Y303" s="187"/>
    </row>
    <row r="304" spans="1:25" ht="12.75">
      <c r="A304" s="31" t="s">
        <v>899</v>
      </c>
      <c r="B304" s="47"/>
      <c r="C304" s="13">
        <f>SUMIF($D$127:$D$296,"7",$C$127:$C$296)</f>
        <v>19.75</v>
      </c>
      <c r="D304" s="122">
        <v>7</v>
      </c>
      <c r="E304" s="207">
        <f>C306</f>
        <v>0</v>
      </c>
      <c r="F304" s="47"/>
      <c r="G304" s="30">
        <f>SUMIF($H$127:$H302,"7",$G$127:$G$296)</f>
        <v>522.3000000000001</v>
      </c>
      <c r="H304" s="122">
        <v>7</v>
      </c>
      <c r="I304" s="216">
        <f>G306</f>
        <v>0</v>
      </c>
      <c r="J304" s="16"/>
      <c r="K304" s="30">
        <f>SUMIF($L$127:$L302,"7",$K$127:$K$296)</f>
        <v>522.3000000000001</v>
      </c>
      <c r="L304" s="122">
        <v>7</v>
      </c>
      <c r="M304" s="216">
        <f>K306</f>
        <v>0</v>
      </c>
      <c r="N304" s="16"/>
      <c r="O304" s="30">
        <f>SUMIF($P$127:$P302,"7",$O$127:$O$296)</f>
        <v>5250.2300000000005</v>
      </c>
      <c r="P304" s="122">
        <v>7</v>
      </c>
      <c r="Q304" s="216">
        <f>O306</f>
        <v>0</v>
      </c>
      <c r="R304" s="16"/>
      <c r="S304" s="187"/>
      <c r="T304" s="187"/>
      <c r="U304" s="187"/>
      <c r="V304" s="187"/>
      <c r="W304" s="187"/>
      <c r="X304" s="187"/>
      <c r="Y304" s="187"/>
    </row>
    <row r="305" spans="1:25" ht="12.75">
      <c r="A305" s="31" t="s">
        <v>901</v>
      </c>
      <c r="B305" s="47"/>
      <c r="C305" s="13">
        <f>SUMIF($D$127:$D$296,"8",$C$127:$C$296)</f>
        <v>78.44999999999999</v>
      </c>
      <c r="D305" s="36"/>
      <c r="E305" s="214"/>
      <c r="F305" s="47"/>
      <c r="G305" s="30">
        <f>SUMIF($H$127:$H303,"8",$G$127:$G$296)</f>
        <v>160.63</v>
      </c>
      <c r="H305" s="135"/>
      <c r="I305" s="217"/>
      <c r="J305" s="12"/>
      <c r="K305" s="30">
        <f>SUMIF($L$127:$L303,"8",$K$127:$K$296)</f>
        <v>160.63</v>
      </c>
      <c r="L305" s="135"/>
      <c r="M305" s="217"/>
      <c r="N305" s="12"/>
      <c r="O305" s="30">
        <f>SUMIF($P$127:$P303,"8",$O$127:$O$296)</f>
        <v>750.84</v>
      </c>
      <c r="P305" s="135"/>
      <c r="Q305" s="217"/>
      <c r="R305" s="12"/>
      <c r="S305" s="187"/>
      <c r="T305" s="187"/>
      <c r="U305" s="187"/>
      <c r="V305" s="187"/>
      <c r="W305" s="187"/>
      <c r="X305" s="187"/>
      <c r="Y305" s="187"/>
    </row>
    <row r="306" spans="1:25" ht="12.75">
      <c r="A306" s="31" t="s">
        <v>906</v>
      </c>
      <c r="B306" s="47"/>
      <c r="C306" s="13">
        <f>SUMIF($D$127:$D$296,"9",$C$127:$C$296)</f>
        <v>0</v>
      </c>
      <c r="D306" s="36"/>
      <c r="E306" s="135"/>
      <c r="F306" s="16"/>
      <c r="G306" s="30">
        <f>SUMIF($H$127:$H304,"9",$G$127:$G$296)</f>
        <v>0</v>
      </c>
      <c r="H306" s="135"/>
      <c r="I306" s="217"/>
      <c r="J306" s="12"/>
      <c r="K306" s="30">
        <f>SUMIF($L$127:$L304,"9",$K$127:$K$296)</f>
        <v>0</v>
      </c>
      <c r="L306" s="135"/>
      <c r="M306" s="217"/>
      <c r="N306" s="12"/>
      <c r="O306" s="30">
        <f>SUMIF($P$127:$P304,"9",$O$127:$O$296)</f>
        <v>0</v>
      </c>
      <c r="P306" s="135"/>
      <c r="Q306" s="217"/>
      <c r="R306" s="12"/>
      <c r="S306" s="187"/>
      <c r="T306" s="187"/>
      <c r="U306" s="187"/>
      <c r="V306" s="187"/>
      <c r="W306" s="187"/>
      <c r="X306" s="187"/>
      <c r="Y306" s="187"/>
    </row>
    <row r="307" spans="1:25" ht="12.75">
      <c r="A307" s="173" t="s">
        <v>368</v>
      </c>
      <c r="B307" s="48"/>
      <c r="C307" s="177">
        <f>SUM(C298:C306)</f>
        <v>363.00000000000006</v>
      </c>
      <c r="D307" s="39"/>
      <c r="E307" s="177">
        <f>SUM(E298:E306)</f>
        <v>363.00000000000006</v>
      </c>
      <c r="F307" s="21"/>
      <c r="G307" s="215">
        <f>SUM(G298:G306)</f>
        <v>16983</v>
      </c>
      <c r="H307" s="180"/>
      <c r="I307" s="215">
        <f>SUM(I298:I306)</f>
        <v>16983</v>
      </c>
      <c r="J307" s="9"/>
      <c r="K307" s="215">
        <f>SUM(K298:K306)</f>
        <v>16983</v>
      </c>
      <c r="L307" s="180"/>
      <c r="M307" s="215">
        <f>SUM(M298:M306)</f>
        <v>16983</v>
      </c>
      <c r="N307" s="9"/>
      <c r="O307" s="215">
        <f>SUM(O298:O306)</f>
        <v>189796.9999999999</v>
      </c>
      <c r="P307" s="180"/>
      <c r="Q307" s="215">
        <f>SUM(Q298:Q306)</f>
        <v>189796.99999999988</v>
      </c>
      <c r="R307" s="9"/>
      <c r="S307" s="187"/>
      <c r="T307" s="187"/>
      <c r="U307" s="187"/>
      <c r="V307" s="187"/>
      <c r="W307" s="187"/>
      <c r="X307" s="187"/>
      <c r="Y307" s="187"/>
    </row>
    <row r="308" spans="1:25" ht="12.75">
      <c r="A308" s="31"/>
      <c r="B308" s="11"/>
      <c r="C308" s="36"/>
      <c r="D308" s="135"/>
      <c r="E308" s="15"/>
      <c r="F308" s="11"/>
      <c r="G308" s="135"/>
      <c r="H308" s="15"/>
      <c r="I308" s="11"/>
      <c r="J308" s="187"/>
      <c r="K308" s="187"/>
      <c r="L308" s="187"/>
      <c r="M308" s="187"/>
      <c r="N308" s="187"/>
      <c r="O308" s="187"/>
      <c r="P308" s="187"/>
      <c r="Q308" s="187"/>
      <c r="R308" s="187"/>
      <c r="S308" s="187"/>
      <c r="T308" s="187"/>
      <c r="U308" s="187"/>
      <c r="V308" s="187"/>
      <c r="W308" s="187"/>
      <c r="X308" s="187"/>
      <c r="Y308" s="187"/>
    </row>
    <row r="309" spans="1:25" ht="100.5" customHeight="1">
      <c r="A309" s="307" t="s">
        <v>98</v>
      </c>
      <c r="B309" s="308"/>
      <c r="C309" s="308"/>
      <c r="D309" s="308"/>
      <c r="E309" s="308"/>
      <c r="F309" s="308"/>
      <c r="G309" s="308"/>
      <c r="H309" s="308"/>
      <c r="I309" s="302"/>
      <c r="J309" s="302"/>
      <c r="K309" s="302"/>
      <c r="L309" s="302"/>
      <c r="M309" s="303"/>
      <c r="N309" s="187"/>
      <c r="O309" s="187"/>
      <c r="P309" s="187"/>
      <c r="Q309" s="187"/>
      <c r="R309" s="187"/>
      <c r="S309" s="187"/>
      <c r="T309" s="187"/>
      <c r="U309" s="187"/>
      <c r="V309" s="187"/>
      <c r="W309" s="187"/>
      <c r="X309" s="187"/>
      <c r="Y309" s="187"/>
    </row>
    <row r="310" spans="1:25" ht="12.75">
      <c r="A310" s="31"/>
      <c r="B310" s="11"/>
      <c r="C310" s="36"/>
      <c r="D310" s="135"/>
      <c r="E310" s="15"/>
      <c r="F310" s="11"/>
      <c r="G310" s="135"/>
      <c r="H310" s="15"/>
      <c r="I310" s="11"/>
      <c r="J310" s="187"/>
      <c r="K310" s="187"/>
      <c r="L310" s="187"/>
      <c r="M310" s="187"/>
      <c r="N310" s="187"/>
      <c r="O310" s="187"/>
      <c r="P310" s="187"/>
      <c r="Q310" s="187"/>
      <c r="R310" s="187"/>
      <c r="S310" s="187"/>
      <c r="T310" s="187"/>
      <c r="U310" s="187"/>
      <c r="V310" s="187"/>
      <c r="W310" s="187"/>
      <c r="X310" s="187"/>
      <c r="Y310" s="187"/>
    </row>
    <row r="311" spans="1:25" ht="12.75">
      <c r="A311" s="31"/>
      <c r="B311" s="11"/>
      <c r="C311" s="36"/>
      <c r="D311" s="135"/>
      <c r="E311" s="15"/>
      <c r="F311" s="11"/>
      <c r="G311" s="135"/>
      <c r="H311" s="15"/>
      <c r="I311" s="11"/>
      <c r="J311" s="187"/>
      <c r="K311" s="187"/>
      <c r="L311" s="187"/>
      <c r="M311" s="187"/>
      <c r="N311" s="187"/>
      <c r="O311" s="187"/>
      <c r="P311" s="187"/>
      <c r="Q311" s="187"/>
      <c r="R311" s="187"/>
      <c r="S311" s="187"/>
      <c r="T311" s="187"/>
      <c r="U311" s="187"/>
      <c r="V311" s="187"/>
      <c r="W311" s="187"/>
      <c r="X311" s="187"/>
      <c r="Y311" s="187"/>
    </row>
    <row r="312" spans="1:25" ht="12.75">
      <c r="A312" s="31"/>
      <c r="B312" s="11"/>
      <c r="C312" s="36"/>
      <c r="D312" s="135"/>
      <c r="E312" s="15"/>
      <c r="F312" s="11"/>
      <c r="G312" s="135"/>
      <c r="H312" s="15"/>
      <c r="I312" s="11"/>
      <c r="J312" s="187"/>
      <c r="K312" s="187"/>
      <c r="L312" s="187"/>
      <c r="M312" s="187"/>
      <c r="N312" s="187"/>
      <c r="O312" s="187"/>
      <c r="P312" s="187"/>
      <c r="Q312" s="187"/>
      <c r="R312" s="187"/>
      <c r="S312" s="187"/>
      <c r="T312" s="187"/>
      <c r="U312" s="187"/>
      <c r="V312" s="187"/>
      <c r="W312" s="187"/>
      <c r="X312" s="187"/>
      <c r="Y312" s="187"/>
    </row>
    <row r="313" ht="15.75">
      <c r="A313" s="91" t="s">
        <v>150</v>
      </c>
    </row>
    <row r="314" spans="1:17" ht="15.75">
      <c r="A314" s="88" t="s">
        <v>97</v>
      </c>
      <c r="B314" s="89">
        <v>1958</v>
      </c>
      <c r="C314" s="172"/>
      <c r="D314" s="5"/>
      <c r="E314" s="5"/>
      <c r="F314" s="5"/>
      <c r="G314" s="5"/>
      <c r="H314" s="5"/>
      <c r="I314" s="5"/>
      <c r="J314" s="5"/>
      <c r="K314" s="5"/>
      <c r="L314" s="5"/>
      <c r="M314" s="37"/>
      <c r="N314" s="37"/>
      <c r="O314" s="37"/>
      <c r="P314" s="37"/>
      <c r="Q314" s="46"/>
    </row>
    <row r="315" spans="1:17" ht="25.5" customHeight="1">
      <c r="A315" s="28" t="s">
        <v>430</v>
      </c>
      <c r="B315" s="6" t="s">
        <v>370</v>
      </c>
      <c r="C315" s="76" t="s">
        <v>897</v>
      </c>
      <c r="D315" s="304" t="s">
        <v>400</v>
      </c>
      <c r="E315" s="305"/>
      <c r="F315" s="57" t="s">
        <v>6</v>
      </c>
      <c r="G315" s="5"/>
      <c r="H315" s="5"/>
      <c r="I315" s="5"/>
      <c r="J315" s="5"/>
      <c r="K315" s="5"/>
      <c r="L315" s="5"/>
      <c r="M315" s="37"/>
      <c r="N315" s="37"/>
      <c r="O315" s="37"/>
      <c r="P315" s="37"/>
      <c r="Q315" s="46"/>
    </row>
    <row r="316" spans="1:17" ht="23.25" customHeight="1">
      <c r="A316" s="7"/>
      <c r="B316" s="9"/>
      <c r="C316" s="71"/>
      <c r="D316" s="8" t="s">
        <v>305</v>
      </c>
      <c r="E316" s="9" t="s">
        <v>306</v>
      </c>
      <c r="F316" s="7" t="s">
        <v>431</v>
      </c>
      <c r="G316" s="8" t="s">
        <v>423</v>
      </c>
      <c r="H316" s="8" t="s">
        <v>424</v>
      </c>
      <c r="I316" s="49" t="s">
        <v>428</v>
      </c>
      <c r="J316" s="8"/>
      <c r="K316" s="8"/>
      <c r="L316" s="8"/>
      <c r="M316" s="39"/>
      <c r="N316" s="39"/>
      <c r="O316" s="39"/>
      <c r="P316" s="39"/>
      <c r="Q316" s="48"/>
    </row>
    <row r="317" spans="1:17" ht="12.75">
      <c r="A317" s="28" t="s">
        <v>450</v>
      </c>
      <c r="B317" s="72">
        <v>82362</v>
      </c>
      <c r="C317" s="226"/>
      <c r="D317" s="100">
        <f>$Q$127</f>
        <v>97</v>
      </c>
      <c r="E317" s="99">
        <f>$R$127</f>
        <v>99</v>
      </c>
      <c r="F317" s="75"/>
      <c r="G317" s="75"/>
      <c r="H317" s="75"/>
      <c r="I317" s="75" t="s">
        <v>149</v>
      </c>
      <c r="J317" s="75"/>
      <c r="K317" s="75"/>
      <c r="L317" s="75"/>
      <c r="M317" s="36"/>
      <c r="N317" s="36"/>
      <c r="O317" s="36"/>
      <c r="P317" s="36"/>
      <c r="Q317" s="47"/>
    </row>
    <row r="318" spans="1:17" ht="12.75">
      <c r="A318" s="10" t="s">
        <v>451</v>
      </c>
      <c r="B318" s="42">
        <v>20602</v>
      </c>
      <c r="C318" s="227"/>
      <c r="D318" s="13">
        <f>$Q$127</f>
        <v>97</v>
      </c>
      <c r="E318" s="14">
        <f>$R$127</f>
        <v>99</v>
      </c>
      <c r="F318" s="45"/>
      <c r="G318" s="45"/>
      <c r="H318" s="45"/>
      <c r="I318" s="45" t="s">
        <v>149</v>
      </c>
      <c r="J318" s="45"/>
      <c r="K318" s="45"/>
      <c r="L318" s="45"/>
      <c r="M318" s="36"/>
      <c r="N318" s="36"/>
      <c r="O318" s="36"/>
      <c r="P318" s="36"/>
      <c r="Q318" s="47"/>
    </row>
    <row r="319" spans="1:17" ht="12.75">
      <c r="A319" s="10" t="s">
        <v>319</v>
      </c>
      <c r="B319" s="42">
        <v>12976</v>
      </c>
      <c r="C319" s="227"/>
      <c r="D319" s="13">
        <f>$Q$167</f>
        <v>96.18088888888887</v>
      </c>
      <c r="E319" s="14">
        <f>$R$167</f>
        <v>98.33288888888889</v>
      </c>
      <c r="F319" s="45"/>
      <c r="G319" s="45"/>
      <c r="H319" s="45"/>
      <c r="I319" s="45" t="s">
        <v>149</v>
      </c>
      <c r="J319" s="45"/>
      <c r="K319" s="45"/>
      <c r="L319" s="45"/>
      <c r="M319" s="36"/>
      <c r="N319" s="36"/>
      <c r="O319" s="36"/>
      <c r="P319" s="36"/>
      <c r="Q319" s="47"/>
    </row>
    <row r="320" spans="1:17" ht="12.75">
      <c r="A320" s="10" t="s">
        <v>337</v>
      </c>
      <c r="B320" s="42">
        <v>13915</v>
      </c>
      <c r="C320" s="227"/>
      <c r="D320" s="13">
        <f>$Q$134</f>
        <v>97</v>
      </c>
      <c r="E320" s="14">
        <f>$R$134</f>
        <v>99</v>
      </c>
      <c r="F320" s="45"/>
      <c r="G320" s="45"/>
      <c r="H320" s="45"/>
      <c r="I320" s="45" t="s">
        <v>149</v>
      </c>
      <c r="J320" s="45"/>
      <c r="K320" s="45"/>
      <c r="L320" s="45"/>
      <c r="M320" s="36"/>
      <c r="N320" s="36"/>
      <c r="O320" s="36"/>
      <c r="P320" s="36"/>
      <c r="Q320" s="47"/>
    </row>
    <row r="321" spans="1:17" ht="12.75">
      <c r="A321" s="10" t="s">
        <v>311</v>
      </c>
      <c r="B321" s="42">
        <v>19009</v>
      </c>
      <c r="C321" s="227"/>
      <c r="D321" s="13">
        <f>$Q$134</f>
        <v>97</v>
      </c>
      <c r="E321" s="14">
        <f>$R$134</f>
        <v>99</v>
      </c>
      <c r="F321" s="45"/>
      <c r="G321" s="45"/>
      <c r="H321" s="45"/>
      <c r="I321" s="45" t="s">
        <v>149</v>
      </c>
      <c r="J321" s="45"/>
      <c r="K321" s="45"/>
      <c r="L321" s="45"/>
      <c r="M321" s="36"/>
      <c r="N321" s="36"/>
      <c r="O321" s="36"/>
      <c r="P321" s="36"/>
      <c r="Q321" s="47"/>
    </row>
    <row r="322" spans="1:17" ht="12.75">
      <c r="A322" s="10" t="s">
        <v>308</v>
      </c>
      <c r="B322" s="42">
        <v>3944</v>
      </c>
      <c r="C322" s="227"/>
      <c r="D322" s="13">
        <f>$Q$161</f>
        <v>94.3271111111111</v>
      </c>
      <c r="E322" s="14">
        <f>$R$161</f>
        <v>96.82311111111112</v>
      </c>
      <c r="F322" s="45"/>
      <c r="G322" s="45"/>
      <c r="H322" s="45"/>
      <c r="I322" s="45" t="s">
        <v>149</v>
      </c>
      <c r="J322" s="45"/>
      <c r="K322" s="45"/>
      <c r="L322" s="45"/>
      <c r="M322" s="36"/>
      <c r="N322" s="36"/>
      <c r="O322" s="36"/>
      <c r="P322" s="36"/>
      <c r="Q322" s="47"/>
    </row>
    <row r="323" spans="1:17" ht="12.75">
      <c r="A323" s="10" t="s">
        <v>309</v>
      </c>
      <c r="B323" s="42">
        <v>4583</v>
      </c>
      <c r="C323" s="227"/>
      <c r="D323" s="13">
        <f>$Q$191</f>
        <v>95.53422222222221</v>
      </c>
      <c r="E323" s="14">
        <f>$R$191</f>
        <v>97.80622222222222</v>
      </c>
      <c r="F323" s="45"/>
      <c r="G323" s="45"/>
      <c r="H323" s="45"/>
      <c r="I323" s="45" t="s">
        <v>149</v>
      </c>
      <c r="J323" s="45"/>
      <c r="K323" s="45"/>
      <c r="L323" s="45"/>
      <c r="M323" s="36"/>
      <c r="N323" s="36"/>
      <c r="O323" s="36"/>
      <c r="P323" s="36"/>
      <c r="Q323" s="47"/>
    </row>
    <row r="324" spans="1:17" ht="12.75">
      <c r="A324" s="10" t="s">
        <v>452</v>
      </c>
      <c r="B324" s="42">
        <v>5119</v>
      </c>
      <c r="C324" s="227"/>
      <c r="D324" s="13">
        <f>$Q$161</f>
        <v>94.3271111111111</v>
      </c>
      <c r="E324" s="14">
        <f>$R$161</f>
        <v>96.82311111111112</v>
      </c>
      <c r="F324" s="45"/>
      <c r="G324" s="45"/>
      <c r="H324" s="45"/>
      <c r="I324" s="45" t="s">
        <v>149</v>
      </c>
      <c r="J324" s="45"/>
      <c r="K324" s="45"/>
      <c r="L324" s="45"/>
      <c r="M324" s="36"/>
      <c r="N324" s="36"/>
      <c r="O324" s="36"/>
      <c r="P324" s="36"/>
      <c r="Q324" s="47"/>
    </row>
    <row r="325" spans="1:17" ht="12.75">
      <c r="A325" s="10" t="s">
        <v>334</v>
      </c>
      <c r="B325" s="42">
        <v>9239</v>
      </c>
      <c r="C325" s="227"/>
      <c r="D325" s="13">
        <f>$Q$184</f>
        <v>95.92222222222223</v>
      </c>
      <c r="E325" s="14">
        <f>$R$184</f>
        <v>98.12222222222222</v>
      </c>
      <c r="F325" s="45"/>
      <c r="G325" s="45"/>
      <c r="H325" s="45"/>
      <c r="I325" s="45" t="s">
        <v>149</v>
      </c>
      <c r="J325" s="45"/>
      <c r="K325" s="45"/>
      <c r="L325" s="45"/>
      <c r="M325" s="36"/>
      <c r="N325" s="36"/>
      <c r="O325" s="36"/>
      <c r="P325" s="36"/>
      <c r="Q325" s="47"/>
    </row>
    <row r="326" spans="1:17" ht="12.75">
      <c r="A326" s="10" t="s">
        <v>346</v>
      </c>
      <c r="B326" s="42">
        <v>2586</v>
      </c>
      <c r="C326" s="227"/>
      <c r="D326" s="13">
        <f>$Q$200</f>
        <v>75.66</v>
      </c>
      <c r="E326" s="14">
        <f>$R$200</f>
        <v>78.32</v>
      </c>
      <c r="F326" s="45"/>
      <c r="G326" s="45"/>
      <c r="H326" s="45"/>
      <c r="I326" s="45" t="s">
        <v>149</v>
      </c>
      <c r="J326" s="45"/>
      <c r="K326" s="45"/>
      <c r="L326" s="45"/>
      <c r="M326" s="36"/>
      <c r="N326" s="36"/>
      <c r="O326" s="36"/>
      <c r="P326" s="36"/>
      <c r="Q326" s="47"/>
    </row>
    <row r="327" spans="1:17" ht="12.75">
      <c r="A327" s="10" t="s">
        <v>442</v>
      </c>
      <c r="B327" s="42">
        <v>502</v>
      </c>
      <c r="C327" s="227"/>
      <c r="D327" s="13">
        <f>$Q$238</f>
        <v>93.65888888888888</v>
      </c>
      <c r="E327" s="14">
        <f>$R$238</f>
        <v>95.82888888888888</v>
      </c>
      <c r="F327" s="45"/>
      <c r="G327" s="45"/>
      <c r="H327" s="45"/>
      <c r="I327" s="45" t="s">
        <v>149</v>
      </c>
      <c r="J327" s="45"/>
      <c r="K327" s="45"/>
      <c r="L327" s="45"/>
      <c r="M327" s="36"/>
      <c r="N327" s="36"/>
      <c r="O327" s="36"/>
      <c r="P327" s="36"/>
      <c r="Q327" s="47"/>
    </row>
    <row r="328" spans="1:17" ht="12.75">
      <c r="A328" s="10" t="s">
        <v>261</v>
      </c>
      <c r="B328" s="42">
        <v>991</v>
      </c>
      <c r="C328" s="227"/>
      <c r="D328" s="13">
        <f>$Q$218</f>
        <v>96.74133333333333</v>
      </c>
      <c r="E328" s="14">
        <f>$R$218</f>
        <v>98.78933333333335</v>
      </c>
      <c r="F328" s="45"/>
      <c r="G328" s="45"/>
      <c r="H328" s="45"/>
      <c r="I328" s="45" t="s">
        <v>149</v>
      </c>
      <c r="J328" s="45"/>
      <c r="K328" s="45"/>
      <c r="L328" s="45"/>
      <c r="M328" s="36"/>
      <c r="N328" s="36"/>
      <c r="O328" s="36"/>
      <c r="P328" s="36"/>
      <c r="Q328" s="47"/>
    </row>
    <row r="329" spans="1:17" ht="12.75">
      <c r="A329" s="10" t="s">
        <v>260</v>
      </c>
      <c r="B329" s="42">
        <v>612</v>
      </c>
      <c r="C329" s="227"/>
      <c r="D329" s="13">
        <f>$Q$210</f>
        <v>80.47</v>
      </c>
      <c r="E329" s="14">
        <f>$R$210</f>
        <v>87.69</v>
      </c>
      <c r="F329" s="45"/>
      <c r="G329" s="45"/>
      <c r="H329" s="45"/>
      <c r="I329" s="45" t="s">
        <v>149</v>
      </c>
      <c r="J329" s="45"/>
      <c r="K329" s="45"/>
      <c r="L329" s="45"/>
      <c r="M329" s="36"/>
      <c r="N329" s="36"/>
      <c r="O329" s="36"/>
      <c r="P329" s="36"/>
      <c r="Q329" s="47"/>
    </row>
    <row r="330" spans="1:17" ht="12.75">
      <c r="A330" s="10" t="s">
        <v>244</v>
      </c>
      <c r="B330" s="42">
        <v>482</v>
      </c>
      <c r="C330" s="227"/>
      <c r="D330" s="13">
        <f>$Q$282</f>
        <v>69.19333333333333</v>
      </c>
      <c r="E330" s="14">
        <f>$R$282</f>
        <v>72.15333333333334</v>
      </c>
      <c r="F330" s="45"/>
      <c r="G330" s="45"/>
      <c r="H330" s="45"/>
      <c r="I330" s="45" t="s">
        <v>149</v>
      </c>
      <c r="J330" s="45"/>
      <c r="K330" s="45"/>
      <c r="L330" s="45"/>
      <c r="M330" s="36"/>
      <c r="N330" s="36"/>
      <c r="O330" s="36"/>
      <c r="P330" s="36"/>
      <c r="Q330" s="47"/>
    </row>
    <row r="331" spans="1:17" ht="12.75">
      <c r="A331" s="10" t="s">
        <v>326</v>
      </c>
      <c r="B331" s="42">
        <v>681</v>
      </c>
      <c r="C331" s="227"/>
      <c r="D331" s="13">
        <f>$Q$249</f>
        <v>97</v>
      </c>
      <c r="E331" s="14">
        <f>$R$249</f>
        <v>99</v>
      </c>
      <c r="F331" s="45"/>
      <c r="G331" s="45"/>
      <c r="H331" s="45"/>
      <c r="I331" s="45" t="s">
        <v>149</v>
      </c>
      <c r="J331" s="45"/>
      <c r="K331" s="45"/>
      <c r="L331" s="45"/>
      <c r="M331" s="36"/>
      <c r="N331" s="36"/>
      <c r="O331" s="36"/>
      <c r="P331" s="36"/>
      <c r="Q331" s="47"/>
    </row>
    <row r="332" spans="1:17" ht="12.75">
      <c r="A332" s="10" t="s">
        <v>341</v>
      </c>
      <c r="B332" s="42">
        <v>65</v>
      </c>
      <c r="C332" s="227"/>
      <c r="D332" s="13">
        <f>$Q$271</f>
        <v>70.81</v>
      </c>
      <c r="E332" s="14">
        <f>$R$271</f>
        <v>73.62</v>
      </c>
      <c r="F332" s="45"/>
      <c r="G332" s="45"/>
      <c r="H332" s="45"/>
      <c r="I332" s="45" t="s">
        <v>149</v>
      </c>
      <c r="J332" s="45"/>
      <c r="K332" s="45"/>
      <c r="L332" s="45"/>
      <c r="M332" s="36"/>
      <c r="N332" s="36"/>
      <c r="O332" s="36"/>
      <c r="P332" s="36"/>
      <c r="Q332" s="47"/>
    </row>
    <row r="333" spans="1:17" ht="12.75">
      <c r="A333" s="10" t="s">
        <v>454</v>
      </c>
      <c r="B333" s="42">
        <v>105</v>
      </c>
      <c r="C333" s="227"/>
      <c r="D333" s="13">
        <f>$Q$266</f>
        <v>97</v>
      </c>
      <c r="E333" s="14">
        <f>$R$266</f>
        <v>99</v>
      </c>
      <c r="F333" s="45"/>
      <c r="G333" s="45"/>
      <c r="H333" s="45"/>
      <c r="I333" s="45" t="s">
        <v>149</v>
      </c>
      <c r="J333" s="45"/>
      <c r="K333" s="45"/>
      <c r="L333" s="45"/>
      <c r="M333" s="36"/>
      <c r="N333" s="36"/>
      <c r="O333" s="36"/>
      <c r="P333" s="36"/>
      <c r="Q333" s="47"/>
    </row>
    <row r="334" spans="1:17" ht="12.75">
      <c r="A334" s="10" t="s">
        <v>312</v>
      </c>
      <c r="B334" s="42">
        <v>7749</v>
      </c>
      <c r="C334" s="227"/>
      <c r="D334" s="13">
        <f>$Q$143</f>
        <v>97</v>
      </c>
      <c r="E334" s="14">
        <f>$R$143</f>
        <v>99</v>
      </c>
      <c r="F334" s="45"/>
      <c r="G334" s="45"/>
      <c r="H334" s="45"/>
      <c r="I334" s="45" t="s">
        <v>149</v>
      </c>
      <c r="J334" s="45"/>
      <c r="K334" s="45"/>
      <c r="L334" s="45"/>
      <c r="M334" s="36"/>
      <c r="N334" s="36"/>
      <c r="O334" s="36"/>
      <c r="P334" s="36"/>
      <c r="Q334" s="47"/>
    </row>
    <row r="335" spans="1:17" ht="12.75">
      <c r="A335" s="10" t="s">
        <v>231</v>
      </c>
      <c r="B335" s="42">
        <v>4240</v>
      </c>
      <c r="C335" s="227"/>
      <c r="D335" s="13">
        <f>$Q$153</f>
        <v>97</v>
      </c>
      <c r="E335" s="14">
        <f>$R$153</f>
        <v>99</v>
      </c>
      <c r="F335" s="45"/>
      <c r="G335" s="45"/>
      <c r="H335" s="45"/>
      <c r="I335" s="45" t="s">
        <v>149</v>
      </c>
      <c r="J335" s="45"/>
      <c r="K335" s="45"/>
      <c r="L335" s="45"/>
      <c r="M335" s="36"/>
      <c r="N335" s="36"/>
      <c r="O335" s="36"/>
      <c r="P335" s="36"/>
      <c r="Q335" s="47"/>
    </row>
    <row r="336" spans="1:17" ht="12.75">
      <c r="A336" s="7" t="s">
        <v>457</v>
      </c>
      <c r="B336" s="42">
        <v>35</v>
      </c>
      <c r="C336" s="227"/>
      <c r="D336" s="13">
        <f>$Q$258</f>
        <v>57.23</v>
      </c>
      <c r="E336" s="14">
        <f>$R$258</f>
        <v>60.46</v>
      </c>
      <c r="F336" s="45"/>
      <c r="G336" s="45"/>
      <c r="H336" s="45"/>
      <c r="I336" s="45" t="s">
        <v>149</v>
      </c>
      <c r="J336" s="45"/>
      <c r="K336" s="45"/>
      <c r="L336" s="45"/>
      <c r="M336" s="36"/>
      <c r="N336" s="36"/>
      <c r="O336" s="36"/>
      <c r="P336" s="36"/>
      <c r="Q336" s="47"/>
    </row>
    <row r="337" spans="1:17" ht="12.75">
      <c r="A337" s="10" t="s">
        <v>455</v>
      </c>
      <c r="B337" s="42">
        <v>893</v>
      </c>
      <c r="C337" s="120">
        <f>$K$46</f>
        <v>1</v>
      </c>
      <c r="D337" s="13">
        <f>$L$46</f>
        <v>97</v>
      </c>
      <c r="E337" s="14">
        <f>$M$46</f>
        <v>99</v>
      </c>
      <c r="F337" s="45"/>
      <c r="G337" s="45"/>
      <c r="H337" s="45"/>
      <c r="I337" s="45" t="s">
        <v>151</v>
      </c>
      <c r="J337" s="45"/>
      <c r="K337" s="45"/>
      <c r="L337" s="45"/>
      <c r="M337" s="36"/>
      <c r="N337" s="36"/>
      <c r="O337" s="36"/>
      <c r="P337" s="36"/>
      <c r="Q337" s="47"/>
    </row>
    <row r="338" spans="1:17" ht="12.75">
      <c r="A338" s="10" t="s">
        <v>458</v>
      </c>
      <c r="B338" s="42">
        <v>59</v>
      </c>
      <c r="C338" s="227">
        <v>8</v>
      </c>
      <c r="D338" s="13">
        <f>$C$10</f>
        <v>0</v>
      </c>
      <c r="E338" s="14">
        <f>$D$10</f>
        <v>5</v>
      </c>
      <c r="F338" s="45"/>
      <c r="G338" s="45"/>
      <c r="H338" s="45"/>
      <c r="I338" s="45" t="s">
        <v>470</v>
      </c>
      <c r="J338" s="45"/>
      <c r="K338" s="45"/>
      <c r="L338" s="45"/>
      <c r="M338" s="36"/>
      <c r="N338" s="36"/>
      <c r="O338" s="36"/>
      <c r="P338" s="36"/>
      <c r="Q338" s="47"/>
    </row>
    <row r="339" spans="1:17" ht="12.75">
      <c r="A339" s="10" t="s">
        <v>459</v>
      </c>
      <c r="B339" s="42">
        <v>16</v>
      </c>
      <c r="C339" s="227">
        <v>8</v>
      </c>
      <c r="D339" s="13">
        <f>$C$10</f>
        <v>0</v>
      </c>
      <c r="E339" s="14">
        <f>$D$10</f>
        <v>5</v>
      </c>
      <c r="F339" s="45"/>
      <c r="G339" s="45"/>
      <c r="H339" s="45"/>
      <c r="I339" s="45" t="s">
        <v>470</v>
      </c>
      <c r="J339" s="45"/>
      <c r="K339" s="45"/>
      <c r="L339" s="45"/>
      <c r="M339" s="36"/>
      <c r="N339" s="36"/>
      <c r="O339" s="36"/>
      <c r="P339" s="36"/>
      <c r="Q339" s="47"/>
    </row>
    <row r="340" spans="1:17" ht="12.75">
      <c r="A340" s="31" t="s">
        <v>453</v>
      </c>
      <c r="B340" s="42">
        <v>310</v>
      </c>
      <c r="C340" s="227">
        <v>1</v>
      </c>
      <c r="D340" s="13">
        <f>($L$98+$L$43+$L$44+$L$46)/4</f>
        <v>97</v>
      </c>
      <c r="E340" s="14">
        <f>($M$98+$M$43+$M$44+$M$46)/4</f>
        <v>99</v>
      </c>
      <c r="F340" s="45"/>
      <c r="G340" s="45"/>
      <c r="H340" s="45"/>
      <c r="I340" s="45" t="s">
        <v>151</v>
      </c>
      <c r="J340" s="45"/>
      <c r="K340" s="45"/>
      <c r="L340" s="45"/>
      <c r="M340" s="36"/>
      <c r="N340" s="36"/>
      <c r="O340" s="36"/>
      <c r="P340" s="36"/>
      <c r="Q340" s="47"/>
    </row>
    <row r="341" spans="1:17" ht="12.75">
      <c r="A341" s="10" t="s">
        <v>456</v>
      </c>
      <c r="B341" s="42">
        <v>1165</v>
      </c>
      <c r="C341" s="227">
        <v>1</v>
      </c>
      <c r="D341" s="13">
        <f>$L$36</f>
        <v>97</v>
      </c>
      <c r="E341" s="14">
        <f>$M$36</f>
        <v>99</v>
      </c>
      <c r="F341" s="45"/>
      <c r="G341" s="45"/>
      <c r="H341" s="45"/>
      <c r="I341" s="45" t="s">
        <v>151</v>
      </c>
      <c r="J341" s="45"/>
      <c r="K341" s="45"/>
      <c r="L341" s="45"/>
      <c r="M341" s="36"/>
      <c r="N341" s="36"/>
      <c r="O341" s="36"/>
      <c r="P341" s="36"/>
      <c r="Q341" s="47"/>
    </row>
    <row r="342" spans="1:17" ht="12.75">
      <c r="A342" s="10" t="s">
        <v>395</v>
      </c>
      <c r="B342" s="42">
        <v>39837</v>
      </c>
      <c r="C342" s="120">
        <f>$K$22</f>
        <v>1</v>
      </c>
      <c r="D342" s="13">
        <f>($L$22+$L$26)/2</f>
        <v>97</v>
      </c>
      <c r="E342" s="14">
        <f>($M$22+$M$26)/2</f>
        <v>99</v>
      </c>
      <c r="F342" s="45"/>
      <c r="G342" s="45"/>
      <c r="H342" s="45"/>
      <c r="I342" s="45" t="s">
        <v>472</v>
      </c>
      <c r="J342" s="45"/>
      <c r="K342" s="45"/>
      <c r="L342" s="45"/>
      <c r="M342" s="36"/>
      <c r="N342" s="36"/>
      <c r="O342" s="36"/>
      <c r="P342" s="36"/>
      <c r="Q342" s="47"/>
    </row>
    <row r="343" spans="1:17" ht="12.75">
      <c r="A343" s="10" t="s">
        <v>443</v>
      </c>
      <c r="B343" s="42">
        <v>468</v>
      </c>
      <c r="C343" s="120">
        <v>1</v>
      </c>
      <c r="D343" s="13">
        <f>$C$12</f>
        <v>97</v>
      </c>
      <c r="E343" s="14">
        <f>$D$12</f>
        <v>99</v>
      </c>
      <c r="F343" s="45"/>
      <c r="G343" s="45"/>
      <c r="H343" s="45"/>
      <c r="I343" s="45" t="s">
        <v>155</v>
      </c>
      <c r="J343" s="45"/>
      <c r="K343" s="45"/>
      <c r="L343" s="45"/>
      <c r="M343" s="36"/>
      <c r="N343" s="36"/>
      <c r="O343" s="36"/>
      <c r="P343" s="36"/>
      <c r="Q343" s="47"/>
    </row>
    <row r="344" spans="1:17" ht="12.75">
      <c r="A344" s="10" t="s">
        <v>233</v>
      </c>
      <c r="B344" s="42">
        <v>7270</v>
      </c>
      <c r="C344" s="227">
        <v>1</v>
      </c>
      <c r="D344" s="13">
        <f>$C$12-2</f>
        <v>95</v>
      </c>
      <c r="E344" s="14">
        <f>$D$12-2</f>
        <v>97</v>
      </c>
      <c r="F344" s="45"/>
      <c r="G344" s="45"/>
      <c r="H344" s="45"/>
      <c r="I344" s="45" t="s">
        <v>473</v>
      </c>
      <c r="J344" s="45"/>
      <c r="K344" s="45"/>
      <c r="L344" s="45"/>
      <c r="M344" s="36"/>
      <c r="N344" s="36"/>
      <c r="O344" s="36"/>
      <c r="P344" s="36"/>
      <c r="Q344" s="47"/>
    </row>
    <row r="345" spans="1:17" ht="12.75">
      <c r="A345" s="10" t="s">
        <v>460</v>
      </c>
      <c r="B345" s="42">
        <v>266</v>
      </c>
      <c r="C345" s="227">
        <v>1</v>
      </c>
      <c r="D345" s="13">
        <f>$C$12-7</f>
        <v>90</v>
      </c>
      <c r="E345" s="14">
        <f>$D$12-5</f>
        <v>94</v>
      </c>
      <c r="F345" s="45"/>
      <c r="G345" s="45"/>
      <c r="H345" s="45"/>
      <c r="I345" s="45" t="s">
        <v>475</v>
      </c>
      <c r="J345" s="45"/>
      <c r="K345" s="45"/>
      <c r="L345" s="45"/>
      <c r="M345" s="36"/>
      <c r="N345" s="36"/>
      <c r="O345" s="36"/>
      <c r="P345" s="36"/>
      <c r="Q345" s="47"/>
    </row>
    <row r="346" spans="1:17" ht="12.75">
      <c r="A346" s="10" t="s">
        <v>461</v>
      </c>
      <c r="B346" s="42">
        <v>19</v>
      </c>
      <c r="C346" s="227">
        <v>1</v>
      </c>
      <c r="D346" s="13">
        <f>$C$12</f>
        <v>97</v>
      </c>
      <c r="E346" s="14">
        <f>$D$12</f>
        <v>99</v>
      </c>
      <c r="F346" s="45"/>
      <c r="G346" s="45"/>
      <c r="H346" s="45"/>
      <c r="I346" s="45" t="s">
        <v>474</v>
      </c>
      <c r="J346" s="45"/>
      <c r="K346" s="45"/>
      <c r="L346" s="45"/>
      <c r="M346" s="36"/>
      <c r="N346" s="36"/>
      <c r="O346" s="36"/>
      <c r="P346" s="36"/>
      <c r="Q346" s="47"/>
    </row>
    <row r="347" spans="1:17" ht="12.75">
      <c r="A347" s="10" t="s">
        <v>462</v>
      </c>
      <c r="B347" s="42">
        <v>40</v>
      </c>
      <c r="C347" s="227">
        <v>9</v>
      </c>
      <c r="D347" s="13">
        <f>$C$12-9</f>
        <v>88</v>
      </c>
      <c r="E347" s="14">
        <f>$D$12-7</f>
        <v>92</v>
      </c>
      <c r="F347" s="45"/>
      <c r="G347" s="45"/>
      <c r="H347" s="45"/>
      <c r="I347" s="45" t="s">
        <v>477</v>
      </c>
      <c r="J347" s="45"/>
      <c r="K347" s="45"/>
      <c r="L347" s="45"/>
      <c r="M347" s="36"/>
      <c r="N347" s="36"/>
      <c r="O347" s="36"/>
      <c r="P347" s="36"/>
      <c r="Q347" s="47"/>
    </row>
    <row r="348" spans="1:17" ht="12.75">
      <c r="A348" s="10" t="s">
        <v>365</v>
      </c>
      <c r="B348" s="42">
        <v>269</v>
      </c>
      <c r="C348" s="227">
        <v>1</v>
      </c>
      <c r="D348" s="13">
        <f>$C$12</f>
        <v>97</v>
      </c>
      <c r="E348" s="14">
        <f>$D$12</f>
        <v>99</v>
      </c>
      <c r="F348" s="45"/>
      <c r="G348" s="45"/>
      <c r="H348" s="45"/>
      <c r="I348" s="45" t="s">
        <v>474</v>
      </c>
      <c r="J348" s="45"/>
      <c r="K348" s="45"/>
      <c r="L348" s="45"/>
      <c r="M348" s="36"/>
      <c r="N348" s="36"/>
      <c r="O348" s="36"/>
      <c r="P348" s="36"/>
      <c r="Q348" s="47"/>
    </row>
    <row r="349" spans="1:17" ht="12.75">
      <c r="A349" s="10" t="s">
        <v>391</v>
      </c>
      <c r="B349" s="42">
        <v>49</v>
      </c>
      <c r="C349" s="227">
        <v>1</v>
      </c>
      <c r="D349" s="13">
        <f>$C$12</f>
        <v>97</v>
      </c>
      <c r="E349" s="14">
        <f>$D$12</f>
        <v>99</v>
      </c>
      <c r="F349" s="45"/>
      <c r="G349" s="45"/>
      <c r="H349" s="45"/>
      <c r="I349" s="45" t="s">
        <v>476</v>
      </c>
      <c r="J349" s="45"/>
      <c r="K349" s="45"/>
      <c r="L349" s="45"/>
      <c r="M349" s="36"/>
      <c r="N349" s="36"/>
      <c r="O349" s="36"/>
      <c r="P349" s="36"/>
      <c r="Q349" s="47"/>
    </row>
    <row r="350" spans="1:17" ht="12.75">
      <c r="A350" s="10" t="s">
        <v>299</v>
      </c>
      <c r="B350" s="42">
        <v>115</v>
      </c>
      <c r="C350" s="227">
        <v>9</v>
      </c>
      <c r="D350" s="13">
        <v>70</v>
      </c>
      <c r="E350" s="14">
        <v>90</v>
      </c>
      <c r="F350" s="45"/>
      <c r="G350" s="45"/>
      <c r="H350" s="45"/>
      <c r="I350" s="45" t="s">
        <v>478</v>
      </c>
      <c r="J350" s="45"/>
      <c r="K350" s="45"/>
      <c r="L350" s="45"/>
      <c r="M350" s="36"/>
      <c r="N350" s="36"/>
      <c r="O350" s="36"/>
      <c r="P350" s="36"/>
      <c r="Q350" s="47"/>
    </row>
    <row r="351" spans="1:17" ht="12.75">
      <c r="A351" s="10" t="s">
        <v>364</v>
      </c>
      <c r="B351" s="42">
        <v>16</v>
      </c>
      <c r="C351" s="227">
        <v>1</v>
      </c>
      <c r="D351" s="13">
        <f>$C$12</f>
        <v>97</v>
      </c>
      <c r="E351" s="14">
        <f>$D$12</f>
        <v>99</v>
      </c>
      <c r="F351" s="45"/>
      <c r="G351" s="45"/>
      <c r="H351" s="45"/>
      <c r="I351" s="45" t="s">
        <v>479</v>
      </c>
      <c r="J351" s="45"/>
      <c r="K351" s="45"/>
      <c r="L351" s="45"/>
      <c r="M351" s="36"/>
      <c r="N351" s="36"/>
      <c r="O351" s="36"/>
      <c r="P351" s="36"/>
      <c r="Q351" s="47"/>
    </row>
    <row r="352" spans="1:17" ht="12.75">
      <c r="A352" s="10" t="s">
        <v>463</v>
      </c>
      <c r="B352" s="42">
        <v>109</v>
      </c>
      <c r="C352" s="227">
        <v>9</v>
      </c>
      <c r="D352" s="13">
        <v>50</v>
      </c>
      <c r="E352" s="14">
        <v>70</v>
      </c>
      <c r="F352" s="45"/>
      <c r="G352" s="45"/>
      <c r="H352" s="45"/>
      <c r="I352" s="45" t="s">
        <v>480</v>
      </c>
      <c r="J352" s="45"/>
      <c r="K352" s="45"/>
      <c r="L352" s="45"/>
      <c r="M352" s="36"/>
      <c r="N352" s="36"/>
      <c r="O352" s="36"/>
      <c r="P352" s="36"/>
      <c r="Q352" s="47"/>
    </row>
    <row r="353" spans="1:17" ht="12.75">
      <c r="A353" s="10" t="s">
        <v>464</v>
      </c>
      <c r="B353" s="42">
        <v>66</v>
      </c>
      <c r="C353" s="227">
        <v>1</v>
      </c>
      <c r="D353" s="13">
        <f>$C$12</f>
        <v>97</v>
      </c>
      <c r="E353" s="14">
        <f>$D$12</f>
        <v>99</v>
      </c>
      <c r="F353" s="45"/>
      <c r="G353" s="45"/>
      <c r="H353" s="45"/>
      <c r="I353" s="45" t="s">
        <v>480</v>
      </c>
      <c r="J353" s="45"/>
      <c r="K353" s="45"/>
      <c r="L353" s="45"/>
      <c r="M353" s="36"/>
      <c r="N353" s="36"/>
      <c r="O353" s="36"/>
      <c r="P353" s="36"/>
      <c r="Q353" s="47"/>
    </row>
    <row r="354" spans="1:17" ht="12.75">
      <c r="A354" s="10" t="s">
        <v>465</v>
      </c>
      <c r="B354" s="42">
        <v>52</v>
      </c>
      <c r="C354" s="227">
        <v>9</v>
      </c>
      <c r="D354" s="13">
        <v>40</v>
      </c>
      <c r="E354" s="14">
        <v>60</v>
      </c>
      <c r="F354" s="45"/>
      <c r="G354" s="45"/>
      <c r="H354" s="45"/>
      <c r="I354" s="45" t="s">
        <v>481</v>
      </c>
      <c r="J354" s="45"/>
      <c r="K354" s="45"/>
      <c r="L354" s="45"/>
      <c r="M354" s="36"/>
      <c r="N354" s="36"/>
      <c r="O354" s="36"/>
      <c r="P354" s="36"/>
      <c r="Q354" s="47"/>
    </row>
    <row r="355" spans="1:17" ht="12.75">
      <c r="A355" s="10" t="s">
        <v>466</v>
      </c>
      <c r="B355" s="42">
        <v>2</v>
      </c>
      <c r="C355" s="227">
        <v>9</v>
      </c>
      <c r="D355" s="13">
        <v>60</v>
      </c>
      <c r="E355" s="14">
        <v>80</v>
      </c>
      <c r="F355" s="45"/>
      <c r="G355" s="45"/>
      <c r="H355" s="45"/>
      <c r="I355" s="45" t="s">
        <v>481</v>
      </c>
      <c r="J355" s="45"/>
      <c r="K355" s="45"/>
      <c r="L355" s="45"/>
      <c r="M355" s="36"/>
      <c r="N355" s="36"/>
      <c r="O355" s="36"/>
      <c r="P355" s="36"/>
      <c r="Q355" s="47"/>
    </row>
    <row r="356" spans="1:17" ht="12.75">
      <c r="A356" s="10" t="s">
        <v>467</v>
      </c>
      <c r="B356" s="42">
        <v>24</v>
      </c>
      <c r="C356" s="227">
        <v>9</v>
      </c>
      <c r="D356" s="13">
        <v>40</v>
      </c>
      <c r="E356" s="14">
        <v>60</v>
      </c>
      <c r="F356" s="45"/>
      <c r="G356" s="45"/>
      <c r="H356" s="45"/>
      <c r="I356" s="45" t="s">
        <v>481</v>
      </c>
      <c r="J356" s="45"/>
      <c r="K356" s="45"/>
      <c r="L356" s="45"/>
      <c r="M356" s="36"/>
      <c r="N356" s="36"/>
      <c r="O356" s="36"/>
      <c r="P356" s="36"/>
      <c r="Q356" s="47"/>
    </row>
    <row r="357" spans="1:17" ht="12.75">
      <c r="A357" s="10" t="s">
        <v>468</v>
      </c>
      <c r="B357" s="42">
        <v>1</v>
      </c>
      <c r="C357" s="227">
        <v>9</v>
      </c>
      <c r="D357" s="13">
        <v>40</v>
      </c>
      <c r="E357" s="14">
        <v>60</v>
      </c>
      <c r="F357" s="45"/>
      <c r="G357" s="45"/>
      <c r="H357" s="45"/>
      <c r="I357" s="45" t="s">
        <v>481</v>
      </c>
      <c r="J357" s="45"/>
      <c r="K357" s="45"/>
      <c r="L357" s="45"/>
      <c r="M357" s="36"/>
      <c r="N357" s="36"/>
      <c r="O357" s="36"/>
      <c r="P357" s="36"/>
      <c r="Q357" s="47"/>
    </row>
    <row r="358" spans="1:17" ht="12.75">
      <c r="A358" s="10" t="s">
        <v>469</v>
      </c>
      <c r="B358" s="42">
        <v>3</v>
      </c>
      <c r="C358" s="227">
        <v>9</v>
      </c>
      <c r="D358" s="13">
        <v>10</v>
      </c>
      <c r="E358" s="14">
        <v>30</v>
      </c>
      <c r="F358" s="45"/>
      <c r="G358" s="45"/>
      <c r="H358" s="45"/>
      <c r="I358" s="45" t="s">
        <v>481</v>
      </c>
      <c r="J358" s="45"/>
      <c r="K358" s="45"/>
      <c r="L358" s="45"/>
      <c r="M358" s="36"/>
      <c r="N358" s="36"/>
      <c r="O358" s="36"/>
      <c r="P358" s="36"/>
      <c r="Q358" s="47"/>
    </row>
    <row r="359" spans="1:17" ht="12.75">
      <c r="A359" s="10" t="s">
        <v>368</v>
      </c>
      <c r="B359" s="26">
        <f>SUM(B317:B358)</f>
        <v>240846</v>
      </c>
      <c r="C359" s="222"/>
      <c r="D359" s="97">
        <f>SUMPRODUCT(B317:B358,D317:D358)/100</f>
        <v>231898.12284000003</v>
      </c>
      <c r="E359" s="107">
        <f>SUMPRODUCT(B317:B358,E317:E358)/100</f>
        <v>236930.03988000005</v>
      </c>
      <c r="F359" s="45"/>
      <c r="G359" s="45"/>
      <c r="H359" s="45"/>
      <c r="I359" s="45"/>
      <c r="J359" s="45"/>
      <c r="K359" s="45"/>
      <c r="L359" s="45"/>
      <c r="M359" s="36"/>
      <c r="N359" s="36"/>
      <c r="O359" s="36"/>
      <c r="P359" s="36"/>
      <c r="Q359" s="47"/>
    </row>
    <row r="360" spans="1:17" ht="13.5" customHeight="1">
      <c r="A360" s="17" t="s">
        <v>369</v>
      </c>
      <c r="B360" s="48"/>
      <c r="C360" s="223"/>
      <c r="D360" s="18">
        <f>100*D359/B359</f>
        <v>96.28481388106924</v>
      </c>
      <c r="E360" s="19">
        <f>100*E359/B359</f>
        <v>98.3740813133704</v>
      </c>
      <c r="F360" s="49"/>
      <c r="G360" s="49"/>
      <c r="H360" s="49"/>
      <c r="I360" s="49"/>
      <c r="J360" s="49"/>
      <c r="K360" s="49"/>
      <c r="L360" s="49"/>
      <c r="M360" s="39"/>
      <c r="N360" s="39"/>
      <c r="O360" s="39"/>
      <c r="P360" s="39"/>
      <c r="Q360" s="48"/>
    </row>
    <row r="361" spans="1:14" ht="12.75">
      <c r="A361" s="181" t="s">
        <v>907</v>
      </c>
      <c r="B361" s="5"/>
      <c r="C361" s="182" t="s">
        <v>908</v>
      </c>
      <c r="D361" s="183"/>
      <c r="E361" s="213"/>
      <c r="F361" s="11"/>
      <c r="G361" s="11"/>
      <c r="H361" s="45"/>
      <c r="I361" s="45"/>
      <c r="J361" s="45"/>
      <c r="K361" s="45"/>
      <c r="L361" s="45"/>
      <c r="M361" s="45"/>
      <c r="N361" s="45"/>
    </row>
    <row r="362" spans="1:14" ht="12.75">
      <c r="A362" s="31" t="s">
        <v>898</v>
      </c>
      <c r="B362" s="30">
        <f>SUMIF($C$337:$C$359,"1",$B$337:$B$359)+$O$298</f>
        <v>197581.1599999999</v>
      </c>
      <c r="C362" s="122">
        <v>1</v>
      </c>
      <c r="D362" s="216">
        <f>B362+B363+B367</f>
        <v>211659.99999999988</v>
      </c>
      <c r="E362" s="47"/>
      <c r="F362" s="11"/>
      <c r="G362" s="11"/>
      <c r="H362" s="45"/>
      <c r="I362" s="45"/>
      <c r="J362" s="45"/>
      <c r="K362" s="45"/>
      <c r="L362" s="45"/>
      <c r="M362" s="45"/>
      <c r="N362" s="45"/>
    </row>
    <row r="363" spans="1:14" ht="12.75">
      <c r="A363" s="31" t="s">
        <v>903</v>
      </c>
      <c r="B363" s="30">
        <f>SUMIF($C$337:$C$359,"2",$B$337:$B$359)+$O$299</f>
        <v>14078.839999999997</v>
      </c>
      <c r="C363" s="122">
        <v>2</v>
      </c>
      <c r="D363" s="216">
        <f>B368</f>
        <v>5250.2300000000005</v>
      </c>
      <c r="E363" s="47"/>
      <c r="F363" s="11"/>
      <c r="G363" s="11"/>
      <c r="H363" s="45"/>
      <c r="I363" s="45"/>
      <c r="J363" s="45"/>
      <c r="K363" s="45"/>
      <c r="L363" s="45"/>
      <c r="M363" s="45"/>
      <c r="N363" s="45"/>
    </row>
    <row r="364" spans="1:14" ht="22.5">
      <c r="A364" s="31" t="s">
        <v>902</v>
      </c>
      <c r="B364" s="30">
        <f>SUMIF($C$337:$C$359,"2",$B$337:$B$359)+$O$300</f>
        <v>22586.449999999997</v>
      </c>
      <c r="C364" s="122">
        <v>3</v>
      </c>
      <c r="D364" s="216">
        <f>B364</f>
        <v>22586.449999999997</v>
      </c>
      <c r="E364" s="47"/>
      <c r="F364" s="11"/>
      <c r="G364" s="11"/>
      <c r="H364" s="45"/>
      <c r="I364" s="45"/>
      <c r="J364" s="45"/>
      <c r="K364" s="45"/>
      <c r="L364" s="45"/>
      <c r="M364" s="45"/>
      <c r="N364" s="45"/>
    </row>
    <row r="365" spans="1:14" ht="12.75" customHeight="1">
      <c r="A365" s="31" t="s">
        <v>904</v>
      </c>
      <c r="B365" s="30">
        <f>SUMIF($C$337:$C$359,"4",$B$337:$B$359)+$O$301</f>
        <v>0</v>
      </c>
      <c r="C365" s="122">
        <v>4</v>
      </c>
      <c r="D365" s="216">
        <f>B365</f>
        <v>0</v>
      </c>
      <c r="E365" s="47"/>
      <c r="F365" s="11"/>
      <c r="G365" s="11"/>
      <c r="H365" s="45"/>
      <c r="I365" s="45"/>
      <c r="J365" s="45"/>
      <c r="K365" s="45"/>
      <c r="L365" s="45"/>
      <c r="M365" s="45"/>
      <c r="N365" s="45"/>
    </row>
    <row r="366" spans="1:14" ht="12.75">
      <c r="A366" s="31" t="s">
        <v>905</v>
      </c>
      <c r="B366" s="30">
        <f>SUMIF($C$337:$C$359,"5",$B$337:$B$359)+$O$302</f>
        <v>177.48</v>
      </c>
      <c r="C366" s="122">
        <v>5</v>
      </c>
      <c r="D366" s="216">
        <f>B366</f>
        <v>177.48</v>
      </c>
      <c r="E366" s="47"/>
      <c r="F366" s="11"/>
      <c r="G366" s="11"/>
      <c r="H366" s="45"/>
      <c r="I366" s="45"/>
      <c r="J366" s="45"/>
      <c r="K366" s="45"/>
      <c r="L366" s="45"/>
      <c r="M366" s="45"/>
      <c r="N366" s="45"/>
    </row>
    <row r="367" spans="1:14" ht="12.75">
      <c r="A367" s="31" t="s">
        <v>900</v>
      </c>
      <c r="B367" s="30">
        <f>SUMIF($C$337:$C$359,"6",$B$337:$B$359)+$O$303</f>
        <v>0</v>
      </c>
      <c r="C367" s="122">
        <v>6</v>
      </c>
      <c r="D367" s="216">
        <f>B369</f>
        <v>825.84</v>
      </c>
      <c r="E367" s="47"/>
      <c r="F367" s="11"/>
      <c r="G367" s="11"/>
      <c r="H367" s="45"/>
      <c r="I367" s="45"/>
      <c r="J367" s="45"/>
      <c r="K367" s="45"/>
      <c r="L367" s="45"/>
      <c r="M367" s="45"/>
      <c r="N367" s="45"/>
    </row>
    <row r="368" spans="1:14" ht="12.75">
      <c r="A368" s="31" t="s">
        <v>899</v>
      </c>
      <c r="B368" s="30">
        <f>SUMIF($C$337:$C$359,"7",$B$337:$B$359)+$O$304</f>
        <v>5250.2300000000005</v>
      </c>
      <c r="C368" s="122">
        <v>7</v>
      </c>
      <c r="D368" s="216">
        <f>B370</f>
        <v>346</v>
      </c>
      <c r="E368" s="47"/>
      <c r="F368" s="11"/>
      <c r="G368" s="11"/>
      <c r="H368" s="45"/>
      <c r="I368" s="45"/>
      <c r="J368" s="45"/>
      <c r="K368" s="45"/>
      <c r="L368" s="45"/>
      <c r="M368" s="45"/>
      <c r="N368" s="45"/>
    </row>
    <row r="369" spans="1:14" ht="12.75">
      <c r="A369" s="31" t="s">
        <v>901</v>
      </c>
      <c r="B369" s="30">
        <f>SUMIF($C$337:$C$359,"8",$B$337:$B$359)+$O$305</f>
        <v>825.84</v>
      </c>
      <c r="C369" s="36"/>
      <c r="D369" s="221"/>
      <c r="E369" s="47"/>
      <c r="F369" s="11"/>
      <c r="G369" s="11"/>
      <c r="H369" s="45"/>
      <c r="I369" s="45"/>
      <c r="J369" s="45"/>
      <c r="K369" s="45"/>
      <c r="L369" s="45"/>
      <c r="M369" s="45"/>
      <c r="N369" s="45"/>
    </row>
    <row r="370" spans="1:14" ht="12.75">
      <c r="A370" s="31" t="s">
        <v>906</v>
      </c>
      <c r="B370" s="30">
        <f>SUMIF($C$337:$C$359,"9",$B$337:$B$359)+$O$306</f>
        <v>346</v>
      </c>
      <c r="C370" s="36"/>
      <c r="D370" s="217"/>
      <c r="E370" s="16"/>
      <c r="F370" s="11"/>
      <c r="G370" s="11"/>
      <c r="H370" s="45"/>
      <c r="I370" s="45"/>
      <c r="J370" s="45"/>
      <c r="K370" s="45"/>
      <c r="L370" s="45"/>
      <c r="M370" s="45"/>
      <c r="N370" s="45"/>
    </row>
    <row r="371" spans="1:14" ht="12.75">
      <c r="A371" s="173" t="s">
        <v>368</v>
      </c>
      <c r="B371" s="215">
        <f>SUM(B362:B370)</f>
        <v>240845.9999999999</v>
      </c>
      <c r="C371" s="39"/>
      <c r="D371" s="215">
        <f>SUM(D362:D370)</f>
        <v>240845.99999999988</v>
      </c>
      <c r="E371" s="21"/>
      <c r="F371" s="11"/>
      <c r="G371" s="11"/>
      <c r="H371" s="45"/>
      <c r="I371" s="45"/>
      <c r="J371" s="45"/>
      <c r="K371" s="45"/>
      <c r="L371" s="45"/>
      <c r="M371" s="45"/>
      <c r="N371" s="45"/>
    </row>
    <row r="372" spans="1:14" ht="12.75">
      <c r="A372" s="15"/>
      <c r="B372" s="22"/>
      <c r="C372" s="128"/>
      <c r="D372" s="135"/>
      <c r="E372" s="135"/>
      <c r="F372" s="11"/>
      <c r="G372" s="11"/>
      <c r="H372" s="45"/>
      <c r="I372" s="45"/>
      <c r="J372" s="45"/>
      <c r="K372" s="45"/>
      <c r="L372" s="45"/>
      <c r="M372" s="45"/>
      <c r="N372" s="45"/>
    </row>
    <row r="373" spans="1:13" ht="54.75" customHeight="1">
      <c r="A373" s="301" t="s">
        <v>100</v>
      </c>
      <c r="B373" s="302"/>
      <c r="C373" s="302"/>
      <c r="D373" s="302"/>
      <c r="E373" s="302"/>
      <c r="F373" s="302"/>
      <c r="G373" s="302"/>
      <c r="H373" s="302"/>
      <c r="I373" s="302"/>
      <c r="J373" s="302"/>
      <c r="K373" s="302"/>
      <c r="L373" s="302"/>
      <c r="M373" s="303"/>
    </row>
    <row r="374" spans="1:13" ht="15.75" customHeight="1">
      <c r="A374" s="220"/>
      <c r="B374" s="186"/>
      <c r="C374" s="186"/>
      <c r="D374" s="186"/>
      <c r="E374" s="186"/>
      <c r="F374" s="186"/>
      <c r="G374" s="186"/>
      <c r="H374" s="186"/>
      <c r="I374" s="186"/>
      <c r="J374" s="186"/>
      <c r="K374" s="186"/>
      <c r="L374" s="186"/>
      <c r="M374" s="186"/>
    </row>
    <row r="376" spans="2:8" ht="12.75">
      <c r="B376" s="40"/>
      <c r="C376" s="40"/>
      <c r="D376" s="40"/>
      <c r="E376" s="40"/>
      <c r="F376" s="40"/>
      <c r="G376" s="40"/>
      <c r="H376" s="40"/>
    </row>
    <row r="377" ht="15.75">
      <c r="A377" s="90" t="s">
        <v>179</v>
      </c>
    </row>
    <row r="378" spans="1:20" ht="15.75">
      <c r="A378" s="92" t="s">
        <v>97</v>
      </c>
      <c r="B378" s="89">
        <v>1919</v>
      </c>
      <c r="C378" s="172"/>
      <c r="D378" s="50"/>
      <c r="E378" s="50"/>
      <c r="F378" s="89">
        <v>1927</v>
      </c>
      <c r="G378" s="172"/>
      <c r="H378" s="50"/>
      <c r="I378" s="50"/>
      <c r="J378" s="37"/>
      <c r="K378" s="37"/>
      <c r="L378" s="37"/>
      <c r="M378" s="37"/>
      <c r="N378" s="37"/>
      <c r="O378" s="37"/>
      <c r="P378" s="37"/>
      <c r="Q378" s="37"/>
      <c r="R378" s="37"/>
      <c r="S378" s="37"/>
      <c r="T378" s="46"/>
    </row>
    <row r="379" spans="1:20" ht="24" customHeight="1">
      <c r="A379" s="28" t="s">
        <v>430</v>
      </c>
      <c r="B379" s="12" t="s">
        <v>370</v>
      </c>
      <c r="C379" s="76" t="s">
        <v>897</v>
      </c>
      <c r="D379" s="304" t="s">
        <v>400</v>
      </c>
      <c r="E379" s="285"/>
      <c r="F379" s="70" t="s">
        <v>370</v>
      </c>
      <c r="G379" s="76" t="s">
        <v>897</v>
      </c>
      <c r="H379" s="304" t="s">
        <v>400</v>
      </c>
      <c r="I379" s="305"/>
      <c r="J379" s="57" t="s">
        <v>6</v>
      </c>
      <c r="K379" s="5"/>
      <c r="L379" s="5"/>
      <c r="M379" s="5"/>
      <c r="N379" s="5"/>
      <c r="O379" s="37"/>
      <c r="P379" s="37"/>
      <c r="Q379" s="37"/>
      <c r="R379" s="37"/>
      <c r="S379" s="37"/>
      <c r="T379" s="46"/>
    </row>
    <row r="380" spans="1:20" ht="23.25" customHeight="1">
      <c r="A380" s="7"/>
      <c r="B380" s="48"/>
      <c r="C380" s="71"/>
      <c r="D380" s="8" t="s">
        <v>305</v>
      </c>
      <c r="E380" s="8" t="s">
        <v>306</v>
      </c>
      <c r="F380" s="93"/>
      <c r="G380" s="71"/>
      <c r="H380" s="8" t="s">
        <v>305</v>
      </c>
      <c r="I380" s="9" t="s">
        <v>306</v>
      </c>
      <c r="J380" s="7" t="s">
        <v>431</v>
      </c>
      <c r="K380" s="8" t="s">
        <v>423</v>
      </c>
      <c r="L380" s="8" t="s">
        <v>424</v>
      </c>
      <c r="M380" s="49" t="s">
        <v>428</v>
      </c>
      <c r="N380" s="8"/>
      <c r="O380" s="39"/>
      <c r="P380" s="39"/>
      <c r="Q380" s="39"/>
      <c r="R380" s="39"/>
      <c r="S380" s="39"/>
      <c r="T380" s="48"/>
    </row>
    <row r="381" spans="1:20" ht="12.75" customHeight="1">
      <c r="A381" s="10" t="s">
        <v>398</v>
      </c>
      <c r="B381" s="12">
        <f aca="true" t="shared" si="75" ref="B381:B422">F381</f>
        <v>4163</v>
      </c>
      <c r="C381" s="224"/>
      <c r="D381" s="13">
        <f>$I$127</f>
        <v>93.8</v>
      </c>
      <c r="E381" s="13">
        <f>$J$127</f>
        <v>97.6</v>
      </c>
      <c r="F381" s="70">
        <v>4163</v>
      </c>
      <c r="G381" s="76"/>
      <c r="H381" s="13">
        <f>$M$127</f>
        <v>94.54666666666668</v>
      </c>
      <c r="I381" s="99">
        <f>$N$127</f>
        <v>97.92666666666668</v>
      </c>
      <c r="J381" s="11"/>
      <c r="K381" s="11"/>
      <c r="L381" s="36"/>
      <c r="M381" s="75" t="s">
        <v>149</v>
      </c>
      <c r="N381" s="36"/>
      <c r="O381" s="36"/>
      <c r="P381" s="36"/>
      <c r="Q381" s="36"/>
      <c r="R381" s="36"/>
      <c r="S381" s="36"/>
      <c r="T381" s="47"/>
    </row>
    <row r="382" spans="1:20" ht="13.5" customHeight="1">
      <c r="A382" s="10" t="s">
        <v>311</v>
      </c>
      <c r="B382" s="12">
        <f t="shared" si="75"/>
        <v>871</v>
      </c>
      <c r="C382" s="120"/>
      <c r="D382" s="13">
        <f>$I$134</f>
        <v>92.44</v>
      </c>
      <c r="E382" s="13">
        <f>$J$134</f>
        <v>95.88</v>
      </c>
      <c r="F382" s="70">
        <v>871</v>
      </c>
      <c r="G382" s="70"/>
      <c r="H382" s="13">
        <f>$M$134</f>
        <v>94.72</v>
      </c>
      <c r="I382" s="14">
        <f>$N$134</f>
        <v>97.44</v>
      </c>
      <c r="J382" s="11"/>
      <c r="K382" s="11"/>
      <c r="L382" s="36"/>
      <c r="M382" s="45" t="s">
        <v>149</v>
      </c>
      <c r="N382" s="36"/>
      <c r="O382" s="36"/>
      <c r="P382" s="36"/>
      <c r="Q382" s="36"/>
      <c r="R382" s="36"/>
      <c r="S382" s="36"/>
      <c r="T382" s="47"/>
    </row>
    <row r="383" spans="1:20" ht="12" customHeight="1">
      <c r="A383" s="10" t="s">
        <v>312</v>
      </c>
      <c r="B383" s="12">
        <f t="shared" si="75"/>
        <v>580</v>
      </c>
      <c r="C383" s="120"/>
      <c r="D383" s="13">
        <f>$I$143</f>
        <v>94.70100000000001</v>
      </c>
      <c r="E383" s="13">
        <f>$J$143</f>
        <v>97.427</v>
      </c>
      <c r="F383" s="70">
        <v>580</v>
      </c>
      <c r="G383" s="70"/>
      <c r="H383" s="13">
        <f>$M$143</f>
        <v>96.37299999999999</v>
      </c>
      <c r="I383" s="14">
        <f>$N$143</f>
        <v>98.571</v>
      </c>
      <c r="J383" s="11"/>
      <c r="K383" s="11"/>
      <c r="L383" s="36"/>
      <c r="M383" s="45" t="s">
        <v>149</v>
      </c>
      <c r="N383" s="36"/>
      <c r="O383" s="36"/>
      <c r="P383" s="36"/>
      <c r="Q383" s="36"/>
      <c r="R383" s="36"/>
      <c r="S383" s="36"/>
      <c r="T383" s="47"/>
    </row>
    <row r="384" spans="1:20" ht="12" customHeight="1">
      <c r="A384" s="10" t="s">
        <v>231</v>
      </c>
      <c r="B384" s="12">
        <f t="shared" si="75"/>
        <v>1226</v>
      </c>
      <c r="C384" s="120"/>
      <c r="D384" s="13">
        <f>$I$153</f>
        <v>95.32799999999999</v>
      </c>
      <c r="E384" s="13">
        <f>$J$153</f>
        <v>97.85600000000001</v>
      </c>
      <c r="F384" s="70">
        <v>1226</v>
      </c>
      <c r="G384" s="70"/>
      <c r="H384" s="13">
        <f>$M$153</f>
        <v>96.544</v>
      </c>
      <c r="I384" s="14">
        <f>$N$153</f>
        <v>98.68799999999999</v>
      </c>
      <c r="J384" s="11"/>
      <c r="K384" s="11"/>
      <c r="L384" s="36"/>
      <c r="M384" s="45" t="s">
        <v>149</v>
      </c>
      <c r="N384" s="36"/>
      <c r="O384" s="36"/>
      <c r="P384" s="36"/>
      <c r="Q384" s="36"/>
      <c r="R384" s="36"/>
      <c r="S384" s="36"/>
      <c r="T384" s="47"/>
    </row>
    <row r="385" spans="1:20" ht="12.75" customHeight="1">
      <c r="A385" s="10" t="s">
        <v>308</v>
      </c>
      <c r="B385" s="12">
        <f t="shared" si="75"/>
        <v>1232</v>
      </c>
      <c r="C385" s="120"/>
      <c r="D385" s="13">
        <f>$I$161</f>
        <v>35.03377777777778</v>
      </c>
      <c r="E385" s="13">
        <f>$J$161</f>
        <v>49.729777777777784</v>
      </c>
      <c r="F385" s="70">
        <v>1232</v>
      </c>
      <c r="G385" s="70"/>
      <c r="H385" s="13">
        <f>$M$161</f>
        <v>48.22466666666667</v>
      </c>
      <c r="I385" s="14">
        <f>$N$161</f>
        <v>60.086000000000006</v>
      </c>
      <c r="J385" s="11"/>
      <c r="K385" s="11"/>
      <c r="L385" s="36"/>
      <c r="M385" s="45" t="s">
        <v>149</v>
      </c>
      <c r="N385" s="36"/>
      <c r="O385" s="36"/>
      <c r="P385" s="36"/>
      <c r="Q385" s="36"/>
      <c r="R385" s="36"/>
      <c r="S385" s="36"/>
      <c r="T385" s="47"/>
    </row>
    <row r="386" spans="1:20" ht="12.75" customHeight="1">
      <c r="A386" s="10" t="s">
        <v>319</v>
      </c>
      <c r="B386" s="12">
        <f t="shared" si="75"/>
        <v>726</v>
      </c>
      <c r="C386" s="120"/>
      <c r="D386" s="13">
        <f>$I$167</f>
        <v>75.14822222222222</v>
      </c>
      <c r="E386" s="13">
        <f>$J$167</f>
        <v>82.10422222222223</v>
      </c>
      <c r="F386" s="70">
        <v>726</v>
      </c>
      <c r="G386" s="70"/>
      <c r="H386" s="13">
        <f>$M$167</f>
        <v>79.60533333333333</v>
      </c>
      <c r="I386" s="14">
        <f>$N$167</f>
        <v>85.524</v>
      </c>
      <c r="J386" s="11"/>
      <c r="K386" s="11"/>
      <c r="L386" s="36"/>
      <c r="M386" s="45" t="s">
        <v>149</v>
      </c>
      <c r="N386" s="36"/>
      <c r="O386" s="36"/>
      <c r="P386" s="36"/>
      <c r="Q386" s="36"/>
      <c r="R386" s="36"/>
      <c r="S386" s="36"/>
      <c r="T386" s="47"/>
    </row>
    <row r="387" spans="1:20" ht="12.75" customHeight="1">
      <c r="A387" s="10" t="s">
        <v>232</v>
      </c>
      <c r="B387" s="12">
        <f t="shared" si="75"/>
        <v>338</v>
      </c>
      <c r="C387" s="120"/>
      <c r="D387" s="13">
        <f>$I$176</f>
        <v>39.70077777777778</v>
      </c>
      <c r="E387" s="13">
        <f>$J$176</f>
        <v>54.87877777777777</v>
      </c>
      <c r="F387" s="70">
        <v>338</v>
      </c>
      <c r="G387" s="70"/>
      <c r="H387" s="13">
        <f>$M$176</f>
        <v>54.391000000000005</v>
      </c>
      <c r="I387" s="14">
        <f>$N$176</f>
        <v>65.88366666666666</v>
      </c>
      <c r="J387" s="11"/>
      <c r="K387" s="11"/>
      <c r="L387" s="36"/>
      <c r="M387" s="45" t="s">
        <v>149</v>
      </c>
      <c r="N387" s="36"/>
      <c r="O387" s="36"/>
      <c r="P387" s="36"/>
      <c r="Q387" s="36"/>
      <c r="R387" s="36"/>
      <c r="S387" s="36"/>
      <c r="T387" s="47"/>
    </row>
    <row r="388" spans="1:20" ht="12.75" customHeight="1">
      <c r="A388" s="10" t="s">
        <v>307</v>
      </c>
      <c r="B388" s="12">
        <f t="shared" si="75"/>
        <v>2332</v>
      </c>
      <c r="C388" s="120"/>
      <c r="D388" s="13">
        <f>$I$184</f>
        <v>66.96355555555556</v>
      </c>
      <c r="E388" s="13">
        <f>$J$184</f>
        <v>75.57155555555555</v>
      </c>
      <c r="F388" s="70">
        <v>2332</v>
      </c>
      <c r="G388" s="70"/>
      <c r="H388" s="13">
        <f>$M$184</f>
        <v>77.05066666666667</v>
      </c>
      <c r="I388" s="14">
        <f>$N$184</f>
        <v>83.03466666666667</v>
      </c>
      <c r="J388" s="11"/>
      <c r="K388" s="11"/>
      <c r="L388" s="36"/>
      <c r="M388" s="45" t="s">
        <v>149</v>
      </c>
      <c r="N388" s="36"/>
      <c r="O388" s="36"/>
      <c r="P388" s="36"/>
      <c r="Q388" s="36"/>
      <c r="R388" s="36"/>
      <c r="S388" s="36"/>
      <c r="T388" s="47"/>
    </row>
    <row r="389" spans="1:20" ht="12" customHeight="1">
      <c r="A389" s="10" t="s">
        <v>309</v>
      </c>
      <c r="B389" s="12">
        <f t="shared" si="75"/>
        <v>1219</v>
      </c>
      <c r="C389" s="120"/>
      <c r="D389" s="13">
        <f>$I$191</f>
        <v>63.38266666666667</v>
      </c>
      <c r="E389" s="13">
        <f>$J$191</f>
        <v>71.83866666666667</v>
      </c>
      <c r="F389" s="70">
        <v>1219</v>
      </c>
      <c r="G389" s="70"/>
      <c r="H389" s="13">
        <f>$M$191</f>
        <v>71.84133333333334</v>
      </c>
      <c r="I389" s="14">
        <f>$N$191</f>
        <v>78.56933333333332</v>
      </c>
      <c r="J389" s="11"/>
      <c r="K389" s="11"/>
      <c r="L389" s="36"/>
      <c r="M389" s="45" t="s">
        <v>149</v>
      </c>
      <c r="N389" s="36"/>
      <c r="O389" s="36"/>
      <c r="P389" s="36"/>
      <c r="Q389" s="36"/>
      <c r="R389" s="36"/>
      <c r="S389" s="36"/>
      <c r="T389" s="47"/>
    </row>
    <row r="390" spans="1:20" ht="12" customHeight="1">
      <c r="A390" s="10" t="s">
        <v>346</v>
      </c>
      <c r="B390" s="12">
        <f t="shared" si="75"/>
        <v>581</v>
      </c>
      <c r="C390" s="120"/>
      <c r="D390" s="13">
        <f>$I$200</f>
        <v>57.035999999999994</v>
      </c>
      <c r="E390" s="13">
        <f>$J$200</f>
        <v>63.152</v>
      </c>
      <c r="F390" s="70">
        <v>581</v>
      </c>
      <c r="G390" s="70"/>
      <c r="H390" s="13">
        <f>$M$200</f>
        <v>64.62355555555555</v>
      </c>
      <c r="I390" s="14">
        <f>$N$200</f>
        <v>69.33155555555555</v>
      </c>
      <c r="J390" s="11"/>
      <c r="K390" s="11"/>
      <c r="L390" s="36"/>
      <c r="M390" s="45" t="s">
        <v>149</v>
      </c>
      <c r="N390" s="36"/>
      <c r="O390" s="36"/>
      <c r="P390" s="36"/>
      <c r="Q390" s="36"/>
      <c r="R390" s="36"/>
      <c r="S390" s="36"/>
      <c r="T390" s="47"/>
    </row>
    <row r="391" spans="1:20" ht="12.75" customHeight="1">
      <c r="A391" s="10" t="s">
        <v>260</v>
      </c>
      <c r="B391" s="12">
        <f t="shared" si="75"/>
        <v>243</v>
      </c>
      <c r="C391" s="120"/>
      <c r="D391" s="13">
        <f>$I$210</f>
        <v>38.824666666666666</v>
      </c>
      <c r="E391" s="13">
        <f>$J$210</f>
        <v>53.772666666666666</v>
      </c>
      <c r="F391" s="70">
        <v>243</v>
      </c>
      <c r="G391" s="70"/>
      <c r="H391" s="13">
        <f>$M$210</f>
        <v>49.94733333333333</v>
      </c>
      <c r="I391" s="14">
        <f>$N$210</f>
        <v>62.83133333333334</v>
      </c>
      <c r="J391" s="11"/>
      <c r="K391" s="11"/>
      <c r="L391" s="36"/>
      <c r="M391" s="45" t="s">
        <v>149</v>
      </c>
      <c r="N391" s="36"/>
      <c r="O391" s="36"/>
      <c r="P391" s="36"/>
      <c r="Q391" s="36"/>
      <c r="R391" s="36"/>
      <c r="S391" s="36"/>
      <c r="T391" s="47"/>
    </row>
    <row r="392" spans="1:20" ht="12" customHeight="1">
      <c r="A392" s="10" t="s">
        <v>261</v>
      </c>
      <c r="B392" s="12">
        <f t="shared" si="75"/>
        <v>1902</v>
      </c>
      <c r="C392" s="120"/>
      <c r="D392" s="13">
        <f>$I$218</f>
        <v>47.22822222222223</v>
      </c>
      <c r="E392" s="13">
        <f>$J$218</f>
        <v>58.46422222222222</v>
      </c>
      <c r="F392" s="70">
        <v>1902</v>
      </c>
      <c r="G392" s="70"/>
      <c r="H392" s="13">
        <f>$M$218</f>
        <v>62.57577777777779</v>
      </c>
      <c r="I392" s="14">
        <f>$N$218</f>
        <v>70.96377777777776</v>
      </c>
      <c r="J392" s="11"/>
      <c r="K392" s="11"/>
      <c r="L392" s="36"/>
      <c r="M392" s="45" t="s">
        <v>149</v>
      </c>
      <c r="N392" s="36"/>
      <c r="O392" s="36"/>
      <c r="P392" s="36"/>
      <c r="Q392" s="36"/>
      <c r="R392" s="36"/>
      <c r="S392" s="36"/>
      <c r="T392" s="47"/>
    </row>
    <row r="393" spans="1:20" ht="12" customHeight="1">
      <c r="A393" s="10" t="s">
        <v>321</v>
      </c>
      <c r="B393" s="12">
        <f t="shared" si="75"/>
        <v>969</v>
      </c>
      <c r="C393" s="120"/>
      <c r="D393" s="13">
        <f>$I$228</f>
        <v>81.69355555555556</v>
      </c>
      <c r="E393" s="13">
        <f>$J$228</f>
        <v>87.72155555555557</v>
      </c>
      <c r="F393" s="70">
        <v>969</v>
      </c>
      <c r="G393" s="70"/>
      <c r="H393" s="13">
        <f>$M$228</f>
        <v>87.46066666666665</v>
      </c>
      <c r="I393" s="14">
        <f>$N$228</f>
        <v>91.82466666666666</v>
      </c>
      <c r="J393" s="11"/>
      <c r="K393" s="11"/>
      <c r="L393" s="36"/>
      <c r="M393" s="45" t="s">
        <v>149</v>
      </c>
      <c r="N393" s="36"/>
      <c r="O393" s="36"/>
      <c r="P393" s="36"/>
      <c r="Q393" s="36"/>
      <c r="R393" s="36"/>
      <c r="S393" s="36"/>
      <c r="T393" s="47"/>
    </row>
    <row r="394" spans="1:20" ht="13.5" customHeight="1">
      <c r="A394" s="10" t="s">
        <v>442</v>
      </c>
      <c r="B394" s="12">
        <f t="shared" si="75"/>
        <v>159</v>
      </c>
      <c r="C394" s="120"/>
      <c r="D394" s="13">
        <f>$I$238</f>
        <v>41.80177777777778</v>
      </c>
      <c r="E394" s="13">
        <f>$J$238</f>
        <v>55.895777777777774</v>
      </c>
      <c r="F394" s="70">
        <v>159</v>
      </c>
      <c r="G394" s="70"/>
      <c r="H394" s="13">
        <f>$M$238</f>
        <v>56.96122222222221</v>
      </c>
      <c r="I394" s="14">
        <f>$N$238</f>
        <v>67.70522222222222</v>
      </c>
      <c r="J394" s="11"/>
      <c r="K394" s="11"/>
      <c r="L394" s="36"/>
      <c r="M394" s="45" t="s">
        <v>149</v>
      </c>
      <c r="N394" s="36"/>
      <c r="O394" s="36"/>
      <c r="P394" s="36"/>
      <c r="Q394" s="36"/>
      <c r="R394" s="36"/>
      <c r="S394" s="36"/>
      <c r="T394" s="47"/>
    </row>
    <row r="395" spans="1:20" ht="13.5" customHeight="1">
      <c r="A395" s="10" t="s">
        <v>326</v>
      </c>
      <c r="B395" s="12">
        <f t="shared" si="75"/>
        <v>207</v>
      </c>
      <c r="C395" s="120"/>
      <c r="D395" s="13">
        <f>$I$249</f>
        <v>87.90355555555556</v>
      </c>
      <c r="E395" s="13">
        <f>$J$249</f>
        <v>91.59155555555557</v>
      </c>
      <c r="F395" s="70">
        <v>207</v>
      </c>
      <c r="G395" s="70"/>
      <c r="H395" s="13">
        <f>$M$249</f>
        <v>91.69733333333333</v>
      </c>
      <c r="I395" s="14">
        <f>$N$249</f>
        <v>94.68133333333333</v>
      </c>
      <c r="J395" s="11"/>
      <c r="K395" s="11"/>
      <c r="L395" s="36"/>
      <c r="M395" s="45" t="s">
        <v>149</v>
      </c>
      <c r="N395" s="36"/>
      <c r="O395" s="36"/>
      <c r="P395" s="36"/>
      <c r="Q395" s="36"/>
      <c r="R395" s="36"/>
      <c r="S395" s="36"/>
      <c r="T395" s="47"/>
    </row>
    <row r="396" spans="1:20" ht="13.5" customHeight="1">
      <c r="A396" s="10" t="s">
        <v>241</v>
      </c>
      <c r="B396" s="12">
        <f t="shared" si="75"/>
        <v>18</v>
      </c>
      <c r="C396" s="120"/>
      <c r="D396" s="13">
        <f>$I$258</f>
        <v>33.53</v>
      </c>
      <c r="E396" s="13">
        <f>$J$258</f>
        <v>41.92</v>
      </c>
      <c r="F396" s="70">
        <v>18</v>
      </c>
      <c r="G396" s="70"/>
      <c r="H396" s="13">
        <f>$M$258</f>
        <v>41.75222222222223</v>
      </c>
      <c r="I396" s="14">
        <f>$N$258</f>
        <v>48.062222222222225</v>
      </c>
      <c r="J396" s="11"/>
      <c r="K396" s="11"/>
      <c r="L396" s="36"/>
      <c r="M396" s="45" t="s">
        <v>149</v>
      </c>
      <c r="N396" s="36"/>
      <c r="O396" s="36"/>
      <c r="P396" s="36"/>
      <c r="Q396" s="36"/>
      <c r="R396" s="36"/>
      <c r="S396" s="36"/>
      <c r="T396" s="47"/>
    </row>
    <row r="397" spans="1:20" ht="13.5" customHeight="1">
      <c r="A397" s="10" t="s">
        <v>242</v>
      </c>
      <c r="B397" s="12">
        <f t="shared" si="75"/>
        <v>140</v>
      </c>
      <c r="C397" s="120"/>
      <c r="D397" s="13">
        <f>$I$266</f>
        <v>93.238</v>
      </c>
      <c r="E397" s="13">
        <f>$J$266</f>
        <v>96.426</v>
      </c>
      <c r="F397" s="70">
        <v>140</v>
      </c>
      <c r="G397" s="70"/>
      <c r="H397" s="13">
        <f>$M$266</f>
        <v>95.97399999999999</v>
      </c>
      <c r="I397" s="14">
        <f>$N$266</f>
        <v>98.29799999999999</v>
      </c>
      <c r="J397" s="11"/>
      <c r="K397" s="11"/>
      <c r="L397" s="36"/>
      <c r="M397" s="45" t="s">
        <v>149</v>
      </c>
      <c r="N397" s="36"/>
      <c r="O397" s="36"/>
      <c r="P397" s="36"/>
      <c r="Q397" s="36"/>
      <c r="R397" s="36"/>
      <c r="S397" s="36"/>
      <c r="T397" s="47"/>
    </row>
    <row r="398" spans="1:20" ht="12" customHeight="1">
      <c r="A398" s="10" t="s">
        <v>243</v>
      </c>
      <c r="B398" s="12">
        <f t="shared" si="75"/>
        <v>34</v>
      </c>
      <c r="C398" s="120"/>
      <c r="D398" s="13">
        <f>$I$271</f>
        <v>51.16455555555556</v>
      </c>
      <c r="E398" s="13">
        <f>$J$271</f>
        <v>59.44855555555556</v>
      </c>
      <c r="F398" s="70">
        <v>34</v>
      </c>
      <c r="G398" s="70"/>
      <c r="H398" s="13">
        <f>$M$271</f>
        <v>58.817</v>
      </c>
      <c r="I398" s="14">
        <f>$N$271</f>
        <v>64.909</v>
      </c>
      <c r="J398" s="11"/>
      <c r="K398" s="11"/>
      <c r="L398" s="36"/>
      <c r="M398" s="45" t="s">
        <v>149</v>
      </c>
      <c r="N398" s="36"/>
      <c r="O398" s="36"/>
      <c r="P398" s="36"/>
      <c r="Q398" s="36"/>
      <c r="R398" s="36"/>
      <c r="S398" s="36"/>
      <c r="T398" s="47"/>
    </row>
    <row r="399" spans="1:20" ht="12.75" customHeight="1">
      <c r="A399" s="10" t="s">
        <v>244</v>
      </c>
      <c r="B399" s="12">
        <f t="shared" si="75"/>
        <v>41</v>
      </c>
      <c r="C399" s="120"/>
      <c r="D399" s="13">
        <f>$I$282</f>
        <v>43.56377777777778</v>
      </c>
      <c r="E399" s="13">
        <f>$J$282</f>
        <v>51.27977777777778</v>
      </c>
      <c r="F399" s="70">
        <v>41</v>
      </c>
      <c r="G399" s="70"/>
      <c r="H399" s="13">
        <f>$M$282</f>
        <v>50.289111111111104</v>
      </c>
      <c r="I399" s="14">
        <f>$N$282</f>
        <v>56.757111111111115</v>
      </c>
      <c r="J399" s="11"/>
      <c r="K399" s="11"/>
      <c r="L399" s="36"/>
      <c r="M399" s="45" t="s">
        <v>149</v>
      </c>
      <c r="N399" s="36"/>
      <c r="O399" s="36"/>
      <c r="P399" s="36"/>
      <c r="Q399" s="36"/>
      <c r="R399" s="36"/>
      <c r="S399" s="36"/>
      <c r="T399" s="47"/>
    </row>
    <row r="400" spans="1:20" ht="14.25" customHeight="1">
      <c r="A400" s="7" t="s">
        <v>250</v>
      </c>
      <c r="B400" s="12">
        <f t="shared" si="75"/>
        <v>2</v>
      </c>
      <c r="C400" s="120"/>
      <c r="D400" s="13">
        <f>$I$291</f>
        <v>93.238</v>
      </c>
      <c r="E400" s="13">
        <f>$J$291</f>
        <v>96.426</v>
      </c>
      <c r="F400" s="70">
        <v>2</v>
      </c>
      <c r="G400" s="70"/>
      <c r="H400" s="13">
        <f>$M$291</f>
        <v>95.97399999999999</v>
      </c>
      <c r="I400" s="14">
        <f>$N$291</f>
        <v>98.29799999999999</v>
      </c>
      <c r="J400" s="11"/>
      <c r="K400" s="11"/>
      <c r="L400" s="36"/>
      <c r="M400" s="45" t="s">
        <v>149</v>
      </c>
      <c r="N400" s="36"/>
      <c r="O400" s="36"/>
      <c r="P400" s="36"/>
      <c r="Q400" s="36"/>
      <c r="R400" s="36"/>
      <c r="S400" s="36"/>
      <c r="T400" s="47"/>
    </row>
    <row r="401" spans="1:20" ht="14.25" customHeight="1">
      <c r="A401" s="10" t="s">
        <v>291</v>
      </c>
      <c r="B401" s="12">
        <f t="shared" si="75"/>
        <v>1</v>
      </c>
      <c r="C401" s="120">
        <v>8</v>
      </c>
      <c r="D401" s="13">
        <f>$C$10</f>
        <v>0</v>
      </c>
      <c r="E401" s="13">
        <f>$D$10</f>
        <v>5</v>
      </c>
      <c r="F401" s="70">
        <v>1</v>
      </c>
      <c r="G401" s="120">
        <v>8</v>
      </c>
      <c r="H401" s="13">
        <f>$C$10</f>
        <v>0</v>
      </c>
      <c r="I401" s="14">
        <f>$D$10</f>
        <v>5</v>
      </c>
      <c r="J401" s="11"/>
      <c r="K401" s="11"/>
      <c r="L401" s="36"/>
      <c r="M401" s="45" t="s">
        <v>471</v>
      </c>
      <c r="N401" s="36"/>
      <c r="O401" s="36"/>
      <c r="P401" s="36"/>
      <c r="Q401" s="36"/>
      <c r="R401" s="36"/>
      <c r="S401" s="36"/>
      <c r="T401" s="47"/>
    </row>
    <row r="402" spans="1:20" ht="13.5" customHeight="1">
      <c r="A402" s="10" t="s">
        <v>363</v>
      </c>
      <c r="B402" s="12">
        <f t="shared" si="75"/>
        <v>2647</v>
      </c>
      <c r="C402" s="120">
        <v>1</v>
      </c>
      <c r="D402" s="13">
        <f>$C$12-7</f>
        <v>90</v>
      </c>
      <c r="E402" s="13">
        <f>$D$12-6</f>
        <v>93</v>
      </c>
      <c r="F402" s="70">
        <v>2647</v>
      </c>
      <c r="G402" s="120">
        <v>1</v>
      </c>
      <c r="H402" s="13">
        <f>$C$12-5</f>
        <v>92</v>
      </c>
      <c r="I402" s="14">
        <f>$D$12-4</f>
        <v>95</v>
      </c>
      <c r="J402" s="11"/>
      <c r="K402" s="11"/>
      <c r="L402" s="36"/>
      <c r="M402" s="45" t="s">
        <v>153</v>
      </c>
      <c r="N402" s="36"/>
      <c r="O402" s="36"/>
      <c r="P402" s="36"/>
      <c r="Q402" s="36"/>
      <c r="R402" s="36"/>
      <c r="S402" s="36"/>
      <c r="T402" s="47"/>
    </row>
    <row r="403" spans="1:20" ht="13.5" customHeight="1">
      <c r="A403" s="10" t="s">
        <v>511</v>
      </c>
      <c r="B403" s="12">
        <f t="shared" si="75"/>
        <v>4610</v>
      </c>
      <c r="C403" s="120">
        <f>$E$26</f>
        <v>5</v>
      </c>
      <c r="D403" s="13">
        <f>$F$26</f>
        <v>65</v>
      </c>
      <c r="E403" s="13">
        <f>$G$26</f>
        <v>85</v>
      </c>
      <c r="F403" s="70">
        <v>4610</v>
      </c>
      <c r="G403" s="120">
        <f>$H$26</f>
        <v>5</v>
      </c>
      <c r="H403" s="13">
        <f>$I$26</f>
        <v>72.46666666666667</v>
      </c>
      <c r="I403" s="14">
        <f>$J$26</f>
        <v>88.26666666666667</v>
      </c>
      <c r="J403" s="11"/>
      <c r="K403" s="11"/>
      <c r="L403" s="36"/>
      <c r="M403" s="45" t="s">
        <v>126</v>
      </c>
      <c r="N403" s="36"/>
      <c r="O403" s="36"/>
      <c r="P403" s="36"/>
      <c r="Q403" s="36"/>
      <c r="R403" s="36"/>
      <c r="S403" s="36"/>
      <c r="T403" s="47"/>
    </row>
    <row r="404" spans="1:20" ht="12.75" customHeight="1">
      <c r="A404" s="10" t="s">
        <v>299</v>
      </c>
      <c r="B404" s="12">
        <f t="shared" si="75"/>
        <v>39</v>
      </c>
      <c r="C404" s="120">
        <v>9</v>
      </c>
      <c r="D404" s="13">
        <v>40</v>
      </c>
      <c r="E404" s="13">
        <v>60</v>
      </c>
      <c r="F404" s="70">
        <v>39</v>
      </c>
      <c r="G404" s="120">
        <v>9</v>
      </c>
      <c r="H404" s="13">
        <v>40</v>
      </c>
      <c r="I404" s="14">
        <v>60</v>
      </c>
      <c r="J404" s="11"/>
      <c r="K404" s="11"/>
      <c r="L404" s="36"/>
      <c r="M404" s="45" t="s">
        <v>121</v>
      </c>
      <c r="N404" s="36"/>
      <c r="O404" s="36"/>
      <c r="P404" s="36"/>
      <c r="Q404" s="36"/>
      <c r="R404" s="36"/>
      <c r="S404" s="36"/>
      <c r="T404" s="47"/>
    </row>
    <row r="405" spans="1:20" ht="13.5" customHeight="1">
      <c r="A405" s="10" t="s">
        <v>233</v>
      </c>
      <c r="B405" s="12">
        <f t="shared" si="75"/>
        <v>121</v>
      </c>
      <c r="C405" s="120">
        <v>1</v>
      </c>
      <c r="D405" s="13">
        <f>$C$12-7</f>
        <v>90</v>
      </c>
      <c r="E405" s="13">
        <f>$D$12-6</f>
        <v>93</v>
      </c>
      <c r="F405" s="70">
        <v>121</v>
      </c>
      <c r="G405" s="120">
        <v>1</v>
      </c>
      <c r="H405" s="13">
        <f>$C$12-5</f>
        <v>92</v>
      </c>
      <c r="I405" s="14">
        <f>$D$12-4</f>
        <v>95</v>
      </c>
      <c r="J405" s="11"/>
      <c r="K405" s="11"/>
      <c r="L405" s="36"/>
      <c r="M405" s="45" t="s">
        <v>153</v>
      </c>
      <c r="N405" s="36"/>
      <c r="O405" s="36"/>
      <c r="P405" s="36"/>
      <c r="Q405" s="36"/>
      <c r="R405" s="36"/>
      <c r="S405" s="36"/>
      <c r="T405" s="47"/>
    </row>
    <row r="406" spans="1:20" ht="12.75" customHeight="1">
      <c r="A406" s="10" t="s">
        <v>245</v>
      </c>
      <c r="B406" s="12">
        <f t="shared" si="75"/>
        <v>86</v>
      </c>
      <c r="C406" s="120">
        <f>$E$26</f>
        <v>5</v>
      </c>
      <c r="D406" s="13">
        <f>$F$26</f>
        <v>65</v>
      </c>
      <c r="E406" s="13">
        <f>$G$26</f>
        <v>85</v>
      </c>
      <c r="F406" s="70">
        <v>86</v>
      </c>
      <c r="G406" s="120">
        <f>$H$26</f>
        <v>5</v>
      </c>
      <c r="H406" s="13">
        <f>$I$26</f>
        <v>72.46666666666667</v>
      </c>
      <c r="I406" s="14">
        <f>$J$26</f>
        <v>88.26666666666667</v>
      </c>
      <c r="J406" s="11"/>
      <c r="K406" s="11"/>
      <c r="L406" s="36"/>
      <c r="M406" s="45" t="s">
        <v>126</v>
      </c>
      <c r="N406" s="36"/>
      <c r="O406" s="36"/>
      <c r="P406" s="36"/>
      <c r="Q406" s="36"/>
      <c r="R406" s="36"/>
      <c r="S406" s="36"/>
      <c r="T406" s="47"/>
    </row>
    <row r="407" spans="1:20" ht="13.5" customHeight="1">
      <c r="A407" s="10" t="s">
        <v>365</v>
      </c>
      <c r="B407" s="12">
        <f t="shared" si="75"/>
        <v>139</v>
      </c>
      <c r="C407" s="120">
        <v>1</v>
      </c>
      <c r="D407" s="13">
        <f>$C$12-5</f>
        <v>92</v>
      </c>
      <c r="E407" s="13">
        <f>$D$12-4</f>
        <v>95</v>
      </c>
      <c r="F407" s="70">
        <v>139</v>
      </c>
      <c r="G407" s="120">
        <v>1</v>
      </c>
      <c r="H407" s="13">
        <f>$C$12</f>
        <v>97</v>
      </c>
      <c r="I407" s="14">
        <f>$D$12</f>
        <v>99</v>
      </c>
      <c r="J407" s="11"/>
      <c r="K407" s="11"/>
      <c r="L407" s="36"/>
      <c r="M407" s="45" t="s">
        <v>130</v>
      </c>
      <c r="N407" s="36"/>
      <c r="O407" s="36"/>
      <c r="P407" s="36"/>
      <c r="Q407" s="36"/>
      <c r="R407" s="36"/>
      <c r="S407" s="36"/>
      <c r="T407" s="47"/>
    </row>
    <row r="408" spans="1:20" ht="12.75" customHeight="1">
      <c r="A408" s="10" t="s">
        <v>300</v>
      </c>
      <c r="B408" s="12">
        <f t="shared" si="75"/>
        <v>56</v>
      </c>
      <c r="C408" s="120">
        <v>9</v>
      </c>
      <c r="D408" s="13">
        <v>10</v>
      </c>
      <c r="E408" s="13">
        <v>30</v>
      </c>
      <c r="F408" s="70">
        <v>56</v>
      </c>
      <c r="G408" s="70">
        <v>9</v>
      </c>
      <c r="H408" s="13">
        <v>10</v>
      </c>
      <c r="I408" s="14">
        <v>30</v>
      </c>
      <c r="J408" s="11"/>
      <c r="K408" s="11"/>
      <c r="L408" s="36"/>
      <c r="M408" s="45" t="s">
        <v>121</v>
      </c>
      <c r="N408" s="36"/>
      <c r="O408" s="36"/>
      <c r="P408" s="36"/>
      <c r="Q408" s="36"/>
      <c r="R408" s="36"/>
      <c r="S408" s="36"/>
      <c r="T408" s="47"/>
    </row>
    <row r="409" spans="1:20" ht="12.75" customHeight="1">
      <c r="A409" s="10" t="s">
        <v>364</v>
      </c>
      <c r="B409" s="12">
        <f t="shared" si="75"/>
        <v>73</v>
      </c>
      <c r="C409" s="120">
        <v>1</v>
      </c>
      <c r="D409" s="13">
        <f>$C$12</f>
        <v>97</v>
      </c>
      <c r="E409" s="14">
        <f>$D$12</f>
        <v>99</v>
      </c>
      <c r="F409" s="70">
        <v>73</v>
      </c>
      <c r="G409" s="70">
        <v>1</v>
      </c>
      <c r="H409" s="13">
        <f>$C$12</f>
        <v>97</v>
      </c>
      <c r="I409" s="14">
        <f>$D$12</f>
        <v>99</v>
      </c>
      <c r="J409" s="11"/>
      <c r="K409" s="11"/>
      <c r="L409" s="36"/>
      <c r="M409" s="45" t="s">
        <v>120</v>
      </c>
      <c r="N409" s="36"/>
      <c r="O409" s="36"/>
      <c r="P409" s="36"/>
      <c r="Q409" s="36"/>
      <c r="R409" s="36"/>
      <c r="S409" s="36"/>
      <c r="T409" s="47"/>
    </row>
    <row r="410" spans="1:20" ht="12.75" customHeight="1">
      <c r="A410" s="10" t="s">
        <v>36</v>
      </c>
      <c r="B410" s="12">
        <f t="shared" si="75"/>
        <v>1</v>
      </c>
      <c r="C410" s="120">
        <v>9</v>
      </c>
      <c r="D410" s="13">
        <v>20</v>
      </c>
      <c r="E410" s="13">
        <v>40</v>
      </c>
      <c r="F410" s="70">
        <v>1</v>
      </c>
      <c r="G410" s="70">
        <v>9</v>
      </c>
      <c r="H410" s="13">
        <v>20</v>
      </c>
      <c r="I410" s="14">
        <v>40</v>
      </c>
      <c r="J410" s="11"/>
      <c r="K410" s="11"/>
      <c r="L410" s="36"/>
      <c r="M410" s="45" t="s">
        <v>180</v>
      </c>
      <c r="N410" s="36"/>
      <c r="O410" s="36"/>
      <c r="P410" s="36"/>
      <c r="Q410" s="36"/>
      <c r="R410" s="36"/>
      <c r="S410" s="36"/>
      <c r="T410" s="47"/>
    </row>
    <row r="411" spans="1:20" ht="13.5" customHeight="1">
      <c r="A411" s="10" t="s">
        <v>246</v>
      </c>
      <c r="B411" s="12">
        <f t="shared" si="75"/>
        <v>33</v>
      </c>
      <c r="C411" s="120">
        <v>1</v>
      </c>
      <c r="D411" s="13">
        <f>$C$12-7</f>
        <v>90</v>
      </c>
      <c r="E411" s="13">
        <f>$D$12-6</f>
        <v>93</v>
      </c>
      <c r="F411" s="70">
        <v>33</v>
      </c>
      <c r="G411" s="70">
        <v>1</v>
      </c>
      <c r="H411" s="13">
        <f>$C$12-5</f>
        <v>92</v>
      </c>
      <c r="I411" s="14">
        <f>$D$12-4</f>
        <v>95</v>
      </c>
      <c r="J411" s="11"/>
      <c r="K411" s="11"/>
      <c r="L411" s="36"/>
      <c r="M411" s="45" t="s">
        <v>121</v>
      </c>
      <c r="N411" s="36"/>
      <c r="O411" s="36"/>
      <c r="P411" s="36"/>
      <c r="Q411" s="36"/>
      <c r="R411" s="36"/>
      <c r="S411" s="36"/>
      <c r="T411" s="47"/>
    </row>
    <row r="412" spans="1:20" ht="13.5" customHeight="1">
      <c r="A412" s="10" t="s">
        <v>444</v>
      </c>
      <c r="B412" s="12">
        <f t="shared" si="75"/>
        <v>1</v>
      </c>
      <c r="C412" s="120">
        <v>9</v>
      </c>
      <c r="D412" s="13">
        <v>20</v>
      </c>
      <c r="E412" s="13">
        <v>40</v>
      </c>
      <c r="F412" s="70">
        <v>1</v>
      </c>
      <c r="G412" s="70">
        <v>9</v>
      </c>
      <c r="H412" s="13">
        <v>20</v>
      </c>
      <c r="I412" s="14">
        <v>40</v>
      </c>
      <c r="J412" s="11"/>
      <c r="K412" s="11"/>
      <c r="L412" s="36"/>
      <c r="M412" s="45" t="s">
        <v>121</v>
      </c>
      <c r="N412" s="36"/>
      <c r="O412" s="36"/>
      <c r="P412" s="36"/>
      <c r="Q412" s="36"/>
      <c r="R412" s="36"/>
      <c r="S412" s="36"/>
      <c r="T412" s="47"/>
    </row>
    <row r="413" spans="1:20" ht="13.5" customHeight="1">
      <c r="A413" s="10" t="s">
        <v>247</v>
      </c>
      <c r="B413" s="12">
        <f t="shared" si="75"/>
        <v>1</v>
      </c>
      <c r="C413" s="120">
        <v>8</v>
      </c>
      <c r="D413" s="13">
        <f>$C$10</f>
        <v>0</v>
      </c>
      <c r="E413" s="13">
        <f>$D$10</f>
        <v>5</v>
      </c>
      <c r="F413" s="70">
        <v>1</v>
      </c>
      <c r="G413" s="70">
        <v>8</v>
      </c>
      <c r="H413" s="13">
        <f>$C$10</f>
        <v>0</v>
      </c>
      <c r="I413" s="14">
        <f>$D$10</f>
        <v>5</v>
      </c>
      <c r="J413" s="11"/>
      <c r="K413" s="11"/>
      <c r="L413" s="36"/>
      <c r="M413" s="45" t="s">
        <v>445</v>
      </c>
      <c r="N413" s="36"/>
      <c r="O413" s="36"/>
      <c r="P413" s="36"/>
      <c r="Q413" s="36"/>
      <c r="R413" s="36"/>
      <c r="S413" s="36"/>
      <c r="T413" s="47"/>
    </row>
    <row r="414" spans="1:20" ht="14.25" customHeight="1">
      <c r="A414" s="10" t="s">
        <v>290</v>
      </c>
      <c r="B414" s="12">
        <f t="shared" si="75"/>
        <v>3</v>
      </c>
      <c r="C414" s="120">
        <v>9</v>
      </c>
      <c r="D414" s="13">
        <v>40</v>
      </c>
      <c r="E414" s="13">
        <v>60</v>
      </c>
      <c r="F414" s="70">
        <v>3</v>
      </c>
      <c r="G414" s="70">
        <v>9</v>
      </c>
      <c r="H414" s="13">
        <v>40</v>
      </c>
      <c r="I414" s="14">
        <v>60</v>
      </c>
      <c r="J414" s="11"/>
      <c r="K414" s="11"/>
      <c r="L414" s="36"/>
      <c r="M414" s="45" t="s">
        <v>446</v>
      </c>
      <c r="N414" s="36"/>
      <c r="O414" s="36"/>
      <c r="P414" s="36"/>
      <c r="Q414" s="36"/>
      <c r="R414" s="36"/>
      <c r="S414" s="36"/>
      <c r="T414" s="47"/>
    </row>
    <row r="415" spans="1:20" ht="12" customHeight="1">
      <c r="A415" s="10" t="s">
        <v>35</v>
      </c>
      <c r="B415" s="12">
        <f t="shared" si="75"/>
        <v>33</v>
      </c>
      <c r="C415" s="120">
        <v>1</v>
      </c>
      <c r="D415" s="13">
        <f>$C$12-3</f>
        <v>94</v>
      </c>
      <c r="E415" s="13">
        <f>$D$12-3</f>
        <v>96</v>
      </c>
      <c r="F415" s="70">
        <v>33</v>
      </c>
      <c r="G415" s="70">
        <v>1</v>
      </c>
      <c r="H415" s="13">
        <f>$C$12</f>
        <v>97</v>
      </c>
      <c r="I415" s="14">
        <f>$D$12</f>
        <v>99</v>
      </c>
      <c r="J415" s="11"/>
      <c r="K415" s="11"/>
      <c r="L415" s="36"/>
      <c r="M415" s="45" t="s">
        <v>447</v>
      </c>
      <c r="N415" s="36"/>
      <c r="O415" s="36"/>
      <c r="P415" s="36"/>
      <c r="Q415" s="36"/>
      <c r="R415" s="36"/>
      <c r="S415" s="36"/>
      <c r="T415" s="47"/>
    </row>
    <row r="416" spans="1:20" ht="12.75" customHeight="1">
      <c r="A416" s="10" t="s">
        <v>248</v>
      </c>
      <c r="B416" s="12">
        <f t="shared" si="75"/>
        <v>1</v>
      </c>
      <c r="C416" s="120">
        <v>8</v>
      </c>
      <c r="D416" s="13">
        <f>$C$10</f>
        <v>0</v>
      </c>
      <c r="E416" s="13">
        <f>$D$10</f>
        <v>5</v>
      </c>
      <c r="F416" s="70">
        <v>1</v>
      </c>
      <c r="G416" s="70">
        <v>8</v>
      </c>
      <c r="H416" s="13">
        <f>$C$10</f>
        <v>0</v>
      </c>
      <c r="I416" s="14">
        <f>$D$10</f>
        <v>5</v>
      </c>
      <c r="J416" s="11"/>
      <c r="K416" s="11"/>
      <c r="L416" s="36"/>
      <c r="M416" s="45" t="s">
        <v>445</v>
      </c>
      <c r="N416" s="36"/>
      <c r="O416" s="36"/>
      <c r="P416" s="36"/>
      <c r="Q416" s="36"/>
      <c r="R416" s="36"/>
      <c r="S416" s="36"/>
      <c r="T416" s="47"/>
    </row>
    <row r="417" spans="1:20" ht="12.75" customHeight="1">
      <c r="A417" s="10" t="s">
        <v>33</v>
      </c>
      <c r="B417" s="12">
        <f t="shared" si="75"/>
        <v>1</v>
      </c>
      <c r="C417" s="120">
        <v>8</v>
      </c>
      <c r="D417" s="13">
        <f>$C$10</f>
        <v>0</v>
      </c>
      <c r="E417" s="13">
        <f>$D$10</f>
        <v>5</v>
      </c>
      <c r="F417" s="70">
        <v>1</v>
      </c>
      <c r="G417" s="70">
        <v>8</v>
      </c>
      <c r="H417" s="13">
        <f>$C$10</f>
        <v>0</v>
      </c>
      <c r="I417" s="14">
        <f>$D$10</f>
        <v>5</v>
      </c>
      <c r="J417" s="11"/>
      <c r="K417" s="11"/>
      <c r="L417" s="36"/>
      <c r="M417" s="45" t="s">
        <v>445</v>
      </c>
      <c r="N417" s="36"/>
      <c r="O417" s="36"/>
      <c r="P417" s="36"/>
      <c r="Q417" s="36"/>
      <c r="R417" s="36"/>
      <c r="S417" s="36"/>
      <c r="T417" s="47"/>
    </row>
    <row r="418" spans="1:20" ht="13.5" customHeight="1">
      <c r="A418" s="10" t="s">
        <v>301</v>
      </c>
      <c r="B418" s="12">
        <f t="shared" si="75"/>
        <v>18</v>
      </c>
      <c r="C418" s="120">
        <v>9</v>
      </c>
      <c r="D418" s="13">
        <v>40</v>
      </c>
      <c r="E418" s="13">
        <v>60</v>
      </c>
      <c r="F418" s="70">
        <v>18</v>
      </c>
      <c r="G418" s="70">
        <v>9</v>
      </c>
      <c r="H418" s="13">
        <v>40</v>
      </c>
      <c r="I418" s="14">
        <v>60</v>
      </c>
      <c r="J418" s="11"/>
      <c r="K418" s="11"/>
      <c r="L418" s="36"/>
      <c r="M418" s="45" t="s">
        <v>121</v>
      </c>
      <c r="N418" s="36"/>
      <c r="O418" s="36"/>
      <c r="P418" s="36"/>
      <c r="Q418" s="36"/>
      <c r="R418" s="36"/>
      <c r="S418" s="36"/>
      <c r="T418" s="47"/>
    </row>
    <row r="419" spans="1:20" ht="13.5" customHeight="1">
      <c r="A419" s="10" t="s">
        <v>391</v>
      </c>
      <c r="B419" s="12">
        <f t="shared" si="75"/>
        <v>28</v>
      </c>
      <c r="C419" s="120">
        <v>1</v>
      </c>
      <c r="D419" s="13">
        <f>$C$12-3</f>
        <v>94</v>
      </c>
      <c r="E419" s="13">
        <f>$D$12-3</f>
        <v>96</v>
      </c>
      <c r="F419" s="70">
        <v>28</v>
      </c>
      <c r="G419" s="70">
        <v>1</v>
      </c>
      <c r="H419" s="13">
        <f>$C$12</f>
        <v>97</v>
      </c>
      <c r="I419" s="14">
        <f>$D$12</f>
        <v>99</v>
      </c>
      <c r="J419" s="11"/>
      <c r="K419" s="11"/>
      <c r="L419" s="36"/>
      <c r="M419" s="45" t="s">
        <v>123</v>
      </c>
      <c r="N419" s="36"/>
      <c r="O419" s="36"/>
      <c r="P419" s="36"/>
      <c r="Q419" s="36"/>
      <c r="R419" s="36"/>
      <c r="S419" s="36"/>
      <c r="T419" s="47"/>
    </row>
    <row r="420" spans="1:20" ht="12.75" customHeight="1">
      <c r="A420" s="10" t="s">
        <v>34</v>
      </c>
      <c r="B420" s="12">
        <f t="shared" si="75"/>
        <v>3</v>
      </c>
      <c r="C420" s="120">
        <v>8</v>
      </c>
      <c r="D420" s="13">
        <f>$C$10</f>
        <v>0</v>
      </c>
      <c r="E420" s="13">
        <f>$D$10</f>
        <v>5</v>
      </c>
      <c r="F420" s="70">
        <v>3</v>
      </c>
      <c r="G420" s="70">
        <v>8</v>
      </c>
      <c r="H420" s="13">
        <f>$C$10</f>
        <v>0</v>
      </c>
      <c r="I420" s="14">
        <f>$D$10</f>
        <v>5</v>
      </c>
      <c r="J420" s="11"/>
      <c r="K420" s="11"/>
      <c r="L420" s="36"/>
      <c r="M420" s="45" t="s">
        <v>448</v>
      </c>
      <c r="N420" s="36"/>
      <c r="O420" s="36"/>
      <c r="P420" s="36"/>
      <c r="Q420" s="36"/>
      <c r="R420" s="36"/>
      <c r="S420" s="36"/>
      <c r="T420" s="47"/>
    </row>
    <row r="421" spans="1:20" ht="12.75" customHeight="1">
      <c r="A421" s="10" t="s">
        <v>249</v>
      </c>
      <c r="B421" s="12">
        <f t="shared" si="75"/>
        <v>2</v>
      </c>
      <c r="C421" s="120">
        <v>8</v>
      </c>
      <c r="D421" s="13">
        <f>$C$10</f>
        <v>0</v>
      </c>
      <c r="E421" s="13">
        <f>$D$10</f>
        <v>5</v>
      </c>
      <c r="F421" s="70">
        <v>2</v>
      </c>
      <c r="G421" s="70">
        <v>8</v>
      </c>
      <c r="H421" s="13">
        <f>$C$10</f>
        <v>0</v>
      </c>
      <c r="I421" s="14">
        <f>$D$10</f>
        <v>5</v>
      </c>
      <c r="J421" s="11"/>
      <c r="K421" s="11"/>
      <c r="L421" s="36"/>
      <c r="M421" s="45" t="s">
        <v>445</v>
      </c>
      <c r="N421" s="36"/>
      <c r="O421" s="36"/>
      <c r="P421" s="36"/>
      <c r="Q421" s="36"/>
      <c r="R421" s="36"/>
      <c r="S421" s="36"/>
      <c r="T421" s="47"/>
    </row>
    <row r="422" spans="1:20" ht="13.5" customHeight="1">
      <c r="A422" s="10" t="s">
        <v>443</v>
      </c>
      <c r="B422" s="12">
        <f t="shared" si="75"/>
        <v>28</v>
      </c>
      <c r="C422" s="120">
        <v>1</v>
      </c>
      <c r="D422" s="13">
        <f>$C$12</f>
        <v>97</v>
      </c>
      <c r="E422" s="14">
        <f>$D$12</f>
        <v>99</v>
      </c>
      <c r="F422" s="70">
        <v>28</v>
      </c>
      <c r="G422" s="70">
        <v>1</v>
      </c>
      <c r="H422" s="13">
        <f>$C$12</f>
        <v>97</v>
      </c>
      <c r="I422" s="14">
        <f>$D$12</f>
        <v>99</v>
      </c>
      <c r="J422" s="11"/>
      <c r="K422" s="11"/>
      <c r="L422" s="36"/>
      <c r="M422" s="45" t="s">
        <v>896</v>
      </c>
      <c r="N422" s="36"/>
      <c r="O422" s="36"/>
      <c r="P422" s="36"/>
      <c r="Q422" s="36"/>
      <c r="R422" s="36"/>
      <c r="S422" s="36"/>
      <c r="T422" s="47"/>
    </row>
    <row r="423" spans="1:20" ht="12.75">
      <c r="A423" s="10" t="s">
        <v>368</v>
      </c>
      <c r="B423" s="12">
        <f>SUM(B381:B422)</f>
        <v>24908</v>
      </c>
      <c r="C423" s="120"/>
      <c r="D423" s="97">
        <f>SUMPRODUCT(B381:B422,D381:D422)/100</f>
        <v>18297.859251111113</v>
      </c>
      <c r="E423" s="97">
        <f>SUMPRODUCT(B381:B422,E381:E422)/100</f>
        <v>20560.222391111107</v>
      </c>
      <c r="F423" s="70">
        <f>SUM(F381:F422)</f>
        <v>24908</v>
      </c>
      <c r="G423" s="70"/>
      <c r="H423" s="97">
        <f>SUMPRODUCT(B381:B422,H381:H422)/100</f>
        <v>19833.294683333334</v>
      </c>
      <c r="I423" s="107">
        <f>SUMPRODUCT(B381:B422,I381:I422)/100</f>
        <v>21635.212083333332</v>
      </c>
      <c r="J423" s="11"/>
      <c r="K423" s="11"/>
      <c r="L423" s="36"/>
      <c r="M423" s="45"/>
      <c r="N423" s="36"/>
      <c r="O423" s="36"/>
      <c r="P423" s="36"/>
      <c r="Q423" s="36"/>
      <c r="R423" s="36"/>
      <c r="S423" s="36"/>
      <c r="T423" s="47"/>
    </row>
    <row r="424" spans="1:20" ht="15" customHeight="1">
      <c r="A424" s="17" t="s">
        <v>369</v>
      </c>
      <c r="B424" s="9"/>
      <c r="C424" s="225"/>
      <c r="D424" s="18">
        <f>100*D423/B423</f>
        <v>73.46177634138073</v>
      </c>
      <c r="E424" s="18">
        <f>100*E423/B423</f>
        <v>82.54465389076243</v>
      </c>
      <c r="F424" s="66"/>
      <c r="G424" s="66"/>
      <c r="H424" s="18">
        <f>100*H423/F423</f>
        <v>79.62620316096569</v>
      </c>
      <c r="I424" s="19">
        <f>100*I423/F423</f>
        <v>86.86049495476686</v>
      </c>
      <c r="J424" s="8"/>
      <c r="K424" s="8"/>
      <c r="L424" s="39"/>
      <c r="M424" s="49"/>
      <c r="N424" s="39"/>
      <c r="O424" s="39"/>
      <c r="P424" s="39"/>
      <c r="Q424" s="39"/>
      <c r="R424" s="39"/>
      <c r="S424" s="39"/>
      <c r="T424" s="48"/>
    </row>
    <row r="425" spans="1:15" ht="12.75">
      <c r="A425" s="181" t="s">
        <v>907</v>
      </c>
      <c r="B425" s="5"/>
      <c r="C425" s="182" t="s">
        <v>908</v>
      </c>
      <c r="D425" s="183"/>
      <c r="E425" s="213"/>
      <c r="F425" s="83"/>
      <c r="G425" s="182" t="s">
        <v>908</v>
      </c>
      <c r="H425" s="183"/>
      <c r="I425" s="194"/>
      <c r="J425" s="15"/>
      <c r="K425" s="11"/>
      <c r="L425" s="11"/>
      <c r="M425" s="11"/>
      <c r="N425" s="36"/>
      <c r="O425" s="11"/>
    </row>
    <row r="426" spans="1:15" ht="12.75">
      <c r="A426" s="31" t="s">
        <v>898</v>
      </c>
      <c r="B426" s="30">
        <f>SUMIF($C$401:$C$422,"1",$B$401:$B$422)+$G$298</f>
        <v>12518.600000000002</v>
      </c>
      <c r="C426" s="122">
        <v>1</v>
      </c>
      <c r="D426" s="216">
        <f>B426+B427+B431</f>
        <v>12518.600000000002</v>
      </c>
      <c r="E426" s="47"/>
      <c r="F426" s="30">
        <f>SUMIF($G$401:$G$422,"1",$F$401:$F$422)+$K$298</f>
        <v>12518.600000000002</v>
      </c>
      <c r="G426" s="122">
        <v>1</v>
      </c>
      <c r="H426" s="216">
        <f>F426+F427+F431</f>
        <v>12545.900000000001</v>
      </c>
      <c r="I426" s="16"/>
      <c r="J426" s="15"/>
      <c r="K426" s="11"/>
      <c r="L426" s="11"/>
      <c r="M426" s="11"/>
      <c r="N426" s="36"/>
      <c r="O426" s="11"/>
    </row>
    <row r="427" spans="1:15" ht="12.75">
      <c r="A427" s="31" t="s">
        <v>903</v>
      </c>
      <c r="B427" s="30">
        <f>SUMIF($C$401:$C$422,"2",$B$401:$B$422)+$G$299</f>
        <v>0</v>
      </c>
      <c r="C427" s="122">
        <v>2</v>
      </c>
      <c r="D427" s="216">
        <f>B432</f>
        <v>522.3000000000001</v>
      </c>
      <c r="E427" s="47"/>
      <c r="F427" s="30">
        <f>SUMIF($G$401:$G$422,"2",$F$401:$F$422)+$K$299</f>
        <v>27.3</v>
      </c>
      <c r="G427" s="122">
        <v>2</v>
      </c>
      <c r="H427" s="216">
        <f>F432</f>
        <v>522.3000000000001</v>
      </c>
      <c r="I427" s="16"/>
      <c r="J427" s="15"/>
      <c r="K427" s="11"/>
      <c r="L427" s="11"/>
      <c r="M427" s="11"/>
      <c r="N427" s="36"/>
      <c r="O427" s="11"/>
    </row>
    <row r="428" spans="1:15" ht="22.5">
      <c r="A428" s="31" t="s">
        <v>902</v>
      </c>
      <c r="B428" s="30">
        <f>SUMIF($C$401:$C$422,"3",$B$401:$B$422)+$G$300</f>
        <v>124.82</v>
      </c>
      <c r="C428" s="122">
        <v>3</v>
      </c>
      <c r="D428" s="216">
        <f>B428</f>
        <v>124.82</v>
      </c>
      <c r="E428" s="47"/>
      <c r="F428" s="30">
        <f>SUMIF($G$401:$G$422,"3",$F$401:$F$422)+$K$300</f>
        <v>977.89</v>
      </c>
      <c r="G428" s="122">
        <v>3</v>
      </c>
      <c r="H428" s="216">
        <f>F428</f>
        <v>977.89</v>
      </c>
      <c r="I428" s="16"/>
      <c r="J428" s="15"/>
      <c r="K428" s="11"/>
      <c r="L428" s="11"/>
      <c r="M428" s="11"/>
      <c r="N428" s="36"/>
      <c r="O428" s="11"/>
    </row>
    <row r="429" spans="1:15" ht="14.25" customHeight="1">
      <c r="A429" s="31" t="s">
        <v>904</v>
      </c>
      <c r="B429" s="30">
        <f>SUMIF($C$401:$C$422,"4",$B$401:$B$422)+$G$301</f>
        <v>2462.359999999999</v>
      </c>
      <c r="C429" s="122">
        <v>4</v>
      </c>
      <c r="D429" s="216">
        <f>B429</f>
        <v>2462.359999999999</v>
      </c>
      <c r="E429" s="47"/>
      <c r="F429" s="30">
        <f>SUMIF($G$401:$G$422,"4",$F$401:$F$422)+$K$301</f>
        <v>3019.2799999999997</v>
      </c>
      <c r="G429" s="122">
        <v>4</v>
      </c>
      <c r="H429" s="216">
        <f>F429</f>
        <v>3019.2799999999997</v>
      </c>
      <c r="I429" s="16"/>
      <c r="J429" s="15"/>
      <c r="K429" s="11"/>
      <c r="L429" s="11"/>
      <c r="M429" s="11"/>
      <c r="N429" s="36"/>
      <c r="O429" s="11"/>
    </row>
    <row r="430" spans="1:15" ht="12.75">
      <c r="A430" s="31" t="s">
        <v>905</v>
      </c>
      <c r="B430" s="30">
        <f>SUMIF($C$401:$C$422,"5",$B$401:$B$422)+$G$302</f>
        <v>8992.29</v>
      </c>
      <c r="C430" s="122">
        <v>5</v>
      </c>
      <c r="D430" s="216">
        <f>B430</f>
        <v>8992.29</v>
      </c>
      <c r="E430" s="47"/>
      <c r="F430" s="30">
        <f>SUMIF($G$401:$G$422,"5",$F$401:$F$422)+$K$302</f>
        <v>7555</v>
      </c>
      <c r="G430" s="122">
        <v>5</v>
      </c>
      <c r="H430" s="216">
        <f>F430</f>
        <v>7555</v>
      </c>
      <c r="I430" s="16"/>
      <c r="J430" s="15"/>
      <c r="K430" s="11"/>
      <c r="L430" s="11"/>
      <c r="M430" s="11"/>
      <c r="N430" s="36"/>
      <c r="O430" s="11"/>
    </row>
    <row r="431" spans="1:15" ht="12.75">
      <c r="A431" s="31" t="s">
        <v>900</v>
      </c>
      <c r="B431" s="30">
        <f>SUMIF($C$401:$C$422,"6",$B$401:$B$422)+$G$303</f>
        <v>0</v>
      </c>
      <c r="C431" s="122">
        <v>6</v>
      </c>
      <c r="D431" s="216">
        <f>B433</f>
        <v>169.63</v>
      </c>
      <c r="E431" s="47"/>
      <c r="F431" s="30">
        <f>SUMIF($G$401:$G$422,"6",$F$401:$F$422)+$K$303</f>
        <v>0</v>
      </c>
      <c r="G431" s="122">
        <v>6</v>
      </c>
      <c r="H431" s="216">
        <f>F433</f>
        <v>169.63</v>
      </c>
      <c r="I431" s="16"/>
      <c r="J431" s="15"/>
      <c r="K431" s="11"/>
      <c r="L431" s="11"/>
      <c r="M431" s="11"/>
      <c r="N431" s="36"/>
      <c r="O431" s="11"/>
    </row>
    <row r="432" spans="1:15" ht="12.75">
      <c r="A432" s="31" t="s">
        <v>899</v>
      </c>
      <c r="B432" s="30">
        <f>SUMIF($C$401:$C$422,"7",$B$401:$B$422)+$G$304</f>
        <v>522.3000000000001</v>
      </c>
      <c r="C432" s="122">
        <v>7</v>
      </c>
      <c r="D432" s="216">
        <f>B434</f>
        <v>118</v>
      </c>
      <c r="E432" s="47"/>
      <c r="F432" s="30">
        <f>SUMIF($G$401:$G$422,"7",$F$401:$F$422)+$K$304</f>
        <v>522.3000000000001</v>
      </c>
      <c r="G432" s="122">
        <v>7</v>
      </c>
      <c r="H432" s="216">
        <f>F434</f>
        <v>118</v>
      </c>
      <c r="I432" s="16"/>
      <c r="J432" s="15"/>
      <c r="K432" s="11"/>
      <c r="L432" s="11"/>
      <c r="M432" s="11"/>
      <c r="N432" s="36"/>
      <c r="O432" s="11"/>
    </row>
    <row r="433" spans="1:15" ht="12.75">
      <c r="A433" s="31" t="s">
        <v>901</v>
      </c>
      <c r="B433" s="30">
        <f>SUMIF($C$401:$C$422,"8",$B$401:$B$422)+$G$305</f>
        <v>169.63</v>
      </c>
      <c r="C433" s="36"/>
      <c r="D433" s="221"/>
      <c r="E433" s="47"/>
      <c r="F433" s="30">
        <f>SUMIF($G$401:$G$422,"8",$F$401:$F$422)+$K$305</f>
        <v>169.63</v>
      </c>
      <c r="G433" s="135"/>
      <c r="H433" s="217"/>
      <c r="I433" s="12"/>
      <c r="J433" s="15"/>
      <c r="K433" s="11"/>
      <c r="L433" s="11"/>
      <c r="M433" s="11"/>
      <c r="N433" s="36"/>
      <c r="O433" s="11"/>
    </row>
    <row r="434" spans="1:15" ht="12.75">
      <c r="A434" s="31" t="s">
        <v>906</v>
      </c>
      <c r="B434" s="30">
        <f>SUMIF($C$401:$C$422,"9",$B$401:$B$422)+$G$306</f>
        <v>118</v>
      </c>
      <c r="C434" s="36"/>
      <c r="D434" s="217"/>
      <c r="E434" s="16"/>
      <c r="F434" s="30">
        <f>SUMIF($G$401:$G$422,"9",$F$401:$F$422)+$K$306</f>
        <v>118</v>
      </c>
      <c r="G434" s="135"/>
      <c r="H434" s="217"/>
      <c r="I434" s="12"/>
      <c r="J434" s="15"/>
      <c r="K434" s="11"/>
      <c r="L434" s="11"/>
      <c r="M434" s="11"/>
      <c r="N434" s="36"/>
      <c r="O434" s="11"/>
    </row>
    <row r="435" spans="1:15" ht="12.75">
      <c r="A435" s="173" t="s">
        <v>368</v>
      </c>
      <c r="B435" s="215">
        <f>SUM(B426:B434)</f>
        <v>24908</v>
      </c>
      <c r="C435" s="39"/>
      <c r="D435" s="215">
        <f>SUM(D426:D434)</f>
        <v>24908.000000000004</v>
      </c>
      <c r="E435" s="21"/>
      <c r="F435" s="215">
        <f>SUM(F426:F434)</f>
        <v>24908</v>
      </c>
      <c r="G435" s="180"/>
      <c r="H435" s="215">
        <f>SUM(H426:H434)</f>
        <v>24908</v>
      </c>
      <c r="I435" s="9"/>
      <c r="J435" s="15"/>
      <c r="K435" s="11"/>
      <c r="L435" s="11"/>
      <c r="M435" s="11"/>
      <c r="N435" s="36"/>
      <c r="O435" s="11"/>
    </row>
    <row r="436" spans="1:15" ht="12.75">
      <c r="A436" s="15"/>
      <c r="B436" s="15"/>
      <c r="C436" s="135"/>
      <c r="D436" s="135"/>
      <c r="E436" s="15"/>
      <c r="F436" s="15"/>
      <c r="G436" s="15"/>
      <c r="H436" s="135"/>
      <c r="I436" s="135"/>
      <c r="J436" s="15"/>
      <c r="K436" s="11"/>
      <c r="L436" s="11"/>
      <c r="M436" s="11"/>
      <c r="N436" s="36"/>
      <c r="O436" s="11"/>
    </row>
    <row r="437" spans="1:13" ht="72.75" customHeight="1">
      <c r="A437" s="301" t="s">
        <v>101</v>
      </c>
      <c r="B437" s="302"/>
      <c r="C437" s="302"/>
      <c r="D437" s="302"/>
      <c r="E437" s="302"/>
      <c r="F437" s="302"/>
      <c r="G437" s="302"/>
      <c r="H437" s="302"/>
      <c r="I437" s="302"/>
      <c r="J437" s="302"/>
      <c r="K437" s="302"/>
      <c r="L437" s="302"/>
      <c r="M437" s="303"/>
    </row>
    <row r="441" ht="15.75">
      <c r="A441" s="91" t="s">
        <v>449</v>
      </c>
    </row>
    <row r="442" spans="1:17" ht="15.75">
      <c r="A442" s="88" t="s">
        <v>97</v>
      </c>
      <c r="B442" s="89">
        <v>1912</v>
      </c>
      <c r="C442" s="172"/>
      <c r="D442" s="5"/>
      <c r="E442" s="5"/>
      <c r="F442" s="5"/>
      <c r="G442" s="5"/>
      <c r="H442" s="5"/>
      <c r="I442" s="5"/>
      <c r="J442" s="5"/>
      <c r="K442" s="5"/>
      <c r="L442" s="5"/>
      <c r="M442" s="37"/>
      <c r="N442" s="37"/>
      <c r="O442" s="37"/>
      <c r="P442" s="37"/>
      <c r="Q442" s="46"/>
    </row>
    <row r="443" spans="1:17" ht="22.5" customHeight="1">
      <c r="A443" s="28" t="s">
        <v>430</v>
      </c>
      <c r="B443" s="6" t="s">
        <v>370</v>
      </c>
      <c r="C443" s="76" t="s">
        <v>897</v>
      </c>
      <c r="D443" s="304" t="s">
        <v>400</v>
      </c>
      <c r="E443" s="305"/>
      <c r="F443" s="57" t="s">
        <v>6</v>
      </c>
      <c r="G443" s="5"/>
      <c r="H443" s="5"/>
      <c r="I443" s="5"/>
      <c r="J443" s="5"/>
      <c r="K443" s="5"/>
      <c r="L443" s="5"/>
      <c r="M443" s="37"/>
      <c r="N443" s="37"/>
      <c r="O443" s="37"/>
      <c r="P443" s="37"/>
      <c r="Q443" s="46"/>
    </row>
    <row r="444" spans="1:17" ht="22.5" customHeight="1">
      <c r="A444" s="7"/>
      <c r="B444" s="9"/>
      <c r="C444" s="71"/>
      <c r="D444" s="8" t="s">
        <v>305</v>
      </c>
      <c r="E444" s="9" t="s">
        <v>306</v>
      </c>
      <c r="F444" s="7" t="s">
        <v>431</v>
      </c>
      <c r="G444" s="8" t="s">
        <v>423</v>
      </c>
      <c r="H444" s="8" t="s">
        <v>424</v>
      </c>
      <c r="I444" s="49" t="s">
        <v>428</v>
      </c>
      <c r="J444" s="8"/>
      <c r="K444" s="8"/>
      <c r="L444" s="8"/>
      <c r="M444" s="39"/>
      <c r="N444" s="39"/>
      <c r="O444" s="39"/>
      <c r="P444" s="39"/>
      <c r="Q444" s="48"/>
    </row>
    <row r="445" spans="1:17" ht="12.75">
      <c r="A445" s="10" t="s">
        <v>307</v>
      </c>
      <c r="B445" s="12">
        <v>67</v>
      </c>
      <c r="C445" s="76"/>
      <c r="D445" s="13">
        <f>$E$184</f>
        <v>59.754</v>
      </c>
      <c r="E445" s="99">
        <f>$F$184</f>
        <v>69.04133333333333</v>
      </c>
      <c r="F445" s="11"/>
      <c r="G445" s="11"/>
      <c r="H445" s="11"/>
      <c r="I445" s="45" t="s">
        <v>149</v>
      </c>
      <c r="J445" s="45"/>
      <c r="K445" s="11"/>
      <c r="L445" s="11"/>
      <c r="M445" s="36"/>
      <c r="N445" s="36"/>
      <c r="O445" s="36"/>
      <c r="P445" s="36"/>
      <c r="Q445" s="47"/>
    </row>
    <row r="446" spans="1:17" ht="12.75">
      <c r="A446" s="10" t="s">
        <v>308</v>
      </c>
      <c r="B446" s="12">
        <v>56</v>
      </c>
      <c r="C446" s="70"/>
      <c r="D446" s="13">
        <f>$E$161</f>
        <v>28.624000000000002</v>
      </c>
      <c r="E446" s="14">
        <f>$F$161</f>
        <v>41.38266666666667</v>
      </c>
      <c r="F446" s="11"/>
      <c r="G446" s="11"/>
      <c r="H446" s="11"/>
      <c r="I446" s="45" t="s">
        <v>149</v>
      </c>
      <c r="J446" s="45"/>
      <c r="K446" s="11"/>
      <c r="L446" s="11"/>
      <c r="M446" s="36"/>
      <c r="N446" s="36"/>
      <c r="O446" s="36"/>
      <c r="P446" s="36"/>
      <c r="Q446" s="47"/>
    </row>
    <row r="447" spans="1:17" ht="12.75">
      <c r="A447" s="10" t="s">
        <v>326</v>
      </c>
      <c r="B447" s="12">
        <v>8</v>
      </c>
      <c r="C447" s="70"/>
      <c r="D447" s="13">
        <f>$E$249</f>
        <v>84.584</v>
      </c>
      <c r="E447" s="14">
        <f>$F$249</f>
        <v>88.88799999999999</v>
      </c>
      <c r="F447" s="11"/>
      <c r="G447" s="11"/>
      <c r="H447" s="11"/>
      <c r="I447" s="45" t="s">
        <v>149</v>
      </c>
      <c r="J447" s="45"/>
      <c r="K447" s="11"/>
      <c r="L447" s="11"/>
      <c r="M447" s="36"/>
      <c r="N447" s="36"/>
      <c r="O447" s="36"/>
      <c r="P447" s="36"/>
      <c r="Q447" s="47"/>
    </row>
    <row r="448" spans="1:17" ht="12.75">
      <c r="A448" s="10" t="s">
        <v>334</v>
      </c>
      <c r="B448" s="12">
        <v>18</v>
      </c>
      <c r="C448" s="70"/>
      <c r="D448" s="13">
        <f>$E$184</f>
        <v>59.754</v>
      </c>
      <c r="E448" s="14">
        <f>$F$184</f>
        <v>69.04133333333333</v>
      </c>
      <c r="F448" s="11"/>
      <c r="G448" s="11"/>
      <c r="H448" s="11"/>
      <c r="I448" s="45" t="s">
        <v>149</v>
      </c>
      <c r="J448" s="45"/>
      <c r="K448" s="11"/>
      <c r="L448" s="11"/>
      <c r="M448" s="36"/>
      <c r="N448" s="36"/>
      <c r="O448" s="36"/>
      <c r="P448" s="36"/>
      <c r="Q448" s="47"/>
    </row>
    <row r="449" spans="1:17" ht="12.75">
      <c r="A449" s="10" t="s">
        <v>309</v>
      </c>
      <c r="B449" s="12">
        <v>28</v>
      </c>
      <c r="C449" s="70"/>
      <c r="D449" s="13">
        <f>$E$191</f>
        <v>58.18</v>
      </c>
      <c r="E449" s="14">
        <f>$F$191</f>
        <v>65.94933333333333</v>
      </c>
      <c r="F449" s="11"/>
      <c r="G449" s="11"/>
      <c r="H449" s="11"/>
      <c r="I449" s="45" t="s">
        <v>149</v>
      </c>
      <c r="J449" s="45"/>
      <c r="K449" s="11"/>
      <c r="L449" s="11"/>
      <c r="M449" s="36"/>
      <c r="N449" s="36"/>
      <c r="O449" s="36"/>
      <c r="P449" s="36"/>
      <c r="Q449" s="47"/>
    </row>
    <row r="450" spans="1:17" ht="12.75">
      <c r="A450" s="10" t="s">
        <v>333</v>
      </c>
      <c r="B450" s="12">
        <v>9</v>
      </c>
      <c r="C450" s="70"/>
      <c r="D450" s="13">
        <f>$E$258</f>
        <v>26.33555555555556</v>
      </c>
      <c r="E450" s="14">
        <f>$F$258</f>
        <v>36.54555555555556</v>
      </c>
      <c r="F450" s="11"/>
      <c r="G450" s="11"/>
      <c r="H450" s="11"/>
      <c r="I450" s="45" t="s">
        <v>149</v>
      </c>
      <c r="J450" s="45"/>
      <c r="K450" s="11"/>
      <c r="L450" s="11"/>
      <c r="M450" s="36"/>
      <c r="N450" s="36"/>
      <c r="O450" s="36"/>
      <c r="P450" s="36"/>
      <c r="Q450" s="47"/>
    </row>
    <row r="451" spans="1:17" ht="12.75">
      <c r="A451" s="10" t="s">
        <v>260</v>
      </c>
      <c r="B451" s="12">
        <v>7</v>
      </c>
      <c r="C451" s="70"/>
      <c r="D451" s="13">
        <f>$E$210</f>
        <v>28.866000000000003</v>
      </c>
      <c r="E451" s="14">
        <f>$F$210</f>
        <v>45.662000000000006</v>
      </c>
      <c r="F451" s="11"/>
      <c r="G451" s="11"/>
      <c r="H451" s="11"/>
      <c r="I451" s="45" t="s">
        <v>149</v>
      </c>
      <c r="J451" s="45"/>
      <c r="K451" s="11"/>
      <c r="L451" s="11"/>
      <c r="M451" s="36"/>
      <c r="N451" s="36"/>
      <c r="O451" s="36"/>
      <c r="P451" s="36"/>
      <c r="Q451" s="47"/>
    </row>
    <row r="452" spans="1:17" ht="12.75">
      <c r="A452" s="10" t="s">
        <v>261</v>
      </c>
      <c r="B452" s="12">
        <v>7</v>
      </c>
      <c r="C452" s="70"/>
      <c r="D452" s="13">
        <f>$E$218</f>
        <v>34.18711111111111</v>
      </c>
      <c r="E452" s="14">
        <f>$F$218</f>
        <v>47.52711111111111</v>
      </c>
      <c r="F452" s="11"/>
      <c r="G452" s="11"/>
      <c r="H452" s="11"/>
      <c r="I452" s="45" t="s">
        <v>149</v>
      </c>
      <c r="J452" s="45"/>
      <c r="K452" s="11"/>
      <c r="L452" s="11"/>
      <c r="M452" s="36"/>
      <c r="N452" s="36"/>
      <c r="O452" s="36"/>
      <c r="P452" s="36"/>
      <c r="Q452" s="47"/>
    </row>
    <row r="453" spans="1:17" ht="12.75">
      <c r="A453" s="10" t="s">
        <v>311</v>
      </c>
      <c r="B453" s="12">
        <v>23</v>
      </c>
      <c r="C453" s="70"/>
      <c r="D453" s="13">
        <f>$E$134</f>
        <v>90.445</v>
      </c>
      <c r="E453" s="14">
        <f>$F$134</f>
        <v>94.515</v>
      </c>
      <c r="F453" s="11"/>
      <c r="G453" s="11"/>
      <c r="H453" s="11"/>
      <c r="I453" s="45" t="s">
        <v>149</v>
      </c>
      <c r="J453" s="45"/>
      <c r="K453" s="11"/>
      <c r="L453" s="11"/>
      <c r="M453" s="36"/>
      <c r="N453" s="36"/>
      <c r="O453" s="36"/>
      <c r="P453" s="36"/>
      <c r="Q453" s="47"/>
    </row>
    <row r="454" spans="1:17" ht="12.75">
      <c r="A454" s="10" t="s">
        <v>337</v>
      </c>
      <c r="B454" s="12">
        <v>10</v>
      </c>
      <c r="C454" s="70"/>
      <c r="D454" s="13">
        <f>$E$134</f>
        <v>90.445</v>
      </c>
      <c r="E454" s="14">
        <f>$F$134</f>
        <v>94.515</v>
      </c>
      <c r="F454" s="11"/>
      <c r="G454" s="11"/>
      <c r="H454" s="11"/>
      <c r="I454" s="45" t="s">
        <v>149</v>
      </c>
      <c r="J454" s="45"/>
      <c r="K454" s="11"/>
      <c r="L454" s="11"/>
      <c r="M454" s="36"/>
      <c r="N454" s="36"/>
      <c r="O454" s="36"/>
      <c r="P454" s="36"/>
      <c r="Q454" s="47"/>
    </row>
    <row r="455" spans="1:17" ht="12.75">
      <c r="A455" s="10" t="s">
        <v>312</v>
      </c>
      <c r="B455" s="12">
        <v>70</v>
      </c>
      <c r="C455" s="70"/>
      <c r="D455" s="13">
        <f>$E$143</f>
        <v>93.238</v>
      </c>
      <c r="E455" s="14">
        <f>$F$143</f>
        <v>96.426</v>
      </c>
      <c r="F455" s="11"/>
      <c r="G455" s="11"/>
      <c r="H455" s="11"/>
      <c r="I455" s="45" t="s">
        <v>149</v>
      </c>
      <c r="J455" s="45"/>
      <c r="K455" s="11"/>
      <c r="L455" s="11"/>
      <c r="M455" s="36"/>
      <c r="N455" s="36"/>
      <c r="O455" s="36"/>
      <c r="P455" s="36"/>
      <c r="Q455" s="47"/>
    </row>
    <row r="456" spans="1:17" ht="12.75">
      <c r="A456" s="10" t="s">
        <v>319</v>
      </c>
      <c r="B456" s="12">
        <v>25</v>
      </c>
      <c r="C456" s="70"/>
      <c r="D456" s="13">
        <f>$E$167</f>
        <v>73.51</v>
      </c>
      <c r="E456" s="14">
        <f>$F$167</f>
        <v>79.76933333333334</v>
      </c>
      <c r="F456" s="11"/>
      <c r="G456" s="11"/>
      <c r="H456" s="11"/>
      <c r="I456" s="45" t="s">
        <v>149</v>
      </c>
      <c r="J456" s="45"/>
      <c r="K456" s="11"/>
      <c r="L456" s="11"/>
      <c r="M456" s="36"/>
      <c r="N456" s="36"/>
      <c r="O456" s="36"/>
      <c r="P456" s="36"/>
      <c r="Q456" s="47"/>
    </row>
    <row r="457" spans="1:17" ht="12.75">
      <c r="A457" s="10" t="s">
        <v>321</v>
      </c>
      <c r="B457" s="12">
        <v>25</v>
      </c>
      <c r="C457" s="70"/>
      <c r="D457" s="13">
        <f>$E$228</f>
        <v>77.1</v>
      </c>
      <c r="E457" s="14">
        <f>$F$228</f>
        <v>84.13133333333333</v>
      </c>
      <c r="F457" s="11"/>
      <c r="G457" s="11"/>
      <c r="H457" s="11"/>
      <c r="I457" s="45" t="s">
        <v>149</v>
      </c>
      <c r="J457" s="45"/>
      <c r="K457" s="11"/>
      <c r="L457" s="11"/>
      <c r="M457" s="36"/>
      <c r="N457" s="36"/>
      <c r="O457" s="36"/>
      <c r="P457" s="36"/>
      <c r="Q457" s="47"/>
    </row>
    <row r="458" spans="1:17" ht="12.75">
      <c r="A458" s="10" t="s">
        <v>315</v>
      </c>
      <c r="B458" s="12">
        <v>5</v>
      </c>
      <c r="C458" s="70"/>
      <c r="D458" s="13">
        <f>$E$200</f>
        <v>50.39688888888889</v>
      </c>
      <c r="E458" s="14">
        <f>$F$200</f>
        <v>57.74488888888889</v>
      </c>
      <c r="F458" s="11"/>
      <c r="G458" s="11"/>
      <c r="H458" s="11"/>
      <c r="I458" s="45" t="s">
        <v>149</v>
      </c>
      <c r="J458" s="45"/>
      <c r="K458" s="11"/>
      <c r="L458" s="11"/>
      <c r="M458" s="36"/>
      <c r="N458" s="36"/>
      <c r="O458" s="36"/>
      <c r="P458" s="36"/>
      <c r="Q458" s="47"/>
    </row>
    <row r="459" spans="1:17" ht="12.75">
      <c r="A459" s="10" t="s">
        <v>102</v>
      </c>
      <c r="B459" s="12">
        <v>1</v>
      </c>
      <c r="C459" s="70"/>
      <c r="D459" s="13">
        <f>$E$161</f>
        <v>28.624000000000002</v>
      </c>
      <c r="E459" s="14">
        <f>$F$161</f>
        <v>41.38266666666667</v>
      </c>
      <c r="F459" s="11"/>
      <c r="G459" s="11"/>
      <c r="H459" s="11"/>
      <c r="I459" s="45" t="s">
        <v>149</v>
      </c>
      <c r="J459" s="45"/>
      <c r="K459" s="11"/>
      <c r="L459" s="11"/>
      <c r="M459" s="36"/>
      <c r="N459" s="36"/>
      <c r="O459" s="36"/>
      <c r="P459" s="36"/>
      <c r="Q459" s="47"/>
    </row>
    <row r="460" spans="1:17" ht="12.75">
      <c r="A460" s="31" t="s">
        <v>354</v>
      </c>
      <c r="B460" s="12">
        <v>6</v>
      </c>
      <c r="C460" s="70"/>
      <c r="D460" s="13">
        <f>$E$184</f>
        <v>59.754</v>
      </c>
      <c r="E460" s="14">
        <f>$F$184</f>
        <v>69.04133333333333</v>
      </c>
      <c r="F460" s="11"/>
      <c r="G460" s="11"/>
      <c r="H460" s="11"/>
      <c r="I460" s="45" t="s">
        <v>149</v>
      </c>
      <c r="J460" s="45"/>
      <c r="K460" s="11"/>
      <c r="L460" s="11"/>
      <c r="M460" s="36"/>
      <c r="N460" s="36"/>
      <c r="O460" s="36"/>
      <c r="P460" s="36"/>
      <c r="Q460" s="47"/>
    </row>
    <row r="461" spans="1:17" ht="12.75">
      <c r="A461" s="10" t="s">
        <v>341</v>
      </c>
      <c r="B461" s="12">
        <v>3</v>
      </c>
      <c r="C461" s="70"/>
      <c r="D461" s="13">
        <f>$E$271</f>
        <v>44.46866666666667</v>
      </c>
      <c r="E461" s="14">
        <f>$F$271</f>
        <v>54.670666666666676</v>
      </c>
      <c r="F461" s="11"/>
      <c r="G461" s="11"/>
      <c r="H461" s="11"/>
      <c r="I461" s="45" t="s">
        <v>149</v>
      </c>
      <c r="J461" s="45"/>
      <c r="K461" s="11"/>
      <c r="L461" s="11"/>
      <c r="M461" s="36"/>
      <c r="N461" s="36"/>
      <c r="O461" s="36"/>
      <c r="P461" s="36"/>
      <c r="Q461" s="47"/>
    </row>
    <row r="462" spans="1:17" ht="12.75">
      <c r="A462" s="10" t="s">
        <v>103</v>
      </c>
      <c r="B462" s="12">
        <v>2</v>
      </c>
      <c r="C462" s="70"/>
      <c r="D462" s="13">
        <f>$E$200</f>
        <v>50.39688888888889</v>
      </c>
      <c r="E462" s="14">
        <f>$F$200</f>
        <v>57.74488888888889</v>
      </c>
      <c r="F462" s="11"/>
      <c r="G462" s="11"/>
      <c r="H462" s="11"/>
      <c r="I462" s="45" t="s">
        <v>149</v>
      </c>
      <c r="J462" s="45"/>
      <c r="K462" s="11"/>
      <c r="L462" s="11"/>
      <c r="M462" s="36"/>
      <c r="N462" s="36"/>
      <c r="O462" s="36"/>
      <c r="P462" s="36"/>
      <c r="Q462" s="47"/>
    </row>
    <row r="463" spans="1:17" ht="12.75">
      <c r="A463" s="7" t="s">
        <v>346</v>
      </c>
      <c r="B463" s="12">
        <v>2</v>
      </c>
      <c r="C463" s="70"/>
      <c r="D463" s="13">
        <f>$E$200</f>
        <v>50.39688888888889</v>
      </c>
      <c r="E463" s="14">
        <f>$F$200</f>
        <v>57.74488888888889</v>
      </c>
      <c r="F463" s="11"/>
      <c r="G463" s="11"/>
      <c r="H463" s="11"/>
      <c r="I463" s="45" t="s">
        <v>149</v>
      </c>
      <c r="J463" s="45"/>
      <c r="K463" s="11"/>
      <c r="L463" s="11"/>
      <c r="M463" s="36"/>
      <c r="N463" s="36"/>
      <c r="O463" s="36"/>
      <c r="P463" s="36"/>
      <c r="Q463" s="47"/>
    </row>
    <row r="464" spans="1:17" ht="12.75">
      <c r="A464" s="10" t="s">
        <v>316</v>
      </c>
      <c r="B464" s="12">
        <v>4</v>
      </c>
      <c r="C464" s="70">
        <f>$B$50</f>
        <v>1</v>
      </c>
      <c r="D464" s="13">
        <f>($C$50+$C$47)/2</f>
        <v>86</v>
      </c>
      <c r="E464" s="14">
        <f>($D$50+$D$47)/2</f>
        <v>92</v>
      </c>
      <c r="F464" s="11"/>
      <c r="G464" s="11"/>
      <c r="H464" s="11"/>
      <c r="I464" s="45" t="s">
        <v>151</v>
      </c>
      <c r="J464" s="45"/>
      <c r="K464" s="11"/>
      <c r="L464" s="11"/>
      <c r="M464" s="36"/>
      <c r="N464" s="36"/>
      <c r="O464" s="36"/>
      <c r="P464" s="36"/>
      <c r="Q464" s="47"/>
    </row>
    <row r="465" spans="1:17" ht="12.75">
      <c r="A465" s="10" t="s">
        <v>317</v>
      </c>
      <c r="B465" s="12">
        <v>33</v>
      </c>
      <c r="C465" s="120">
        <f>$B$43</f>
        <v>1</v>
      </c>
      <c r="D465" s="13">
        <f>$C$43</f>
        <v>97</v>
      </c>
      <c r="E465" s="14">
        <f>$D$43</f>
        <v>99</v>
      </c>
      <c r="F465" s="11"/>
      <c r="G465" s="11"/>
      <c r="H465" s="11"/>
      <c r="I465" s="45" t="s">
        <v>151</v>
      </c>
      <c r="J465" s="45"/>
      <c r="K465" s="11"/>
      <c r="L465" s="11"/>
      <c r="M465" s="36"/>
      <c r="N465" s="36"/>
      <c r="O465" s="36"/>
      <c r="P465" s="36"/>
      <c r="Q465" s="47"/>
    </row>
    <row r="466" spans="1:17" ht="12.75">
      <c r="A466" s="10" t="s">
        <v>318</v>
      </c>
      <c r="B466" s="12">
        <v>2</v>
      </c>
      <c r="C466" s="120">
        <f>$B$46</f>
        <v>1</v>
      </c>
      <c r="D466" s="13">
        <f>$C$46</f>
        <v>97</v>
      </c>
      <c r="E466" s="14">
        <f>$D$46</f>
        <v>99</v>
      </c>
      <c r="F466" s="11"/>
      <c r="G466" s="11"/>
      <c r="H466" s="11"/>
      <c r="I466" s="45" t="s">
        <v>151</v>
      </c>
      <c r="J466" s="45"/>
      <c r="K466" s="11"/>
      <c r="L466" s="11"/>
      <c r="M466" s="36"/>
      <c r="N466" s="36"/>
      <c r="O466" s="36"/>
      <c r="P466" s="36"/>
      <c r="Q466" s="47"/>
    </row>
    <row r="467" spans="1:17" ht="12.75">
      <c r="A467" s="10" t="s">
        <v>314</v>
      </c>
      <c r="B467" s="12">
        <v>9</v>
      </c>
      <c r="C467" s="70">
        <f>$B$50</f>
        <v>1</v>
      </c>
      <c r="D467" s="13">
        <f>($C$50+$C$33)/2</f>
        <v>97</v>
      </c>
      <c r="E467" s="14">
        <f>($D$50+$D$33)/2</f>
        <v>99</v>
      </c>
      <c r="F467" s="11"/>
      <c r="G467" s="11"/>
      <c r="H467" s="11"/>
      <c r="I467" s="45" t="s">
        <v>151</v>
      </c>
      <c r="J467" s="45"/>
      <c r="K467" s="11"/>
      <c r="L467" s="11"/>
      <c r="M467" s="36"/>
      <c r="N467" s="36"/>
      <c r="O467" s="36"/>
      <c r="P467" s="36"/>
      <c r="Q467" s="47"/>
    </row>
    <row r="468" spans="1:17" ht="12.75">
      <c r="A468" s="10" t="s">
        <v>320</v>
      </c>
      <c r="B468" s="12">
        <v>30</v>
      </c>
      <c r="C468" s="70">
        <f>$B$36</f>
        <v>1</v>
      </c>
      <c r="D468" s="13">
        <f>$C$36</f>
        <v>97</v>
      </c>
      <c r="E468" s="14">
        <f>$D$36</f>
        <v>99</v>
      </c>
      <c r="F468" s="11"/>
      <c r="G468" s="11"/>
      <c r="H468" s="11"/>
      <c r="I468" s="45" t="s">
        <v>151</v>
      </c>
      <c r="J468" s="45"/>
      <c r="K468" s="11"/>
      <c r="L468" s="11"/>
      <c r="M468" s="36"/>
      <c r="N468" s="36"/>
      <c r="O468" s="36"/>
      <c r="P468" s="36"/>
      <c r="Q468" s="47"/>
    </row>
    <row r="469" spans="1:17" ht="22.5">
      <c r="A469" s="10" t="s">
        <v>322</v>
      </c>
      <c r="B469" s="12">
        <v>1</v>
      </c>
      <c r="C469" s="70">
        <f>$B$49</f>
        <v>5</v>
      </c>
      <c r="D469" s="13">
        <f>($C$49+$C$60+$C$57)/3</f>
        <v>53.26666666666667</v>
      </c>
      <c r="E469" s="14">
        <f>($D$49+$D$60+$D$57)/3</f>
        <v>63.11111111111111</v>
      </c>
      <c r="F469" s="11"/>
      <c r="G469" s="11"/>
      <c r="H469" s="11"/>
      <c r="I469" s="45" t="s">
        <v>151</v>
      </c>
      <c r="J469" s="45"/>
      <c r="K469" s="11"/>
      <c r="L469" s="11"/>
      <c r="M469" s="36"/>
      <c r="N469" s="36"/>
      <c r="O469" s="36"/>
      <c r="P469" s="36"/>
      <c r="Q469" s="47"/>
    </row>
    <row r="470" spans="1:17" ht="12.75">
      <c r="A470" s="10" t="s">
        <v>229</v>
      </c>
      <c r="B470" s="12">
        <v>4</v>
      </c>
      <c r="C470" s="70">
        <f>$B$48</f>
        <v>8</v>
      </c>
      <c r="D470" s="13">
        <f>$C$48</f>
        <v>0</v>
      </c>
      <c r="E470" s="14">
        <f>$D$48</f>
        <v>14.733333333333334</v>
      </c>
      <c r="F470" s="11"/>
      <c r="G470" s="11"/>
      <c r="H470" s="11"/>
      <c r="I470" s="45" t="s">
        <v>151</v>
      </c>
      <c r="J470" s="45"/>
      <c r="K470" s="11"/>
      <c r="L470" s="11"/>
      <c r="M470" s="36"/>
      <c r="N470" s="36"/>
      <c r="O470" s="36"/>
      <c r="P470" s="36"/>
      <c r="Q470" s="47"/>
    </row>
    <row r="471" spans="1:17" ht="12.75">
      <c r="A471" s="10" t="s">
        <v>285</v>
      </c>
      <c r="B471" s="12">
        <v>4</v>
      </c>
      <c r="C471" s="70">
        <f>$B$47</f>
        <v>7</v>
      </c>
      <c r="D471" s="13">
        <f>$C$47</f>
        <v>75</v>
      </c>
      <c r="E471" s="14">
        <f>$D$47</f>
        <v>85</v>
      </c>
      <c r="F471" s="11"/>
      <c r="G471" s="11"/>
      <c r="H471" s="11"/>
      <c r="I471" s="45" t="s">
        <v>151</v>
      </c>
      <c r="J471" s="45"/>
      <c r="K471" s="11"/>
      <c r="L471" s="11"/>
      <c r="M471" s="36"/>
      <c r="N471" s="36"/>
      <c r="O471" s="36"/>
      <c r="P471" s="36"/>
      <c r="Q471" s="47"/>
    </row>
    <row r="472" spans="1:17" ht="12.75">
      <c r="A472" s="10" t="s">
        <v>310</v>
      </c>
      <c r="B472" s="12">
        <v>2</v>
      </c>
      <c r="C472" s="70">
        <f>$B$61</f>
        <v>1</v>
      </c>
      <c r="D472" s="13">
        <f>$C$61</f>
        <v>97</v>
      </c>
      <c r="E472" s="14">
        <f>$D$61</f>
        <v>99</v>
      </c>
      <c r="F472" s="11"/>
      <c r="G472" s="11"/>
      <c r="H472" s="11"/>
      <c r="I472" s="45" t="s">
        <v>151</v>
      </c>
      <c r="J472" s="45"/>
      <c r="K472" s="11"/>
      <c r="L472" s="11"/>
      <c r="M472" s="36"/>
      <c r="N472" s="36"/>
      <c r="O472" s="36"/>
      <c r="P472" s="36"/>
      <c r="Q472" s="47"/>
    </row>
    <row r="473" spans="1:17" ht="12.75">
      <c r="A473" s="10" t="s">
        <v>323</v>
      </c>
      <c r="B473" s="12">
        <v>34</v>
      </c>
      <c r="C473" s="70">
        <f>$B$22</f>
        <v>1</v>
      </c>
      <c r="D473" s="13">
        <f>$C$22</f>
        <v>97</v>
      </c>
      <c r="E473" s="14">
        <f>$D$22</f>
        <v>99</v>
      </c>
      <c r="F473" s="11"/>
      <c r="G473" s="11"/>
      <c r="H473" s="11"/>
      <c r="I473" s="45" t="s">
        <v>151</v>
      </c>
      <c r="J473" s="45"/>
      <c r="K473" s="11"/>
      <c r="L473" s="11"/>
      <c r="M473" s="36"/>
      <c r="N473" s="36"/>
      <c r="O473" s="36"/>
      <c r="P473" s="36"/>
      <c r="Q473" s="47"/>
    </row>
    <row r="474" spans="1:17" ht="15" customHeight="1">
      <c r="A474" s="10" t="s">
        <v>324</v>
      </c>
      <c r="B474" s="12">
        <v>22</v>
      </c>
      <c r="C474" s="70">
        <f>$B$27</f>
        <v>1</v>
      </c>
      <c r="D474" s="13">
        <f>($C$27+$C$47+$C$50)/3</f>
        <v>89.66666666666667</v>
      </c>
      <c r="E474" s="14">
        <f>($D$27+$D$47+$D$50)/3</f>
        <v>94.33333333333333</v>
      </c>
      <c r="F474" s="11"/>
      <c r="G474" s="11"/>
      <c r="H474" s="11"/>
      <c r="I474" s="45" t="s">
        <v>151</v>
      </c>
      <c r="J474" s="45"/>
      <c r="K474" s="11"/>
      <c r="L474" s="11"/>
      <c r="M474" s="36"/>
      <c r="N474" s="36"/>
      <c r="O474" s="36"/>
      <c r="P474" s="36"/>
      <c r="Q474" s="47"/>
    </row>
    <row r="475" spans="1:17" ht="12.75">
      <c r="A475" s="10" t="s">
        <v>325</v>
      </c>
      <c r="B475" s="12">
        <v>2</v>
      </c>
      <c r="C475" s="70">
        <f>$B$33</f>
        <v>1</v>
      </c>
      <c r="D475" s="13">
        <f>$C$33</f>
        <v>97</v>
      </c>
      <c r="E475" s="14">
        <f>$D$33</f>
        <v>99</v>
      </c>
      <c r="F475" s="11"/>
      <c r="G475" s="11"/>
      <c r="H475" s="11"/>
      <c r="I475" s="45" t="s">
        <v>151</v>
      </c>
      <c r="J475" s="45"/>
      <c r="K475" s="11"/>
      <c r="L475" s="11"/>
      <c r="M475" s="36"/>
      <c r="N475" s="36"/>
      <c r="O475" s="36"/>
      <c r="P475" s="36"/>
      <c r="Q475" s="47"/>
    </row>
    <row r="476" spans="1:17" ht="12.75">
      <c r="A476" s="10" t="s">
        <v>313</v>
      </c>
      <c r="B476" s="12">
        <v>5</v>
      </c>
      <c r="C476" s="70">
        <f>$B$48</f>
        <v>8</v>
      </c>
      <c r="D476" s="13">
        <f>$C$48</f>
        <v>0</v>
      </c>
      <c r="E476" s="14">
        <f>$D$48</f>
        <v>14.733333333333334</v>
      </c>
      <c r="F476" s="11"/>
      <c r="G476" s="11"/>
      <c r="H476" s="11"/>
      <c r="I476" s="45" t="s">
        <v>151</v>
      </c>
      <c r="J476" s="45"/>
      <c r="K476" s="11"/>
      <c r="L476" s="11"/>
      <c r="M476" s="36"/>
      <c r="N476" s="36"/>
      <c r="O476" s="36"/>
      <c r="P476" s="36"/>
      <c r="Q476" s="47"/>
    </row>
    <row r="477" spans="1:17" ht="12.75">
      <c r="A477" s="10" t="s">
        <v>327</v>
      </c>
      <c r="B477" s="12">
        <v>34</v>
      </c>
      <c r="C477" s="70">
        <f>$B$47</f>
        <v>7</v>
      </c>
      <c r="D477" s="13">
        <f>$C$47</f>
        <v>75</v>
      </c>
      <c r="E477" s="14">
        <f>$D$47</f>
        <v>85</v>
      </c>
      <c r="F477" s="11"/>
      <c r="G477" s="11"/>
      <c r="H477" s="11"/>
      <c r="I477" s="45" t="s">
        <v>151</v>
      </c>
      <c r="J477" s="45"/>
      <c r="K477" s="11"/>
      <c r="L477" s="11"/>
      <c r="M477" s="36"/>
      <c r="N477" s="36"/>
      <c r="O477" s="36"/>
      <c r="P477" s="36"/>
      <c r="Q477" s="47"/>
    </row>
    <row r="478" spans="1:17" ht="12.75">
      <c r="A478" s="10" t="s">
        <v>328</v>
      </c>
      <c r="B478" s="12">
        <v>1</v>
      </c>
      <c r="C478" s="70">
        <f>$B$49</f>
        <v>5</v>
      </c>
      <c r="D478" s="13">
        <f>$C$49</f>
        <v>62.8</v>
      </c>
      <c r="E478" s="14">
        <f>$D$49</f>
        <v>75.6</v>
      </c>
      <c r="F478" s="11"/>
      <c r="G478" s="11"/>
      <c r="H478" s="11"/>
      <c r="I478" s="45" t="s">
        <v>151</v>
      </c>
      <c r="J478" s="45"/>
      <c r="K478" s="11"/>
      <c r="L478" s="11"/>
      <c r="M478" s="36"/>
      <c r="N478" s="36"/>
      <c r="O478" s="36"/>
      <c r="P478" s="36"/>
      <c r="Q478" s="47"/>
    </row>
    <row r="479" spans="1:17" ht="22.5">
      <c r="A479" s="10" t="s">
        <v>329</v>
      </c>
      <c r="B479" s="12">
        <v>1</v>
      </c>
      <c r="C479" s="70">
        <f>$B$49</f>
        <v>5</v>
      </c>
      <c r="D479" s="13">
        <f>($C$49+$C$60)/2</f>
        <v>79.9</v>
      </c>
      <c r="E479" s="14">
        <f>($D$49+$D$60)/2</f>
        <v>87.3</v>
      </c>
      <c r="F479" s="11"/>
      <c r="G479" s="11"/>
      <c r="H479" s="11"/>
      <c r="I479" s="45" t="s">
        <v>151</v>
      </c>
      <c r="J479" s="45"/>
      <c r="K479" s="11"/>
      <c r="L479" s="11"/>
      <c r="M479" s="36"/>
      <c r="N479" s="36"/>
      <c r="O479" s="36"/>
      <c r="P479" s="36"/>
      <c r="Q479" s="47"/>
    </row>
    <row r="480" spans="1:17" ht="22.5">
      <c r="A480" s="10" t="s">
        <v>330</v>
      </c>
      <c r="B480" s="12">
        <v>2</v>
      </c>
      <c r="C480" s="70">
        <f>$B$60</f>
        <v>1</v>
      </c>
      <c r="D480" s="13">
        <f>($C$49+$C$60)/2</f>
        <v>79.9</v>
      </c>
      <c r="E480" s="14">
        <f>($D$49+$D$60)/2</f>
        <v>87.3</v>
      </c>
      <c r="F480" s="11"/>
      <c r="G480" s="11"/>
      <c r="H480" s="11"/>
      <c r="I480" s="45" t="s">
        <v>151</v>
      </c>
      <c r="J480" s="45"/>
      <c r="K480" s="11"/>
      <c r="L480" s="11"/>
      <c r="M480" s="36"/>
      <c r="N480" s="36"/>
      <c r="O480" s="36"/>
      <c r="P480" s="36"/>
      <c r="Q480" s="47"/>
    </row>
    <row r="481" spans="1:17" ht="12.75">
      <c r="A481" s="10" t="s">
        <v>331</v>
      </c>
      <c r="B481" s="12">
        <v>1</v>
      </c>
      <c r="C481" s="70">
        <f>$B$83</f>
        <v>5</v>
      </c>
      <c r="D481" s="13">
        <f>$C$83</f>
        <v>15.088888888888889</v>
      </c>
      <c r="E481" s="14">
        <f>$D$83</f>
        <v>32.28888888888889</v>
      </c>
      <c r="F481" s="11"/>
      <c r="G481" s="11"/>
      <c r="H481" s="11"/>
      <c r="I481" s="45" t="s">
        <v>151</v>
      </c>
      <c r="J481" s="45"/>
      <c r="K481" s="11"/>
      <c r="L481" s="11"/>
      <c r="M481" s="36"/>
      <c r="N481" s="36"/>
      <c r="O481" s="36"/>
      <c r="P481" s="36"/>
      <c r="Q481" s="47"/>
    </row>
    <row r="482" spans="1:17" ht="12.75">
      <c r="A482" s="10" t="s">
        <v>332</v>
      </c>
      <c r="B482" s="12">
        <v>3</v>
      </c>
      <c r="C482" s="70">
        <f>$B$83</f>
        <v>5</v>
      </c>
      <c r="D482" s="13">
        <f>$C$83</f>
        <v>15.088888888888889</v>
      </c>
      <c r="E482" s="14">
        <f>$D$83</f>
        <v>32.28888888888889</v>
      </c>
      <c r="F482" s="11"/>
      <c r="G482" s="11"/>
      <c r="H482" s="11"/>
      <c r="I482" s="45" t="s">
        <v>151</v>
      </c>
      <c r="J482" s="45"/>
      <c r="K482" s="11"/>
      <c r="L482" s="11"/>
      <c r="M482" s="36"/>
      <c r="N482" s="36"/>
      <c r="O482" s="36"/>
      <c r="P482" s="36"/>
      <c r="Q482" s="47"/>
    </row>
    <row r="483" spans="1:17" ht="12.75">
      <c r="A483" s="10" t="s">
        <v>335</v>
      </c>
      <c r="B483" s="12">
        <v>1</v>
      </c>
      <c r="C483" s="70">
        <v>8</v>
      </c>
      <c r="D483" s="13">
        <f>$C$10</f>
        <v>0</v>
      </c>
      <c r="E483" s="14">
        <f>$D$10</f>
        <v>5</v>
      </c>
      <c r="F483" s="11"/>
      <c r="G483" s="11"/>
      <c r="H483" s="11"/>
      <c r="I483" s="45" t="s">
        <v>471</v>
      </c>
      <c r="J483" s="45"/>
      <c r="K483" s="11"/>
      <c r="L483" s="11"/>
      <c r="M483" s="36"/>
      <c r="N483" s="36"/>
      <c r="O483" s="36"/>
      <c r="P483" s="36"/>
      <c r="Q483" s="47"/>
    </row>
    <row r="484" spans="1:17" ht="12.75">
      <c r="A484" s="10" t="s">
        <v>336</v>
      </c>
      <c r="B484" s="12">
        <v>1</v>
      </c>
      <c r="C484" s="70">
        <f>$B$68</f>
        <v>8</v>
      </c>
      <c r="D484" s="13">
        <f>$C$68</f>
        <v>0</v>
      </c>
      <c r="E484" s="14">
        <f>$D$68</f>
        <v>5</v>
      </c>
      <c r="F484" s="11"/>
      <c r="G484" s="11"/>
      <c r="H484" s="11"/>
      <c r="I484" s="45" t="s">
        <v>151</v>
      </c>
      <c r="J484" s="45"/>
      <c r="K484" s="11"/>
      <c r="L484" s="11"/>
      <c r="M484" s="36"/>
      <c r="N484" s="36"/>
      <c r="O484" s="36"/>
      <c r="P484" s="36"/>
      <c r="Q484" s="47"/>
    </row>
    <row r="485" spans="1:17" ht="12.75">
      <c r="A485" s="10" t="s">
        <v>338</v>
      </c>
      <c r="B485" s="12">
        <v>30</v>
      </c>
      <c r="C485" s="70">
        <f>$B$56</f>
        <v>5</v>
      </c>
      <c r="D485" s="13">
        <f>($C$56+$C$56+$C$55)/3</f>
        <v>53.29999999999999</v>
      </c>
      <c r="E485" s="14">
        <f>($D$56+$D$56+$D$55)/3</f>
        <v>69.1</v>
      </c>
      <c r="F485" s="11"/>
      <c r="G485" s="11"/>
      <c r="H485" s="11"/>
      <c r="I485" s="45" t="s">
        <v>151</v>
      </c>
      <c r="J485" s="45"/>
      <c r="K485" s="11"/>
      <c r="L485" s="11"/>
      <c r="M485" s="36"/>
      <c r="N485" s="36"/>
      <c r="O485" s="36"/>
      <c r="P485" s="36"/>
      <c r="Q485" s="47"/>
    </row>
    <row r="486" spans="1:17" ht="12.75">
      <c r="A486" s="10" t="s">
        <v>339</v>
      </c>
      <c r="B486" s="12">
        <v>3</v>
      </c>
      <c r="C486" s="70">
        <f>$B$22</f>
        <v>1</v>
      </c>
      <c r="D486" s="13">
        <f>$C$22</f>
        <v>97</v>
      </c>
      <c r="E486" s="14">
        <f>$D$22</f>
        <v>99</v>
      </c>
      <c r="F486" s="11"/>
      <c r="G486" s="11"/>
      <c r="H486" s="11"/>
      <c r="I486" s="45" t="s">
        <v>151</v>
      </c>
      <c r="J486" s="45"/>
      <c r="K486" s="11"/>
      <c r="L486" s="11"/>
      <c r="M486" s="36"/>
      <c r="N486" s="36"/>
      <c r="O486" s="36"/>
      <c r="P486" s="36"/>
      <c r="Q486" s="47"/>
    </row>
    <row r="487" spans="1:17" ht="12.75">
      <c r="A487" s="10" t="s">
        <v>340</v>
      </c>
      <c r="B487" s="12">
        <v>1</v>
      </c>
      <c r="C487" s="70">
        <f>$B$47</f>
        <v>7</v>
      </c>
      <c r="D487" s="13">
        <f>$C$47</f>
        <v>75</v>
      </c>
      <c r="E487" s="14">
        <f>$D$47</f>
        <v>85</v>
      </c>
      <c r="F487" s="11"/>
      <c r="G487" s="11"/>
      <c r="H487" s="11"/>
      <c r="I487" s="45" t="s">
        <v>151</v>
      </c>
      <c r="J487" s="45"/>
      <c r="K487" s="11"/>
      <c r="L487" s="11"/>
      <c r="M487" s="36"/>
      <c r="N487" s="36"/>
      <c r="O487" s="36"/>
      <c r="P487" s="36"/>
      <c r="Q487" s="47"/>
    </row>
    <row r="488" spans="1:17" ht="12.75">
      <c r="A488" s="10" t="s">
        <v>342</v>
      </c>
      <c r="B488" s="12">
        <v>2</v>
      </c>
      <c r="C488" s="70">
        <f>$B$98</f>
        <v>1</v>
      </c>
      <c r="D488" s="13">
        <f>$C$98</f>
        <v>97</v>
      </c>
      <c r="E488" s="14">
        <f>$D$98</f>
        <v>99</v>
      </c>
      <c r="F488" s="11"/>
      <c r="G488" s="11"/>
      <c r="H488" s="11"/>
      <c r="I488" s="45" t="s">
        <v>151</v>
      </c>
      <c r="J488" s="45"/>
      <c r="K488" s="11"/>
      <c r="L488" s="11"/>
      <c r="M488" s="36"/>
      <c r="N488" s="36"/>
      <c r="O488" s="36"/>
      <c r="P488" s="36"/>
      <c r="Q488" s="47"/>
    </row>
    <row r="489" spans="1:17" ht="12.75" customHeight="1">
      <c r="A489" s="10" t="s">
        <v>105</v>
      </c>
      <c r="B489" s="12">
        <v>3</v>
      </c>
      <c r="C489" s="70">
        <f>$B$58</f>
        <v>1</v>
      </c>
      <c r="D489" s="13">
        <f>$C$58</f>
        <v>97</v>
      </c>
      <c r="E489" s="14">
        <f>$D$58</f>
        <v>99</v>
      </c>
      <c r="F489" s="11"/>
      <c r="G489" s="11"/>
      <c r="H489" s="11"/>
      <c r="I489" s="45" t="s">
        <v>151</v>
      </c>
      <c r="J489" s="45"/>
      <c r="K489" s="11"/>
      <c r="L489" s="11"/>
      <c r="M489" s="36"/>
      <c r="N489" s="36"/>
      <c r="O489" s="36"/>
      <c r="P489" s="36"/>
      <c r="Q489" s="47"/>
    </row>
    <row r="490" spans="1:17" ht="12.75" customHeight="1">
      <c r="A490" s="10" t="s">
        <v>104</v>
      </c>
      <c r="B490" s="12">
        <v>3</v>
      </c>
      <c r="C490" s="70">
        <f>$B$49</f>
        <v>5</v>
      </c>
      <c r="D490" s="13">
        <f>$C$49</f>
        <v>62.8</v>
      </c>
      <c r="E490" s="14">
        <f>$D$49</f>
        <v>75.6</v>
      </c>
      <c r="F490" s="11"/>
      <c r="G490" s="11"/>
      <c r="H490" s="11"/>
      <c r="I490" s="45" t="s">
        <v>151</v>
      </c>
      <c r="J490" s="45"/>
      <c r="K490" s="11"/>
      <c r="L490" s="11"/>
      <c r="M490" s="36"/>
      <c r="N490" s="36"/>
      <c r="O490" s="36"/>
      <c r="P490" s="36"/>
      <c r="Q490" s="47"/>
    </row>
    <row r="491" spans="1:17" ht="12.75">
      <c r="A491" s="10" t="s">
        <v>343</v>
      </c>
      <c r="B491" s="12">
        <v>1</v>
      </c>
      <c r="C491" s="70">
        <f>$B$60</f>
        <v>1</v>
      </c>
      <c r="D491" s="13">
        <f>$C$60</f>
        <v>97</v>
      </c>
      <c r="E491" s="14">
        <f>$D$60</f>
        <v>99</v>
      </c>
      <c r="F491" s="11"/>
      <c r="G491" s="11"/>
      <c r="H491" s="11"/>
      <c r="I491" s="45" t="s">
        <v>151</v>
      </c>
      <c r="J491" s="45"/>
      <c r="K491" s="11"/>
      <c r="L491" s="11"/>
      <c r="M491" s="36"/>
      <c r="N491" s="36"/>
      <c r="O491" s="36"/>
      <c r="P491" s="36"/>
      <c r="Q491" s="47"/>
    </row>
    <row r="492" spans="1:17" ht="12.75">
      <c r="A492" s="10" t="s">
        <v>344</v>
      </c>
      <c r="B492" s="12">
        <v>1</v>
      </c>
      <c r="C492" s="70">
        <f>$B$26</f>
        <v>5</v>
      </c>
      <c r="D492" s="13">
        <f>$C$26</f>
        <v>65</v>
      </c>
      <c r="E492" s="14">
        <f>$D$26</f>
        <v>85</v>
      </c>
      <c r="F492" s="11"/>
      <c r="G492" s="11"/>
      <c r="H492" s="11"/>
      <c r="I492" s="45" t="s">
        <v>151</v>
      </c>
      <c r="J492" s="45"/>
      <c r="K492" s="11"/>
      <c r="L492" s="11"/>
      <c r="M492" s="36"/>
      <c r="N492" s="36"/>
      <c r="O492" s="36"/>
      <c r="P492" s="36"/>
      <c r="Q492" s="47"/>
    </row>
    <row r="493" spans="1:17" ht="12.75">
      <c r="A493" s="10" t="s">
        <v>345</v>
      </c>
      <c r="B493" s="12">
        <v>1</v>
      </c>
      <c r="C493" s="70">
        <f>$B$48</f>
        <v>8</v>
      </c>
      <c r="D493" s="13">
        <f>$C$48</f>
        <v>0</v>
      </c>
      <c r="E493" s="14">
        <f>$D$48</f>
        <v>14.733333333333334</v>
      </c>
      <c r="F493" s="11"/>
      <c r="G493" s="11"/>
      <c r="H493" s="11"/>
      <c r="I493" s="45" t="s">
        <v>151</v>
      </c>
      <c r="J493" s="45"/>
      <c r="K493" s="11"/>
      <c r="L493" s="11"/>
      <c r="M493" s="36"/>
      <c r="N493" s="36"/>
      <c r="O493" s="36"/>
      <c r="P493" s="36"/>
      <c r="Q493" s="47"/>
    </row>
    <row r="494" spans="1:17" ht="12.75">
      <c r="A494" s="10" t="s">
        <v>347</v>
      </c>
      <c r="B494" s="12">
        <v>1</v>
      </c>
      <c r="C494" s="70">
        <f>$B$61</f>
        <v>1</v>
      </c>
      <c r="D494" s="13">
        <f>$C$61</f>
        <v>97</v>
      </c>
      <c r="E494" s="14">
        <f>$D$61</f>
        <v>99</v>
      </c>
      <c r="F494" s="11"/>
      <c r="G494" s="11"/>
      <c r="H494" s="11"/>
      <c r="I494" s="45" t="s">
        <v>151</v>
      </c>
      <c r="J494" s="45"/>
      <c r="K494" s="11"/>
      <c r="L494" s="11"/>
      <c r="M494" s="36"/>
      <c r="N494" s="36"/>
      <c r="O494" s="36"/>
      <c r="P494" s="36"/>
      <c r="Q494" s="47"/>
    </row>
    <row r="495" spans="1:17" ht="12.75">
      <c r="A495" s="10" t="s">
        <v>348</v>
      </c>
      <c r="B495" s="12">
        <v>2</v>
      </c>
      <c r="C495" s="70">
        <f>$B$97</f>
        <v>1</v>
      </c>
      <c r="D495" s="13">
        <f>$C$97</f>
        <v>97</v>
      </c>
      <c r="E495" s="14">
        <f>$D$97</f>
        <v>99</v>
      </c>
      <c r="F495" s="11"/>
      <c r="G495" s="11"/>
      <c r="H495" s="11"/>
      <c r="I495" s="45" t="s">
        <v>151</v>
      </c>
      <c r="J495" s="45"/>
      <c r="K495" s="11"/>
      <c r="L495" s="11"/>
      <c r="M495" s="36"/>
      <c r="N495" s="36"/>
      <c r="O495" s="36"/>
      <c r="P495" s="36"/>
      <c r="Q495" s="47"/>
    </row>
    <row r="496" spans="1:17" ht="12.75">
      <c r="A496" s="10" t="s">
        <v>349</v>
      </c>
      <c r="B496" s="12">
        <v>1</v>
      </c>
      <c r="C496" s="70">
        <f>$B$98</f>
        <v>1</v>
      </c>
      <c r="D496" s="13">
        <f>($C$97+$C$98)/2</f>
        <v>97</v>
      </c>
      <c r="E496" s="14">
        <f>($D$97+$D$98)/2</f>
        <v>99</v>
      </c>
      <c r="F496" s="11"/>
      <c r="G496" s="11"/>
      <c r="H496" s="11"/>
      <c r="I496" s="45" t="s">
        <v>151</v>
      </c>
      <c r="J496" s="45"/>
      <c r="K496" s="11"/>
      <c r="L496" s="11"/>
      <c r="M496" s="36"/>
      <c r="N496" s="36"/>
      <c r="O496" s="36"/>
      <c r="P496" s="36"/>
      <c r="Q496" s="47"/>
    </row>
    <row r="497" spans="1:17" ht="12.75">
      <c r="A497" s="10" t="s">
        <v>350</v>
      </c>
      <c r="B497" s="12">
        <v>5</v>
      </c>
      <c r="C497" s="70">
        <f>$B$59</f>
        <v>1</v>
      </c>
      <c r="D497" s="13">
        <f>$C$59</f>
        <v>97</v>
      </c>
      <c r="E497" s="14">
        <f>$D$59</f>
        <v>99</v>
      </c>
      <c r="F497" s="11"/>
      <c r="G497" s="11"/>
      <c r="H497" s="11"/>
      <c r="I497" s="45" t="s">
        <v>151</v>
      </c>
      <c r="J497" s="45"/>
      <c r="K497" s="11"/>
      <c r="L497" s="11"/>
      <c r="M497" s="36"/>
      <c r="N497" s="36"/>
      <c r="O497" s="36"/>
      <c r="P497" s="36"/>
      <c r="Q497" s="47"/>
    </row>
    <row r="498" spans="1:17" ht="12.75">
      <c r="A498" s="10" t="s">
        <v>351</v>
      </c>
      <c r="B498" s="12">
        <v>2</v>
      </c>
      <c r="C498" s="70">
        <f>$B$69</f>
        <v>4</v>
      </c>
      <c r="D498" s="13">
        <f>$C$69</f>
        <v>47.422222222222224</v>
      </c>
      <c r="E498" s="14">
        <f>$D$69</f>
        <v>58.62222222222222</v>
      </c>
      <c r="F498" s="11"/>
      <c r="G498" s="11"/>
      <c r="H498" s="11"/>
      <c r="I498" s="45" t="s">
        <v>151</v>
      </c>
      <c r="J498" s="45"/>
      <c r="K498" s="11"/>
      <c r="L498" s="11"/>
      <c r="M498" s="36"/>
      <c r="N498" s="36"/>
      <c r="O498" s="36"/>
      <c r="P498" s="36"/>
      <c r="Q498" s="47"/>
    </row>
    <row r="499" spans="1:17" ht="12.75">
      <c r="A499" s="10" t="s">
        <v>352</v>
      </c>
      <c r="B499" s="12">
        <v>2</v>
      </c>
      <c r="C499" s="70">
        <f>$B$61</f>
        <v>1</v>
      </c>
      <c r="D499" s="13">
        <f>$C$61</f>
        <v>97</v>
      </c>
      <c r="E499" s="14">
        <f>$D$61</f>
        <v>99</v>
      </c>
      <c r="F499" s="11"/>
      <c r="G499" s="11"/>
      <c r="H499" s="11"/>
      <c r="I499" s="45" t="s">
        <v>151</v>
      </c>
      <c r="J499" s="45"/>
      <c r="K499" s="11"/>
      <c r="L499" s="11"/>
      <c r="M499" s="36"/>
      <c r="N499" s="36"/>
      <c r="O499" s="36"/>
      <c r="P499" s="36"/>
      <c r="Q499" s="47"/>
    </row>
    <row r="500" spans="1:17" ht="12.75">
      <c r="A500" s="10" t="s">
        <v>353</v>
      </c>
      <c r="B500" s="12">
        <v>4</v>
      </c>
      <c r="C500" s="70">
        <f>$B$61</f>
        <v>1</v>
      </c>
      <c r="D500" s="13">
        <f>$C$61</f>
        <v>97</v>
      </c>
      <c r="E500" s="14">
        <f>$D$61</f>
        <v>99</v>
      </c>
      <c r="F500" s="11"/>
      <c r="G500" s="11"/>
      <c r="H500" s="11"/>
      <c r="I500" s="45" t="s">
        <v>151</v>
      </c>
      <c r="J500" s="45"/>
      <c r="K500" s="11"/>
      <c r="L500" s="11"/>
      <c r="M500" s="36"/>
      <c r="N500" s="36"/>
      <c r="O500" s="36"/>
      <c r="P500" s="36"/>
      <c r="Q500" s="47"/>
    </row>
    <row r="501" spans="1:17" ht="12.75">
      <c r="A501" s="10" t="s">
        <v>355</v>
      </c>
      <c r="B501" s="12">
        <v>1</v>
      </c>
      <c r="C501" s="70">
        <f>$B$50</f>
        <v>1</v>
      </c>
      <c r="D501" s="13">
        <f>$C$50</f>
        <v>97</v>
      </c>
      <c r="E501" s="14">
        <f>$D$50</f>
        <v>99</v>
      </c>
      <c r="F501" s="11"/>
      <c r="G501" s="11"/>
      <c r="H501" s="11"/>
      <c r="I501" s="45" t="s">
        <v>151</v>
      </c>
      <c r="J501" s="45"/>
      <c r="K501" s="11"/>
      <c r="L501" s="11"/>
      <c r="M501" s="36"/>
      <c r="N501" s="36"/>
      <c r="O501" s="36"/>
      <c r="P501" s="36"/>
      <c r="Q501" s="47"/>
    </row>
    <row r="502" spans="1:17" ht="12.75">
      <c r="A502" s="10" t="s">
        <v>356</v>
      </c>
      <c r="B502" s="12">
        <v>3</v>
      </c>
      <c r="C502" s="70">
        <f>$B$22</f>
        <v>1</v>
      </c>
      <c r="D502" s="13">
        <f>$C$22</f>
        <v>97</v>
      </c>
      <c r="E502" s="14">
        <f>$D$22</f>
        <v>99</v>
      </c>
      <c r="F502" s="11"/>
      <c r="G502" s="11"/>
      <c r="H502" s="11"/>
      <c r="I502" s="45" t="s">
        <v>151</v>
      </c>
      <c r="J502" s="45"/>
      <c r="K502" s="11"/>
      <c r="L502" s="11"/>
      <c r="M502" s="36"/>
      <c r="N502" s="36"/>
      <c r="O502" s="36"/>
      <c r="P502" s="36"/>
      <c r="Q502" s="47"/>
    </row>
    <row r="503" spans="1:17" ht="12.75" customHeight="1">
      <c r="A503" s="10" t="s">
        <v>357</v>
      </c>
      <c r="B503" s="12">
        <v>1</v>
      </c>
      <c r="C503" s="70">
        <f>$B$26</f>
        <v>5</v>
      </c>
      <c r="D503" s="13">
        <f>($C$22+$C$26)/2</f>
        <v>81</v>
      </c>
      <c r="E503" s="14">
        <f>($D$22+$D$26)/2</f>
        <v>92</v>
      </c>
      <c r="F503" s="11"/>
      <c r="G503" s="11"/>
      <c r="H503" s="11"/>
      <c r="I503" s="45" t="s">
        <v>151</v>
      </c>
      <c r="J503" s="45"/>
      <c r="K503" s="11"/>
      <c r="L503" s="11"/>
      <c r="M503" s="36"/>
      <c r="N503" s="36"/>
      <c r="O503" s="36"/>
      <c r="P503" s="36"/>
      <c r="Q503" s="47"/>
    </row>
    <row r="504" spans="1:17" ht="12.75">
      <c r="A504" s="10" t="s">
        <v>358</v>
      </c>
      <c r="B504" s="12">
        <v>1</v>
      </c>
      <c r="C504" s="70">
        <f>$B$57</f>
        <v>8</v>
      </c>
      <c r="D504" s="13">
        <f>$C$57</f>
        <v>0</v>
      </c>
      <c r="E504" s="14">
        <f>$D$57</f>
        <v>14.733333333333334</v>
      </c>
      <c r="F504" s="11"/>
      <c r="G504" s="11"/>
      <c r="H504" s="11"/>
      <c r="I504" s="45" t="s">
        <v>151</v>
      </c>
      <c r="J504" s="45"/>
      <c r="K504" s="11"/>
      <c r="L504" s="11"/>
      <c r="M504" s="36"/>
      <c r="N504" s="36"/>
      <c r="O504" s="36"/>
      <c r="P504" s="36"/>
      <c r="Q504" s="47"/>
    </row>
    <row r="505" spans="1:17" ht="12.75">
      <c r="A505" s="10" t="s">
        <v>359</v>
      </c>
      <c r="B505" s="12">
        <v>2</v>
      </c>
      <c r="C505" s="70">
        <f>$B$57</f>
        <v>8</v>
      </c>
      <c r="D505" s="13">
        <f>$C$57</f>
        <v>0</v>
      </c>
      <c r="E505" s="14">
        <f>$D$57</f>
        <v>14.733333333333334</v>
      </c>
      <c r="F505" s="11"/>
      <c r="G505" s="11"/>
      <c r="H505" s="11"/>
      <c r="I505" s="45" t="s">
        <v>151</v>
      </c>
      <c r="J505" s="45"/>
      <c r="K505" s="11"/>
      <c r="L505" s="11"/>
      <c r="M505" s="36"/>
      <c r="N505" s="36"/>
      <c r="O505" s="36"/>
      <c r="P505" s="36"/>
      <c r="Q505" s="47"/>
    </row>
    <row r="506" spans="1:17" ht="12.75">
      <c r="A506" s="10" t="s">
        <v>360</v>
      </c>
      <c r="B506" s="12">
        <v>1</v>
      </c>
      <c r="C506" s="70">
        <f>$B$33</f>
        <v>1</v>
      </c>
      <c r="D506" s="13">
        <f>$C$33</f>
        <v>97</v>
      </c>
      <c r="E506" s="14">
        <f>$D$33</f>
        <v>99</v>
      </c>
      <c r="F506" s="11"/>
      <c r="G506" s="11"/>
      <c r="H506" s="11"/>
      <c r="I506" s="45" t="s">
        <v>151</v>
      </c>
      <c r="J506" s="45"/>
      <c r="K506" s="11"/>
      <c r="L506" s="11"/>
      <c r="M506" s="36"/>
      <c r="N506" s="36"/>
      <c r="O506" s="36"/>
      <c r="P506" s="36"/>
      <c r="Q506" s="47"/>
    </row>
    <row r="507" spans="1:17" ht="12.75">
      <c r="A507" s="10" t="s">
        <v>361</v>
      </c>
      <c r="B507" s="12">
        <v>1</v>
      </c>
      <c r="C507" s="70">
        <f>$B$75</f>
        <v>1</v>
      </c>
      <c r="D507" s="13">
        <f>$C$75</f>
        <v>97</v>
      </c>
      <c r="E507" s="14">
        <f>$D$75</f>
        <v>99</v>
      </c>
      <c r="F507" s="11"/>
      <c r="G507" s="11"/>
      <c r="H507" s="11"/>
      <c r="I507" s="45" t="s">
        <v>151</v>
      </c>
      <c r="J507" s="45"/>
      <c r="K507" s="11"/>
      <c r="L507" s="11"/>
      <c r="M507" s="36"/>
      <c r="N507" s="36"/>
      <c r="O507" s="36"/>
      <c r="P507" s="36"/>
      <c r="Q507" s="47"/>
    </row>
    <row r="508" spans="1:17" ht="12.75">
      <c r="A508" s="10" t="s">
        <v>362</v>
      </c>
      <c r="B508" s="12">
        <v>1</v>
      </c>
      <c r="C508" s="70">
        <f>$B$22</f>
        <v>1</v>
      </c>
      <c r="D508" s="13">
        <f>$C$22</f>
        <v>97</v>
      </c>
      <c r="E508" s="14">
        <f>$D$22</f>
        <v>99</v>
      </c>
      <c r="F508" s="11"/>
      <c r="G508" s="11"/>
      <c r="H508" s="11"/>
      <c r="I508" s="45" t="s">
        <v>151</v>
      </c>
      <c r="J508" s="45"/>
      <c r="K508" s="11"/>
      <c r="L508" s="11"/>
      <c r="M508" s="36"/>
      <c r="N508" s="36"/>
      <c r="O508" s="36"/>
      <c r="P508" s="36"/>
      <c r="Q508" s="47"/>
    </row>
    <row r="509" spans="1:17" ht="12.75">
      <c r="A509" s="10" t="s">
        <v>363</v>
      </c>
      <c r="B509" s="12">
        <v>2</v>
      </c>
      <c r="C509" s="70">
        <v>1</v>
      </c>
      <c r="D509" s="13">
        <f>$C$12-7</f>
        <v>90</v>
      </c>
      <c r="E509" s="14">
        <f>$D$12-5</f>
        <v>94</v>
      </c>
      <c r="F509" s="11"/>
      <c r="G509" s="11"/>
      <c r="H509" s="11"/>
      <c r="I509" s="45" t="s">
        <v>153</v>
      </c>
      <c r="J509" s="45"/>
      <c r="K509" s="11"/>
      <c r="L509" s="11"/>
      <c r="M509" s="36"/>
      <c r="N509" s="36"/>
      <c r="O509" s="36"/>
      <c r="P509" s="36"/>
      <c r="Q509" s="47"/>
    </row>
    <row r="510" spans="1:17" ht="12.75">
      <c r="A510" s="10" t="s">
        <v>364</v>
      </c>
      <c r="B510" s="12">
        <v>6</v>
      </c>
      <c r="C510" s="70">
        <v>1</v>
      </c>
      <c r="D510" s="13">
        <f>$C$12</f>
        <v>97</v>
      </c>
      <c r="E510" s="14">
        <f>$D$12</f>
        <v>99</v>
      </c>
      <c r="F510" s="11"/>
      <c r="G510" s="11"/>
      <c r="H510" s="11"/>
      <c r="I510" s="42" t="s">
        <v>120</v>
      </c>
      <c r="J510" s="45"/>
      <c r="K510" s="11"/>
      <c r="L510" s="11"/>
      <c r="M510" s="36"/>
      <c r="N510" s="36"/>
      <c r="O510" s="36"/>
      <c r="P510" s="36"/>
      <c r="Q510" s="47"/>
    </row>
    <row r="511" spans="1:17" ht="12.75">
      <c r="A511" s="10" t="s">
        <v>365</v>
      </c>
      <c r="B511" s="12">
        <v>2</v>
      </c>
      <c r="C511" s="70">
        <v>9</v>
      </c>
      <c r="D511" s="13">
        <f>$C$12-10</f>
        <v>87</v>
      </c>
      <c r="E511" s="14">
        <f>$D$12-5</f>
        <v>94</v>
      </c>
      <c r="F511" s="11"/>
      <c r="G511" s="11"/>
      <c r="H511" s="11"/>
      <c r="I511" s="45" t="s">
        <v>620</v>
      </c>
      <c r="J511" s="45"/>
      <c r="K511" s="11"/>
      <c r="L511" s="11"/>
      <c r="M511" s="36"/>
      <c r="N511" s="36"/>
      <c r="O511" s="36"/>
      <c r="P511" s="36"/>
      <c r="Q511" s="47"/>
    </row>
    <row r="512" spans="1:17" ht="12.75">
      <c r="A512" s="10" t="s">
        <v>366</v>
      </c>
      <c r="B512" s="12">
        <v>3</v>
      </c>
      <c r="C512" s="70">
        <v>1</v>
      </c>
      <c r="D512" s="13">
        <f>$C$12</f>
        <v>97</v>
      </c>
      <c r="E512" s="14">
        <f>$D$12</f>
        <v>99</v>
      </c>
      <c r="F512" s="11"/>
      <c r="G512" s="11"/>
      <c r="H512" s="11"/>
      <c r="I512" s="45" t="s">
        <v>114</v>
      </c>
      <c r="J512" s="45"/>
      <c r="K512" s="11"/>
      <c r="L512" s="11"/>
      <c r="M512" s="36"/>
      <c r="N512" s="36"/>
      <c r="O512" s="36"/>
      <c r="P512" s="36"/>
      <c r="Q512" s="47"/>
    </row>
    <row r="513" spans="1:17" ht="12.75">
      <c r="A513" s="10" t="s">
        <v>367</v>
      </c>
      <c r="B513" s="12">
        <v>2</v>
      </c>
      <c r="C513" s="70">
        <v>1</v>
      </c>
      <c r="D513" s="13">
        <f>$C$12</f>
        <v>97</v>
      </c>
      <c r="E513" s="14">
        <f>$D$12</f>
        <v>99</v>
      </c>
      <c r="F513" s="11"/>
      <c r="G513" s="11"/>
      <c r="H513" s="11"/>
      <c r="I513" s="45" t="s">
        <v>155</v>
      </c>
      <c r="J513" s="45"/>
      <c r="K513" s="11"/>
      <c r="L513" s="11"/>
      <c r="M513" s="36"/>
      <c r="N513" s="36"/>
      <c r="O513" s="36"/>
      <c r="P513" s="36"/>
      <c r="Q513" s="47"/>
    </row>
    <row r="514" spans="1:17" ht="12.75">
      <c r="A514" s="10" t="s">
        <v>368</v>
      </c>
      <c r="B514" s="12">
        <f>SUM(B445:B513)</f>
        <v>656</v>
      </c>
      <c r="C514" s="70"/>
      <c r="D514" s="30">
        <f>SUMPRODUCT(B445:B513,D445:D513)/100</f>
        <v>468.94892111111125</v>
      </c>
      <c r="E514" s="35">
        <f>SUMPRODUCT(B445:B513,E445:E513)/100</f>
        <v>515.3621788888889</v>
      </c>
      <c r="F514" s="11"/>
      <c r="G514" s="11"/>
      <c r="H514" s="11"/>
      <c r="I514" s="11"/>
      <c r="J514" s="11"/>
      <c r="K514" s="11"/>
      <c r="L514" s="11"/>
      <c r="M514" s="36"/>
      <c r="N514" s="36"/>
      <c r="O514" s="36"/>
      <c r="P514" s="36"/>
      <c r="Q514" s="47"/>
    </row>
    <row r="515" spans="1:17" ht="13.5" customHeight="1">
      <c r="A515" s="17" t="s">
        <v>369</v>
      </c>
      <c r="B515" s="9"/>
      <c r="C515" s="66"/>
      <c r="D515" s="18">
        <f>100*D514/B514</f>
        <v>71.48611602303525</v>
      </c>
      <c r="E515" s="19">
        <f>100*E514/B514</f>
        <v>78.56130775745258</v>
      </c>
      <c r="F515" s="8"/>
      <c r="G515" s="8"/>
      <c r="H515" s="8"/>
      <c r="I515" s="8"/>
      <c r="J515" s="8"/>
      <c r="K515" s="8"/>
      <c r="L515" s="8"/>
      <c r="M515" s="39"/>
      <c r="N515" s="39"/>
      <c r="O515" s="39"/>
      <c r="P515" s="39"/>
      <c r="Q515" s="48"/>
    </row>
    <row r="516" spans="1:14" ht="12.75">
      <c r="A516" s="181" t="s">
        <v>907</v>
      </c>
      <c r="B516" s="5"/>
      <c r="C516" s="182" t="s">
        <v>908</v>
      </c>
      <c r="D516" s="183"/>
      <c r="E516" s="213"/>
      <c r="F516" s="15"/>
      <c r="G516" s="15"/>
      <c r="H516" s="11"/>
      <c r="I516" s="11"/>
      <c r="J516" s="11"/>
      <c r="K516" s="11"/>
      <c r="L516" s="11"/>
      <c r="M516" s="11"/>
      <c r="N516" s="11"/>
    </row>
    <row r="517" spans="1:14" ht="12.75">
      <c r="A517" s="31" t="s">
        <v>898</v>
      </c>
      <c r="B517" s="30">
        <f>SUMIF($C$464:$C$513,"1",$B$464:$B$513)+$C$298</f>
        <v>364.0300000000001</v>
      </c>
      <c r="C517" s="122">
        <v>1</v>
      </c>
      <c r="D517" s="216">
        <f>B517+B518+B522</f>
        <v>364.0300000000001</v>
      </c>
      <c r="E517" s="47"/>
      <c r="F517" s="15"/>
      <c r="G517" s="15"/>
      <c r="H517" s="11"/>
      <c r="I517" s="11"/>
      <c r="J517" s="11"/>
      <c r="K517" s="11"/>
      <c r="L517" s="11"/>
      <c r="M517" s="11"/>
      <c r="N517" s="11"/>
    </row>
    <row r="518" spans="1:14" ht="12.75">
      <c r="A518" s="31" t="s">
        <v>903</v>
      </c>
      <c r="B518" s="30">
        <f>SUMIF($C$464:$C$513,"2",$B$464:$B$513)+$C$299</f>
        <v>0</v>
      </c>
      <c r="C518" s="122">
        <v>2</v>
      </c>
      <c r="D518" s="216">
        <f>B523</f>
        <v>58.75</v>
      </c>
      <c r="E518" s="47"/>
      <c r="F518" s="15"/>
      <c r="G518" s="15"/>
      <c r="H518" s="11"/>
      <c r="I518" s="11"/>
      <c r="J518" s="11"/>
      <c r="K518" s="11"/>
      <c r="L518" s="11"/>
      <c r="M518" s="11"/>
      <c r="N518" s="11"/>
    </row>
    <row r="519" spans="1:14" ht="22.5">
      <c r="A519" s="31" t="s">
        <v>902</v>
      </c>
      <c r="B519" s="30">
        <f>SUMIF($C$464:$C$513,"3",$B$464:$B$513)+$C$300</f>
        <v>0.42</v>
      </c>
      <c r="C519" s="122">
        <v>3</v>
      </c>
      <c r="D519" s="216">
        <f>B519</f>
        <v>0.42</v>
      </c>
      <c r="E519" s="47"/>
      <c r="F519" s="15"/>
      <c r="G519" s="15"/>
      <c r="H519" s="11"/>
      <c r="I519" s="11"/>
      <c r="J519" s="11"/>
      <c r="K519" s="11"/>
      <c r="L519" s="11"/>
      <c r="M519" s="11"/>
      <c r="N519" s="11"/>
    </row>
    <row r="520" spans="1:14" ht="12.75" customHeight="1">
      <c r="A520" s="31" t="s">
        <v>904</v>
      </c>
      <c r="B520" s="30">
        <f>SUMIF($C$464:$C$513,"4",$B$464:$B$513)+$C$301</f>
        <v>10.06</v>
      </c>
      <c r="C520" s="122">
        <v>4</v>
      </c>
      <c r="D520" s="216">
        <f>B520</f>
        <v>10.06</v>
      </c>
      <c r="E520" s="47"/>
      <c r="F520" s="15"/>
      <c r="G520" s="15"/>
      <c r="H520" s="11"/>
      <c r="I520" s="11"/>
      <c r="J520" s="11"/>
      <c r="K520" s="11"/>
      <c r="L520" s="11"/>
      <c r="M520" s="11"/>
      <c r="N520" s="11"/>
    </row>
    <row r="521" spans="1:14" ht="12.75">
      <c r="A521" s="31" t="s">
        <v>905</v>
      </c>
      <c r="B521" s="30">
        <f>SUMIF($C$464:$C$513,"5",$B$464:$B$513)+$C$302</f>
        <v>118.29000000000002</v>
      </c>
      <c r="C521" s="122">
        <v>5</v>
      </c>
      <c r="D521" s="216">
        <f>B521</f>
        <v>118.29000000000002</v>
      </c>
      <c r="E521" s="47"/>
      <c r="F521" s="15"/>
      <c r="G521" s="15"/>
      <c r="H521" s="11"/>
      <c r="I521" s="11"/>
      <c r="J521" s="11"/>
      <c r="K521" s="11"/>
      <c r="L521" s="11"/>
      <c r="M521" s="11"/>
      <c r="N521" s="11"/>
    </row>
    <row r="522" spans="1:14" ht="12.75">
      <c r="A522" s="31" t="s">
        <v>900</v>
      </c>
      <c r="B522" s="30">
        <f>SUMIF($C$464:$C$513,"6",$B$464:$B$513)+$C$303</f>
        <v>0</v>
      </c>
      <c r="C522" s="122">
        <v>6</v>
      </c>
      <c r="D522" s="216">
        <f>B524</f>
        <v>93.44999999999999</v>
      </c>
      <c r="E522" s="47"/>
      <c r="F522" s="15"/>
      <c r="G522" s="15"/>
      <c r="H522" s="11"/>
      <c r="I522" s="11"/>
      <c r="J522" s="11"/>
      <c r="K522" s="11"/>
      <c r="L522" s="11"/>
      <c r="M522" s="11"/>
      <c r="N522" s="11"/>
    </row>
    <row r="523" spans="1:14" ht="12.75">
      <c r="A523" s="31" t="s">
        <v>899</v>
      </c>
      <c r="B523" s="30">
        <f>SUMIF($C$464:$C$513,"7",$B$464:$B$513)+$C$304</f>
        <v>58.75</v>
      </c>
      <c r="C523" s="122">
        <v>7</v>
      </c>
      <c r="D523" s="216">
        <f>B525</f>
        <v>2</v>
      </c>
      <c r="E523" s="47"/>
      <c r="F523" s="15"/>
      <c r="G523" s="15"/>
      <c r="H523" s="11"/>
      <c r="I523" s="11"/>
      <c r="J523" s="11"/>
      <c r="K523" s="11"/>
      <c r="L523" s="11"/>
      <c r="M523" s="11"/>
      <c r="N523" s="11"/>
    </row>
    <row r="524" spans="1:14" ht="12.75">
      <c r="A524" s="31" t="s">
        <v>901</v>
      </c>
      <c r="B524" s="30">
        <f>SUMIF($C$464:$C$513,"8",$B$464:$B$513)+$C$305</f>
        <v>93.44999999999999</v>
      </c>
      <c r="C524" s="36"/>
      <c r="D524" s="221"/>
      <c r="E524" s="47"/>
      <c r="F524" s="15"/>
      <c r="G524" s="15"/>
      <c r="H524" s="11"/>
      <c r="I524" s="11"/>
      <c r="J524" s="11"/>
      <c r="K524" s="11"/>
      <c r="L524" s="11"/>
      <c r="M524" s="11"/>
      <c r="N524" s="11"/>
    </row>
    <row r="525" spans="1:14" ht="12.75">
      <c r="A525" s="31" t="s">
        <v>906</v>
      </c>
      <c r="B525" s="30">
        <f>SUMIF($C$464:$C$513,"9",$B$464:$B$513)+$C$306</f>
        <v>2</v>
      </c>
      <c r="C525" s="36"/>
      <c r="D525" s="217"/>
      <c r="E525" s="16"/>
      <c r="F525" s="15"/>
      <c r="G525" s="15"/>
      <c r="H525" s="11"/>
      <c r="I525" s="11"/>
      <c r="J525" s="11"/>
      <c r="K525" s="11"/>
      <c r="L525" s="11"/>
      <c r="M525" s="11"/>
      <c r="N525" s="11"/>
    </row>
    <row r="526" spans="1:14" ht="12.75">
      <c r="A526" s="173" t="s">
        <v>368</v>
      </c>
      <c r="B526" s="215">
        <f>SUM(B517:B525)</f>
        <v>647.0000000000002</v>
      </c>
      <c r="C526" s="39"/>
      <c r="D526" s="215">
        <f>SUM(D517:D525)</f>
        <v>647.0000000000002</v>
      </c>
      <c r="E526" s="21"/>
      <c r="F526" s="15"/>
      <c r="G526" s="15"/>
      <c r="H526" s="11"/>
      <c r="I526" s="11"/>
      <c r="J526" s="11"/>
      <c r="K526" s="11"/>
      <c r="L526" s="11"/>
      <c r="M526" s="11"/>
      <c r="N526" s="11"/>
    </row>
    <row r="527" spans="1:14" ht="12.75">
      <c r="A527" s="15"/>
      <c r="B527" s="15"/>
      <c r="C527" s="15"/>
      <c r="D527" s="135"/>
      <c r="E527" s="135"/>
      <c r="F527" s="15"/>
      <c r="G527" s="15"/>
      <c r="H527" s="11"/>
      <c r="I527" s="11"/>
      <c r="J527" s="11"/>
      <c r="K527" s="11"/>
      <c r="L527" s="11"/>
      <c r="M527" s="11"/>
      <c r="N527" s="11"/>
    </row>
    <row r="528" spans="1:13" ht="82.5" customHeight="1">
      <c r="A528" s="301" t="s">
        <v>106</v>
      </c>
      <c r="B528" s="302"/>
      <c r="C528" s="302"/>
      <c r="D528" s="302"/>
      <c r="E528" s="302"/>
      <c r="F528" s="302"/>
      <c r="G528" s="302"/>
      <c r="H528" s="302"/>
      <c r="I528" s="302"/>
      <c r="J528" s="302"/>
      <c r="K528" s="302"/>
      <c r="L528" s="302"/>
      <c r="M528" s="303"/>
    </row>
  </sheetData>
  <mergeCells count="18">
    <mergeCell ref="A437:M437"/>
    <mergeCell ref="A528:M528"/>
    <mergeCell ref="D443:E443"/>
    <mergeCell ref="A309:M309"/>
    <mergeCell ref="A373:M373"/>
    <mergeCell ref="D315:E315"/>
    <mergeCell ref="H379:I379"/>
    <mergeCell ref="D379:E379"/>
    <mergeCell ref="A118:M118"/>
    <mergeCell ref="Q125:R125"/>
    <mergeCell ref="B125:B126"/>
    <mergeCell ref="E125:F125"/>
    <mergeCell ref="I125:J125"/>
    <mergeCell ref="C125:C126"/>
    <mergeCell ref="G125:G126"/>
    <mergeCell ref="K125:K126"/>
    <mergeCell ref="O125:O126"/>
    <mergeCell ref="M125:N125"/>
  </mergeCells>
  <printOptions/>
  <pageMargins left="0.75" right="0.75" top="1" bottom="1" header="0" footer="0"/>
  <pageSetup horizontalDpi="1200" verticalDpi="1200" orientation="portrait" r:id="rId3"/>
  <legacyDrawing r:id="rId2"/>
</worksheet>
</file>

<file path=xl/worksheets/sheet3.xml><?xml version="1.0" encoding="utf-8"?>
<worksheet xmlns="http://schemas.openxmlformats.org/spreadsheetml/2006/main" xmlns:r="http://schemas.openxmlformats.org/officeDocument/2006/relationships">
  <dimension ref="A2:Q104"/>
  <sheetViews>
    <sheetView workbookViewId="0" topLeftCell="A78">
      <selection activeCell="K87" sqref="K87"/>
    </sheetView>
  </sheetViews>
  <sheetFormatPr defaultColWidth="9.140625" defaultRowHeight="12.75"/>
  <cols>
    <col min="1" max="1" width="27.00390625" style="0" customWidth="1"/>
    <col min="2" max="2" width="6.140625" style="0" customWidth="1"/>
    <col min="3" max="3" width="4.57421875" style="0" customWidth="1"/>
    <col min="4" max="4" width="5.57421875" style="0" customWidth="1"/>
    <col min="5" max="5" width="6.00390625" style="0" customWidth="1"/>
    <col min="6" max="6" width="6.8515625" style="0" customWidth="1"/>
    <col min="7" max="8" width="6.7109375" style="0" customWidth="1"/>
    <col min="9" max="9" width="6.421875" style="0" customWidth="1"/>
    <col min="10" max="10" width="7.00390625" style="0" customWidth="1"/>
    <col min="11" max="11" width="10.8515625" style="0" customWidth="1"/>
    <col min="12" max="12" width="9.7109375" style="0" customWidth="1"/>
    <col min="13" max="13" width="52.00390625" style="0" customWidth="1"/>
    <col min="14" max="14" width="6.8515625" style="0" customWidth="1"/>
    <col min="15" max="15" width="11.7109375" style="0" customWidth="1"/>
    <col min="16" max="16" width="10.00390625" style="0" customWidth="1"/>
    <col min="17" max="17" width="39.00390625" style="0" customWidth="1"/>
  </cols>
  <sheetData>
    <row r="2" ht="20.25">
      <c r="A2" s="64" t="s">
        <v>131</v>
      </c>
    </row>
    <row r="3" ht="15">
      <c r="A3" s="65" t="s">
        <v>19</v>
      </c>
    </row>
    <row r="6" spans="3:6" ht="12.75">
      <c r="C6" s="67" t="s">
        <v>425</v>
      </c>
      <c r="D6" s="68"/>
      <c r="E6" s="68"/>
      <c r="F6" s="51"/>
    </row>
    <row r="7" spans="1:11" ht="12.75">
      <c r="A7" s="2"/>
      <c r="B7" s="2"/>
      <c r="C7" s="144">
        <f>Charts!$D$12</f>
        <v>45</v>
      </c>
      <c r="D7" s="45"/>
      <c r="E7" s="45" t="s">
        <v>890</v>
      </c>
      <c r="F7" s="42"/>
      <c r="G7" s="2"/>
      <c r="H7" s="2"/>
      <c r="I7" s="2"/>
      <c r="J7" s="2"/>
      <c r="K7" s="2"/>
    </row>
    <row r="8" spans="1:11" ht="12.75">
      <c r="A8" s="2"/>
      <c r="B8" s="2"/>
      <c r="C8" s="144">
        <f>Charts!$D$13</f>
        <v>30</v>
      </c>
      <c r="D8" s="45"/>
      <c r="E8" s="45" t="s">
        <v>889</v>
      </c>
      <c r="F8" s="42"/>
      <c r="G8" s="2"/>
      <c r="H8" s="2"/>
      <c r="I8" s="2"/>
      <c r="J8" s="2"/>
      <c r="K8" s="2"/>
    </row>
    <row r="9" spans="1:11" ht="12.75">
      <c r="A9" s="2"/>
      <c r="B9" s="2"/>
      <c r="C9" s="52" t="s">
        <v>305</v>
      </c>
      <c r="D9" s="49" t="s">
        <v>306</v>
      </c>
      <c r="E9" s="45"/>
      <c r="F9" s="42"/>
      <c r="G9" s="2"/>
      <c r="H9" s="2"/>
      <c r="I9" s="2"/>
      <c r="J9" s="2"/>
      <c r="K9" s="2"/>
    </row>
    <row r="10" spans="1:11" ht="12.75">
      <c r="A10" s="2"/>
      <c r="B10" s="2"/>
      <c r="C10" s="144">
        <f>Charts!$D$15</f>
        <v>0</v>
      </c>
      <c r="D10" s="143">
        <f>Charts!$E$15</f>
        <v>5</v>
      </c>
      <c r="E10" s="45" t="s">
        <v>303</v>
      </c>
      <c r="F10" s="42"/>
      <c r="G10" s="2"/>
      <c r="H10" s="2"/>
      <c r="I10" s="2"/>
      <c r="J10" s="2"/>
      <c r="K10" s="2"/>
    </row>
    <row r="11" spans="1:11" ht="12.75">
      <c r="A11" s="2"/>
      <c r="B11" s="2"/>
      <c r="C11" s="144">
        <f>Charts!$D$16</f>
        <v>97</v>
      </c>
      <c r="D11" s="143">
        <f>Charts!$E$16</f>
        <v>99</v>
      </c>
      <c r="E11" s="45" t="s">
        <v>410</v>
      </c>
      <c r="F11" s="42"/>
      <c r="G11" s="2"/>
      <c r="H11" s="2"/>
      <c r="I11" s="2"/>
      <c r="J11" s="2"/>
      <c r="K11" s="2"/>
    </row>
    <row r="12" spans="1:11" ht="12.75">
      <c r="A12" s="2"/>
      <c r="B12" s="2"/>
      <c r="C12" s="144">
        <f>Charts!$D$17</f>
        <v>97</v>
      </c>
      <c r="D12" s="143">
        <f>Charts!$E$17</f>
        <v>99</v>
      </c>
      <c r="E12" s="45" t="s">
        <v>411</v>
      </c>
      <c r="F12" s="69"/>
      <c r="G12" s="2"/>
      <c r="H12" s="2"/>
      <c r="I12" s="2"/>
      <c r="J12" s="2"/>
      <c r="K12" s="2"/>
    </row>
    <row r="13" spans="1:11" ht="12.75">
      <c r="A13" s="2"/>
      <c r="B13" s="2"/>
      <c r="C13" s="144">
        <f>Charts!$D$18</f>
        <v>75</v>
      </c>
      <c r="D13" s="143">
        <f>Charts!$E$18</f>
        <v>85</v>
      </c>
      <c r="E13" s="45" t="s">
        <v>408</v>
      </c>
      <c r="F13" s="42"/>
      <c r="G13" s="2"/>
      <c r="H13" s="2"/>
      <c r="I13" s="2"/>
      <c r="J13" s="2"/>
      <c r="K13" s="2"/>
    </row>
    <row r="14" spans="1:11" ht="12.75">
      <c r="A14" s="2"/>
      <c r="B14" s="2"/>
      <c r="C14" s="144">
        <f>Charts!$D$19</f>
        <v>0</v>
      </c>
      <c r="D14" s="143">
        <f>Charts!$E$19</f>
        <v>20</v>
      </c>
      <c r="E14" s="45" t="s">
        <v>409</v>
      </c>
      <c r="F14" s="42"/>
      <c r="G14" s="2"/>
      <c r="H14" s="2"/>
      <c r="I14" s="2"/>
      <c r="J14" s="2"/>
      <c r="K14" s="2"/>
    </row>
    <row r="15" spans="1:11" ht="12.75">
      <c r="A15" s="2"/>
      <c r="B15" s="2"/>
      <c r="C15" s="144">
        <f>Charts!$D$20</f>
        <v>40</v>
      </c>
      <c r="D15" s="143">
        <f>Charts!$E$20</f>
        <v>60</v>
      </c>
      <c r="E15" s="45" t="s">
        <v>412</v>
      </c>
      <c r="F15" s="42"/>
      <c r="G15" s="2"/>
      <c r="H15" s="2"/>
      <c r="I15" s="2"/>
      <c r="J15" s="2"/>
      <c r="K15" s="2"/>
    </row>
    <row r="16" spans="1:11" ht="12.75">
      <c r="A16" s="2"/>
      <c r="B16" s="2"/>
      <c r="C16" s="145">
        <f>Charts!$D$21</f>
        <v>65</v>
      </c>
      <c r="D16" s="59">
        <f>Charts!$E$21</f>
        <v>85</v>
      </c>
      <c r="E16" s="43" t="s">
        <v>873</v>
      </c>
      <c r="F16" s="48"/>
      <c r="G16" s="2"/>
      <c r="H16" s="2"/>
      <c r="I16" s="2"/>
      <c r="J16" s="2"/>
      <c r="K16" s="2"/>
    </row>
    <row r="17" spans="1:11" ht="12.75">
      <c r="A17" s="2"/>
      <c r="B17" s="2"/>
      <c r="C17" s="23"/>
      <c r="D17" s="23"/>
      <c r="E17" s="45"/>
      <c r="F17" s="2"/>
      <c r="G17" s="2"/>
      <c r="H17" s="2"/>
      <c r="I17" s="2"/>
      <c r="J17" s="2"/>
      <c r="K17" s="2"/>
    </row>
    <row r="18" spans="1:11" ht="12.75">
      <c r="A18" s="2"/>
      <c r="B18" s="2"/>
      <c r="C18" s="2"/>
      <c r="D18" s="2"/>
      <c r="E18" s="34"/>
      <c r="F18" s="34"/>
      <c r="G18" s="2"/>
      <c r="H18" s="2"/>
      <c r="I18" s="2"/>
      <c r="J18" s="2"/>
      <c r="K18" s="2"/>
    </row>
    <row r="19" spans="1:11" ht="15.75">
      <c r="A19" s="90" t="s">
        <v>482</v>
      </c>
      <c r="B19" s="2"/>
      <c r="C19" s="2"/>
      <c r="D19" s="2"/>
      <c r="E19" s="33"/>
      <c r="F19" s="2"/>
      <c r="G19" s="2"/>
      <c r="H19" s="2"/>
      <c r="I19" s="2"/>
      <c r="J19" s="2"/>
      <c r="K19" s="2"/>
    </row>
    <row r="20" spans="1:17" ht="15.75">
      <c r="A20" s="4" t="s">
        <v>429</v>
      </c>
      <c r="B20" s="63">
        <v>1950</v>
      </c>
      <c r="C20" s="172"/>
      <c r="D20" s="58"/>
      <c r="E20" s="27"/>
      <c r="F20" s="27"/>
      <c r="G20" s="55"/>
      <c r="H20" s="50"/>
      <c r="I20" s="27"/>
      <c r="J20" s="27"/>
      <c r="K20" s="27"/>
      <c r="L20" s="27"/>
      <c r="M20" s="37"/>
      <c r="N20" s="171"/>
      <c r="O20" s="36"/>
      <c r="P20" s="36"/>
      <c r="Q20" s="36"/>
    </row>
    <row r="21" spans="1:17" ht="25.5" customHeight="1">
      <c r="A21" s="28" t="s">
        <v>430</v>
      </c>
      <c r="B21" s="6" t="s">
        <v>304</v>
      </c>
      <c r="C21" s="40" t="s">
        <v>10</v>
      </c>
      <c r="D21" s="304" t="s">
        <v>400</v>
      </c>
      <c r="E21" s="305"/>
      <c r="F21" s="57" t="s">
        <v>6</v>
      </c>
      <c r="G21" s="5"/>
      <c r="H21" s="5"/>
      <c r="I21" s="5"/>
      <c r="J21" s="27"/>
      <c r="K21" s="37"/>
      <c r="L21" s="37"/>
      <c r="M21" s="37"/>
      <c r="N21" s="171"/>
      <c r="O21" s="36"/>
      <c r="P21" s="36"/>
      <c r="Q21" s="36"/>
    </row>
    <row r="22" spans="1:17" ht="22.5" customHeight="1">
      <c r="A22" s="7"/>
      <c r="B22" s="9"/>
      <c r="C22" s="48"/>
      <c r="D22" s="7" t="s">
        <v>305</v>
      </c>
      <c r="E22" s="9" t="s">
        <v>306</v>
      </c>
      <c r="F22" s="7" t="s">
        <v>431</v>
      </c>
      <c r="G22" s="8" t="s">
        <v>423</v>
      </c>
      <c r="H22" s="8" t="s">
        <v>424</v>
      </c>
      <c r="I22" s="49" t="s">
        <v>428</v>
      </c>
      <c r="J22" s="29"/>
      <c r="K22" s="39"/>
      <c r="L22" s="39"/>
      <c r="M22" s="39"/>
      <c r="N22" s="171"/>
      <c r="O22" s="36"/>
      <c r="P22" s="36"/>
      <c r="Q22" s="36"/>
    </row>
    <row r="23" spans="1:17" ht="14.25" customHeight="1">
      <c r="A23" s="10" t="s">
        <v>401</v>
      </c>
      <c r="B23" s="12">
        <v>19.587</v>
      </c>
      <c r="C23" s="40">
        <v>1</v>
      </c>
      <c r="D23" s="136">
        <f aca="true" t="shared" si="0" ref="D23:D28">$C$12</f>
        <v>97</v>
      </c>
      <c r="E23" s="14">
        <f aca="true" t="shared" si="1" ref="E23:E28">$D$12</f>
        <v>99</v>
      </c>
      <c r="F23" s="10"/>
      <c r="G23" s="11"/>
      <c r="H23" s="45" t="s">
        <v>411</v>
      </c>
      <c r="I23" s="45" t="s">
        <v>54</v>
      </c>
      <c r="J23" s="2"/>
      <c r="K23" s="36"/>
      <c r="L23" s="36"/>
      <c r="M23" s="36"/>
      <c r="N23" s="171"/>
      <c r="O23" s="36"/>
      <c r="P23" s="36"/>
      <c r="Q23" s="36"/>
    </row>
    <row r="24" spans="1:17" ht="12.75">
      <c r="A24" s="10" t="s">
        <v>377</v>
      </c>
      <c r="B24" s="12">
        <v>8.663</v>
      </c>
      <c r="C24" s="40">
        <v>1</v>
      </c>
      <c r="D24" s="94">
        <f t="shared" si="0"/>
        <v>97</v>
      </c>
      <c r="E24" s="14">
        <f t="shared" si="1"/>
        <v>99</v>
      </c>
      <c r="F24" s="10"/>
      <c r="G24" s="11"/>
      <c r="H24" s="45" t="s">
        <v>411</v>
      </c>
      <c r="I24" s="45" t="s">
        <v>169</v>
      </c>
      <c r="J24" s="2"/>
      <c r="K24" s="36"/>
      <c r="L24" s="36"/>
      <c r="M24" s="36"/>
      <c r="N24" s="171"/>
      <c r="O24" s="36"/>
      <c r="P24" s="36"/>
      <c r="Q24" s="36"/>
    </row>
    <row r="25" spans="1:17" ht="12.75">
      <c r="A25" s="10" t="s">
        <v>381</v>
      </c>
      <c r="B25" s="96">
        <v>3.578</v>
      </c>
      <c r="C25" s="40">
        <v>1</v>
      </c>
      <c r="D25" s="94">
        <f t="shared" si="0"/>
        <v>97</v>
      </c>
      <c r="E25" s="14">
        <f t="shared" si="1"/>
        <v>99</v>
      </c>
      <c r="F25" s="10"/>
      <c r="G25" s="11"/>
      <c r="H25" s="45" t="s">
        <v>411</v>
      </c>
      <c r="I25" s="45" t="s">
        <v>111</v>
      </c>
      <c r="J25" s="2"/>
      <c r="K25" s="36"/>
      <c r="L25" s="36"/>
      <c r="M25" s="36"/>
      <c r="N25" s="171"/>
      <c r="O25" s="36"/>
      <c r="P25" s="36"/>
      <c r="Q25" s="36"/>
    </row>
    <row r="26" spans="1:17" ht="12.75" customHeight="1">
      <c r="A26" s="10" t="s">
        <v>402</v>
      </c>
      <c r="B26" s="96">
        <v>10.735</v>
      </c>
      <c r="C26" s="40">
        <v>1</v>
      </c>
      <c r="D26" s="94">
        <f t="shared" si="0"/>
        <v>97</v>
      </c>
      <c r="E26" s="14">
        <f t="shared" si="1"/>
        <v>99</v>
      </c>
      <c r="F26" s="10"/>
      <c r="G26" s="11"/>
      <c r="H26" s="45" t="s">
        <v>411</v>
      </c>
      <c r="I26" s="45" t="s">
        <v>778</v>
      </c>
      <c r="J26" s="2"/>
      <c r="K26" s="36"/>
      <c r="L26" s="36"/>
      <c r="M26" s="36"/>
      <c r="N26" s="171"/>
      <c r="O26" s="36"/>
      <c r="P26" s="36"/>
      <c r="Q26" s="36"/>
    </row>
    <row r="27" spans="1:17" ht="12.75">
      <c r="A27" s="10" t="s">
        <v>399</v>
      </c>
      <c r="B27" s="96">
        <v>2.637</v>
      </c>
      <c r="C27" s="40">
        <v>1</v>
      </c>
      <c r="D27" s="94">
        <f t="shared" si="0"/>
        <v>97</v>
      </c>
      <c r="E27" s="14">
        <f t="shared" si="1"/>
        <v>99</v>
      </c>
      <c r="F27" s="10"/>
      <c r="G27" s="11"/>
      <c r="H27" s="45" t="s">
        <v>411</v>
      </c>
      <c r="I27" s="45" t="s">
        <v>116</v>
      </c>
      <c r="J27" s="2"/>
      <c r="K27" s="36"/>
      <c r="L27" s="36"/>
      <c r="M27" s="36"/>
      <c r="N27" s="171"/>
      <c r="O27" s="36"/>
      <c r="P27" s="36"/>
      <c r="Q27" s="36"/>
    </row>
    <row r="28" spans="1:17" ht="13.5" customHeight="1">
      <c r="A28" s="10" t="s">
        <v>403</v>
      </c>
      <c r="B28" s="96">
        <v>5.273</v>
      </c>
      <c r="C28" s="40">
        <v>1</v>
      </c>
      <c r="D28" s="94">
        <f t="shared" si="0"/>
        <v>97</v>
      </c>
      <c r="E28" s="14">
        <f t="shared" si="1"/>
        <v>99</v>
      </c>
      <c r="F28" s="10"/>
      <c r="G28" s="11"/>
      <c r="H28" s="45" t="s">
        <v>411</v>
      </c>
      <c r="I28" s="45" t="s">
        <v>55</v>
      </c>
      <c r="J28" s="2"/>
      <c r="K28" s="36"/>
      <c r="L28" s="36"/>
      <c r="M28" s="36"/>
      <c r="N28" s="171"/>
      <c r="O28" s="36"/>
      <c r="P28" s="36"/>
      <c r="Q28" s="36"/>
    </row>
    <row r="29" spans="1:17" ht="13.5" customHeight="1">
      <c r="A29" s="10" t="s">
        <v>404</v>
      </c>
      <c r="B29" s="96">
        <v>14.69</v>
      </c>
      <c r="C29" s="40">
        <v>1</v>
      </c>
      <c r="D29" s="94">
        <v>90</v>
      </c>
      <c r="E29" s="14">
        <v>96</v>
      </c>
      <c r="F29" s="10"/>
      <c r="G29" s="11"/>
      <c r="H29" s="11"/>
      <c r="I29" s="45" t="s">
        <v>128</v>
      </c>
      <c r="J29" s="2"/>
      <c r="K29" s="36"/>
      <c r="L29" s="36"/>
      <c r="M29" s="36"/>
      <c r="N29" s="171"/>
      <c r="O29" s="36"/>
      <c r="P29" s="36"/>
      <c r="Q29" s="36"/>
    </row>
    <row r="30" spans="1:17" ht="12" customHeight="1">
      <c r="A30" s="10" t="s">
        <v>405</v>
      </c>
      <c r="B30" s="96">
        <v>4.52</v>
      </c>
      <c r="C30" s="40">
        <v>1</v>
      </c>
      <c r="D30" s="94">
        <v>90</v>
      </c>
      <c r="E30" s="14">
        <v>94</v>
      </c>
      <c r="F30" s="10"/>
      <c r="G30" s="11"/>
      <c r="H30" s="11"/>
      <c r="I30" s="45" t="s">
        <v>129</v>
      </c>
      <c r="J30" s="2"/>
      <c r="K30" s="36"/>
      <c r="L30" s="36"/>
      <c r="M30" s="36"/>
      <c r="N30" s="171"/>
      <c r="O30" s="36"/>
      <c r="P30" s="36"/>
      <c r="Q30" s="36"/>
    </row>
    <row r="31" spans="1:17" ht="24" customHeight="1">
      <c r="A31" s="10" t="s">
        <v>406</v>
      </c>
      <c r="B31" s="96">
        <v>5.65</v>
      </c>
      <c r="C31" s="40">
        <v>1</v>
      </c>
      <c r="D31" s="94">
        <f>$C$12</f>
        <v>97</v>
      </c>
      <c r="E31" s="14">
        <f>$D$12</f>
        <v>99</v>
      </c>
      <c r="F31" s="10"/>
      <c r="G31" s="11"/>
      <c r="H31" s="11"/>
      <c r="I31" s="45" t="s">
        <v>775</v>
      </c>
      <c r="J31" s="2"/>
      <c r="K31" s="36"/>
      <c r="L31" s="36"/>
      <c r="M31" s="36"/>
      <c r="N31" s="171"/>
      <c r="O31" s="36"/>
      <c r="P31" s="36"/>
      <c r="Q31" s="36"/>
    </row>
    <row r="32" spans="1:17" ht="24" customHeight="1">
      <c r="A32" s="10" t="s">
        <v>407</v>
      </c>
      <c r="B32" s="96">
        <v>24.667</v>
      </c>
      <c r="C32" s="40">
        <v>1</v>
      </c>
      <c r="D32" s="94">
        <f>$C$12</f>
        <v>97</v>
      </c>
      <c r="E32" s="14">
        <f>$D$12</f>
        <v>99</v>
      </c>
      <c r="F32" s="10"/>
      <c r="G32" s="11"/>
      <c r="H32" s="45" t="s">
        <v>411</v>
      </c>
      <c r="I32" s="45" t="s">
        <v>54</v>
      </c>
      <c r="J32" s="2"/>
      <c r="K32" s="36"/>
      <c r="L32" s="36"/>
      <c r="M32" s="36"/>
      <c r="N32" s="171"/>
      <c r="O32" s="36"/>
      <c r="P32" s="36"/>
      <c r="Q32" s="36"/>
    </row>
    <row r="33" spans="1:17" ht="12.75">
      <c r="A33" s="10" t="s">
        <v>368</v>
      </c>
      <c r="B33" s="12">
        <f>SUM(B23:B32)</f>
        <v>100</v>
      </c>
      <c r="C33" s="70"/>
      <c r="D33" s="13">
        <f>SUMPRODUCT(B23:B32,D23:D32)/100</f>
        <v>95.65530000000001</v>
      </c>
      <c r="E33" s="13">
        <f>SUMPRODUCT(B23:B32,E23:E32)/100</f>
        <v>98.3333</v>
      </c>
      <c r="F33" s="10"/>
      <c r="G33" s="11"/>
      <c r="H33" s="11"/>
      <c r="I33" s="11"/>
      <c r="J33" s="2"/>
      <c r="K33" s="36"/>
      <c r="L33" s="36"/>
      <c r="M33" s="36"/>
      <c r="N33" s="171"/>
      <c r="O33" s="36"/>
      <c r="P33" s="36"/>
      <c r="Q33" s="36"/>
    </row>
    <row r="34" spans="1:17" ht="23.25" customHeight="1">
      <c r="A34" s="17" t="s">
        <v>369</v>
      </c>
      <c r="B34" s="9"/>
      <c r="C34" s="66"/>
      <c r="D34" s="18">
        <f>100*D33/B33</f>
        <v>95.65530000000001</v>
      </c>
      <c r="E34" s="19">
        <f>100*E33/B33</f>
        <v>98.3333</v>
      </c>
      <c r="F34" s="7"/>
      <c r="G34" s="8"/>
      <c r="H34" s="8"/>
      <c r="I34" s="8"/>
      <c r="J34" s="29"/>
      <c r="K34" s="39"/>
      <c r="L34" s="39"/>
      <c r="M34" s="39"/>
      <c r="N34" s="171"/>
      <c r="O34" s="36"/>
      <c r="P34" s="36"/>
      <c r="Q34" s="36"/>
    </row>
    <row r="35" spans="1:15" ht="13.5" customHeight="1">
      <c r="A35" s="181" t="s">
        <v>907</v>
      </c>
      <c r="B35" s="5"/>
      <c r="C35" s="182" t="s">
        <v>908</v>
      </c>
      <c r="D35" s="183"/>
      <c r="E35" s="194"/>
      <c r="F35" s="11"/>
      <c r="G35" s="11"/>
      <c r="H35" s="11"/>
      <c r="I35" s="11"/>
      <c r="J35" s="2"/>
      <c r="K35" s="36"/>
      <c r="L35" s="36"/>
      <c r="M35" s="36"/>
      <c r="N35" s="36"/>
      <c r="O35" s="36"/>
    </row>
    <row r="36" spans="1:15" ht="13.5" customHeight="1">
      <c r="A36" s="31" t="s">
        <v>898</v>
      </c>
      <c r="B36" s="30">
        <f>SUMIF($C$23:$C$32,"1",$B$23:$B$32)</f>
        <v>100</v>
      </c>
      <c r="C36" s="122">
        <v>1</v>
      </c>
      <c r="D36" s="216">
        <f>B36+B37+B41</f>
        <v>100</v>
      </c>
      <c r="E36" s="16"/>
      <c r="F36" s="11"/>
      <c r="G36" s="11"/>
      <c r="H36" s="11"/>
      <c r="I36" s="11"/>
      <c r="J36" s="2"/>
      <c r="K36" s="36"/>
      <c r="L36" s="36"/>
      <c r="M36" s="36"/>
      <c r="N36" s="36"/>
      <c r="O36" s="36"/>
    </row>
    <row r="37" spans="1:15" ht="13.5" customHeight="1">
      <c r="A37" s="31" t="s">
        <v>903</v>
      </c>
      <c r="B37" s="30">
        <f>SUMIF($C$23:$C$32,"2",$B$23:$B$32)</f>
        <v>0</v>
      </c>
      <c r="C37" s="122">
        <v>2</v>
      </c>
      <c r="D37" s="216">
        <f>B42</f>
        <v>0</v>
      </c>
      <c r="E37" s="16"/>
      <c r="F37" s="11"/>
      <c r="G37" s="11"/>
      <c r="H37" s="11"/>
      <c r="I37" s="11"/>
      <c r="J37" s="2"/>
      <c r="K37" s="36"/>
      <c r="L37" s="36"/>
      <c r="M37" s="36"/>
      <c r="N37" s="36"/>
      <c r="O37" s="36"/>
    </row>
    <row r="38" spans="1:15" ht="13.5" customHeight="1">
      <c r="A38" s="31" t="s">
        <v>902</v>
      </c>
      <c r="B38" s="30">
        <f>SUMIF($C$23:$C$32,"3",$B$23:$B$32)</f>
        <v>0</v>
      </c>
      <c r="C38" s="122">
        <v>3</v>
      </c>
      <c r="D38" s="216">
        <f>B38</f>
        <v>0</v>
      </c>
      <c r="E38" s="16"/>
      <c r="F38" s="11"/>
      <c r="G38" s="11"/>
      <c r="H38" s="11"/>
      <c r="I38" s="11"/>
      <c r="J38" s="2"/>
      <c r="K38" s="36"/>
      <c r="L38" s="36"/>
      <c r="M38" s="36"/>
      <c r="N38" s="36"/>
      <c r="O38" s="36"/>
    </row>
    <row r="39" spans="1:15" ht="13.5" customHeight="1">
      <c r="A39" s="31" t="s">
        <v>904</v>
      </c>
      <c r="B39" s="30">
        <f>SUMIF($C$23:$C$32,"4",$B$23:$B$32)</f>
        <v>0</v>
      </c>
      <c r="C39" s="122">
        <v>4</v>
      </c>
      <c r="D39" s="216">
        <f>B39</f>
        <v>0</v>
      </c>
      <c r="E39" s="16"/>
      <c r="F39" s="11"/>
      <c r="G39" s="11"/>
      <c r="H39" s="11"/>
      <c r="I39" s="11"/>
      <c r="J39" s="2"/>
      <c r="K39" s="36"/>
      <c r="L39" s="36"/>
      <c r="M39" s="36"/>
      <c r="N39" s="36"/>
      <c r="O39" s="36"/>
    </row>
    <row r="40" spans="1:15" ht="13.5" customHeight="1">
      <c r="A40" s="31" t="s">
        <v>905</v>
      </c>
      <c r="B40" s="30">
        <f>SUMIF($C$23:$C$32,"5",$B$23:$B$32)</f>
        <v>0</v>
      </c>
      <c r="C40" s="122">
        <v>5</v>
      </c>
      <c r="D40" s="216">
        <f>B40</f>
        <v>0</v>
      </c>
      <c r="E40" s="16"/>
      <c r="F40" s="11"/>
      <c r="G40" s="11"/>
      <c r="H40" s="11"/>
      <c r="I40" s="11"/>
      <c r="J40" s="2"/>
      <c r="K40" s="36"/>
      <c r="L40" s="36"/>
      <c r="M40" s="36"/>
      <c r="N40" s="36"/>
      <c r="O40" s="36"/>
    </row>
    <row r="41" spans="1:15" ht="13.5" customHeight="1">
      <c r="A41" s="31" t="s">
        <v>900</v>
      </c>
      <c r="B41" s="30">
        <f>SUMIF($C$23:$C$32,"6",$B$23:$B$32)</f>
        <v>0</v>
      </c>
      <c r="C41" s="122">
        <v>6</v>
      </c>
      <c r="D41" s="216">
        <f>B43</f>
        <v>0</v>
      </c>
      <c r="E41" s="16"/>
      <c r="F41" s="11"/>
      <c r="G41" s="11"/>
      <c r="H41" s="11"/>
      <c r="I41" s="11"/>
      <c r="J41" s="2"/>
      <c r="K41" s="36"/>
      <c r="L41" s="36"/>
      <c r="M41" s="36"/>
      <c r="N41" s="36"/>
      <c r="O41" s="36"/>
    </row>
    <row r="42" spans="1:15" ht="13.5" customHeight="1">
      <c r="A42" s="31" t="s">
        <v>899</v>
      </c>
      <c r="B42" s="30">
        <f>SUMIF($C$23:$C$32,"7",$B$23:$B$32)</f>
        <v>0</v>
      </c>
      <c r="C42" s="122">
        <v>7</v>
      </c>
      <c r="D42" s="216">
        <f>B44</f>
        <v>0</v>
      </c>
      <c r="E42" s="16"/>
      <c r="F42" s="11"/>
      <c r="G42" s="11"/>
      <c r="H42" s="11"/>
      <c r="I42" s="11"/>
      <c r="J42" s="2"/>
      <c r="K42" s="36"/>
      <c r="L42" s="36"/>
      <c r="M42" s="36"/>
      <c r="N42" s="36"/>
      <c r="O42" s="36"/>
    </row>
    <row r="43" spans="1:15" ht="13.5" customHeight="1">
      <c r="A43" s="31" t="s">
        <v>901</v>
      </c>
      <c r="B43" s="30">
        <f>SUMIF($C$23:$C$32,"8",$B$23:$B$32)</f>
        <v>0</v>
      </c>
      <c r="C43" s="36"/>
      <c r="D43" s="221"/>
      <c r="E43" s="47"/>
      <c r="F43" s="11"/>
      <c r="G43" s="11"/>
      <c r="H43" s="11"/>
      <c r="I43" s="11"/>
      <c r="J43" s="2"/>
      <c r="K43" s="36"/>
      <c r="L43" s="36"/>
      <c r="M43" s="36"/>
      <c r="N43" s="36"/>
      <c r="O43" s="36"/>
    </row>
    <row r="44" spans="1:15" ht="13.5" customHeight="1">
      <c r="A44" s="31" t="s">
        <v>906</v>
      </c>
      <c r="B44" s="30">
        <f>SUMIF($C$23:$C$32,"9",$B$23:$B$32)</f>
        <v>0</v>
      </c>
      <c r="C44" s="36"/>
      <c r="D44" s="217"/>
      <c r="E44" s="16"/>
      <c r="F44" s="11"/>
      <c r="G44" s="11"/>
      <c r="H44" s="11"/>
      <c r="I44" s="11"/>
      <c r="J44" s="2"/>
      <c r="K44" s="36"/>
      <c r="L44" s="36"/>
      <c r="M44" s="36"/>
      <c r="N44" s="36"/>
      <c r="O44" s="36"/>
    </row>
    <row r="45" spans="1:15" ht="13.5" customHeight="1">
      <c r="A45" s="173" t="s">
        <v>368</v>
      </c>
      <c r="B45" s="215">
        <f>SUM(B36:B44)</f>
        <v>100</v>
      </c>
      <c r="C45" s="39"/>
      <c r="D45" s="215">
        <f>SUM(D36:D44)</f>
        <v>100</v>
      </c>
      <c r="E45" s="21"/>
      <c r="F45" s="11"/>
      <c r="G45" s="11"/>
      <c r="H45" s="11"/>
      <c r="I45" s="11"/>
      <c r="J45" s="2"/>
      <c r="K45" s="36"/>
      <c r="L45" s="36"/>
      <c r="M45" s="36"/>
      <c r="N45" s="36"/>
      <c r="O45" s="36"/>
    </row>
    <row r="46" spans="1:12" ht="12.75">
      <c r="A46" s="36"/>
      <c r="B46" s="11"/>
      <c r="C46" s="33"/>
      <c r="D46" s="33"/>
      <c r="E46" s="33"/>
      <c r="F46" s="33"/>
      <c r="G46" s="33"/>
      <c r="H46" s="2"/>
      <c r="I46" s="2"/>
      <c r="J46" s="2"/>
      <c r="K46" s="2"/>
      <c r="L46" s="2"/>
    </row>
    <row r="47" spans="1:9" ht="71.25" customHeight="1">
      <c r="A47" s="301" t="s">
        <v>108</v>
      </c>
      <c r="B47" s="309"/>
      <c r="C47" s="309"/>
      <c r="D47" s="309"/>
      <c r="E47" s="309"/>
      <c r="F47" s="309"/>
      <c r="G47" s="309"/>
      <c r="H47" s="309"/>
      <c r="I47" s="310"/>
    </row>
    <row r="51" spans="1:11" ht="15.75">
      <c r="A51" s="90" t="s">
        <v>483</v>
      </c>
      <c r="B51" s="2"/>
      <c r="C51" s="2"/>
      <c r="D51" s="23"/>
      <c r="E51" s="23"/>
      <c r="F51" s="2"/>
      <c r="G51" s="2"/>
      <c r="H51" s="2"/>
      <c r="I51" s="2"/>
      <c r="J51" s="2"/>
      <c r="K51" s="2"/>
    </row>
    <row r="52" spans="1:13" ht="15.75">
      <c r="A52" s="4" t="s">
        <v>429</v>
      </c>
      <c r="B52" s="62">
        <v>1919</v>
      </c>
      <c r="C52" s="75"/>
      <c r="D52" s="27"/>
      <c r="E52" s="55"/>
      <c r="F52" s="62">
        <v>1932</v>
      </c>
      <c r="G52" s="75"/>
      <c r="H52" s="27"/>
      <c r="I52" s="55"/>
      <c r="J52" s="50"/>
      <c r="K52" s="27"/>
      <c r="L52" s="27"/>
      <c r="M52" s="38"/>
    </row>
    <row r="53" spans="1:13" ht="22.5" customHeight="1">
      <c r="A53" s="28" t="s">
        <v>430</v>
      </c>
      <c r="B53" s="5" t="s">
        <v>304</v>
      </c>
      <c r="C53" s="76" t="s">
        <v>897</v>
      </c>
      <c r="D53" s="304" t="s">
        <v>400</v>
      </c>
      <c r="E53" s="305"/>
      <c r="F53" s="5" t="s">
        <v>370</v>
      </c>
      <c r="G53" s="76" t="s">
        <v>897</v>
      </c>
      <c r="H53" s="304" t="s">
        <v>400</v>
      </c>
      <c r="I53" s="305"/>
      <c r="J53" s="57" t="s">
        <v>6</v>
      </c>
      <c r="K53" s="5"/>
      <c r="L53" s="5"/>
      <c r="M53" s="6"/>
    </row>
    <row r="54" spans="1:13" ht="22.5">
      <c r="A54" s="39"/>
      <c r="B54" s="8"/>
      <c r="C54" s="71"/>
      <c r="D54" s="7" t="s">
        <v>305</v>
      </c>
      <c r="E54" s="9" t="s">
        <v>306</v>
      </c>
      <c r="F54" s="8"/>
      <c r="G54" s="71"/>
      <c r="H54" s="7" t="s">
        <v>305</v>
      </c>
      <c r="I54" s="9" t="s">
        <v>306</v>
      </c>
      <c r="J54" s="7" t="s">
        <v>431</v>
      </c>
      <c r="K54" s="8" t="s">
        <v>423</v>
      </c>
      <c r="L54" s="8" t="s">
        <v>424</v>
      </c>
      <c r="M54" s="9" t="s">
        <v>428</v>
      </c>
    </row>
    <row r="55" spans="1:13" ht="15.75" customHeight="1">
      <c r="A55" s="10" t="s">
        <v>510</v>
      </c>
      <c r="B55" s="6">
        <f aca="true" t="shared" si="2" ref="B55:B89">100*F55/$F$90</f>
        <v>0.2952632240231185</v>
      </c>
      <c r="C55" s="82">
        <v>1</v>
      </c>
      <c r="D55" s="13">
        <f>$C$12</f>
        <v>97</v>
      </c>
      <c r="E55" s="14">
        <f>$D$12</f>
        <v>99</v>
      </c>
      <c r="F55" s="76">
        <v>47</v>
      </c>
      <c r="G55" s="82">
        <v>1</v>
      </c>
      <c r="H55" s="13">
        <f>$C$12</f>
        <v>97</v>
      </c>
      <c r="I55" s="14">
        <f>$D$12</f>
        <v>99</v>
      </c>
      <c r="J55" s="10"/>
      <c r="K55" s="11"/>
      <c r="L55" s="45" t="s">
        <v>411</v>
      </c>
      <c r="M55" s="12" t="s">
        <v>94</v>
      </c>
    </row>
    <row r="56" spans="1:13" ht="13.5" customHeight="1">
      <c r="A56" s="10" t="s">
        <v>358</v>
      </c>
      <c r="B56" s="12">
        <f t="shared" si="2"/>
        <v>1.9411986430456087</v>
      </c>
      <c r="C56" s="77">
        <f>IF($B$52-J56&gt;=$C$7,2,IF($B$52-J56&gt;=$C$7*2/3,3,IF($B$52-J56&gt;=$C$7*1/3,4,IF($B$52-J56&gt;=0,5,8))))</f>
        <v>5</v>
      </c>
      <c r="D56" s="130">
        <f>MAX($C$10,MIN($C$11,($C$14+($C$11-$C$14)*($B$52-J56)/$C$7)))</f>
        <v>8.622222222222222</v>
      </c>
      <c r="E56" s="131">
        <f>MAX($D$10,MIN($D$11,($D$14+($D$11-$D$14)*($B$52-J56)/$C$7)))</f>
        <v>27.022222222222222</v>
      </c>
      <c r="F56" s="70">
        <v>309</v>
      </c>
      <c r="G56" s="77">
        <f>IF($F$52-J56&gt;=$C$7,2,IF($F$52-J56&gt;=$C$7*2/3,3,IF($F$52-J56&gt;=$C$7*1/3,4,IF($F$52-J56&gt;=0,5,8))))</f>
        <v>4</v>
      </c>
      <c r="H56" s="130">
        <f>MAX($C$10,MIN($C$11,($C$14+($C$11-$C$14)*($F$52-J56)/$C$7)))</f>
        <v>36.644444444444446</v>
      </c>
      <c r="I56" s="131">
        <f>MAX($D$10,MIN($D$11,($D$14+($D$11-$D$14)*($F$52-J56)/$C$7)))</f>
        <v>49.84444444444445</v>
      </c>
      <c r="J56" s="10">
        <v>1915</v>
      </c>
      <c r="K56" s="11" t="s">
        <v>426</v>
      </c>
      <c r="L56" s="11" t="s">
        <v>303</v>
      </c>
      <c r="M56" s="12" t="s">
        <v>56</v>
      </c>
    </row>
    <row r="57" spans="1:13" ht="14.25" customHeight="1">
      <c r="A57" s="10" t="s">
        <v>371</v>
      </c>
      <c r="B57" s="12">
        <f t="shared" si="2"/>
        <v>2.198768689533861</v>
      </c>
      <c r="C57" s="77">
        <v>1</v>
      </c>
      <c r="D57" s="13">
        <f>$C$12</f>
        <v>97</v>
      </c>
      <c r="E57" s="14">
        <f>$D$12</f>
        <v>99</v>
      </c>
      <c r="F57" s="70">
        <v>350</v>
      </c>
      <c r="G57" s="77">
        <v>1</v>
      </c>
      <c r="H57" s="13">
        <f>$C$12</f>
        <v>97</v>
      </c>
      <c r="I57" s="14">
        <f>$D$12</f>
        <v>99</v>
      </c>
      <c r="J57" s="10"/>
      <c r="K57" s="11"/>
      <c r="L57" s="45" t="s">
        <v>411</v>
      </c>
      <c r="M57" s="12" t="s">
        <v>95</v>
      </c>
    </row>
    <row r="58" spans="1:13" ht="22.5" customHeight="1">
      <c r="A58" s="10" t="s">
        <v>372</v>
      </c>
      <c r="B58" s="12">
        <f t="shared" si="2"/>
        <v>1.5014449051388365</v>
      </c>
      <c r="C58" s="77">
        <f>IF($B$52-J58&gt;=$C$7,2,IF($B$52-J58&gt;=$C$7*2/3,3,IF($B$52-J58&gt;=$C$7*1/3,4,5)))</f>
        <v>4</v>
      </c>
      <c r="D58" s="130">
        <f>MAX($C$15,MIN($C$11,($C$15+($C$11-$C$15)*($B$52-J58)/$C$8)))</f>
        <v>76.1</v>
      </c>
      <c r="E58" s="131">
        <f>MAX($D$15,MIN($D$11,($D$15+($D$11-$D$15)*($B$52-J58)/$C$8)))</f>
        <v>84.7</v>
      </c>
      <c r="F58" s="70">
        <v>239</v>
      </c>
      <c r="G58" s="77">
        <f>IF($F$52-J58&gt;=$C$7,2,IF($F$52-J58&gt;=$C$7*2/3,3,IF($F$52-J58&gt;=$C$7*1/3,4,5)))</f>
        <v>3</v>
      </c>
      <c r="H58" s="130">
        <f>MAX($C$15,MIN($C$11,($C$15+($C$11-$C$15)*($F$52-J58)/$C$8)))</f>
        <v>97</v>
      </c>
      <c r="I58" s="131">
        <f>MAX($D$15,MIN($D$11,($D$15+($D$11-$D$15)*($F$52-J58)/$C$8)))</f>
        <v>99</v>
      </c>
      <c r="J58" s="10">
        <v>1900</v>
      </c>
      <c r="K58" s="11" t="s">
        <v>427</v>
      </c>
      <c r="L58" s="11" t="s">
        <v>412</v>
      </c>
      <c r="M58" s="12" t="s">
        <v>57</v>
      </c>
    </row>
    <row r="59" spans="1:13" ht="15" customHeight="1">
      <c r="A59" s="10" t="s">
        <v>373</v>
      </c>
      <c r="B59" s="12">
        <f t="shared" si="2"/>
        <v>2.3244126146500816</v>
      </c>
      <c r="C59" s="77">
        <v>1</v>
      </c>
      <c r="D59" s="13">
        <f>$C$12</f>
        <v>97</v>
      </c>
      <c r="E59" s="14">
        <f>$D$12</f>
        <v>99</v>
      </c>
      <c r="F59" s="70">
        <v>370</v>
      </c>
      <c r="G59" s="77">
        <v>1</v>
      </c>
      <c r="H59" s="13">
        <f>$C$12</f>
        <v>97</v>
      </c>
      <c r="I59" s="14">
        <f>$D$12</f>
        <v>99</v>
      </c>
      <c r="J59" s="10"/>
      <c r="K59" s="11"/>
      <c r="L59" s="45" t="s">
        <v>411</v>
      </c>
      <c r="M59" s="12" t="s">
        <v>110</v>
      </c>
    </row>
    <row r="60" spans="1:13" ht="12.75" customHeight="1">
      <c r="A60" s="10" t="s">
        <v>374</v>
      </c>
      <c r="B60" s="12">
        <f t="shared" si="2"/>
        <v>0.19474808393014198</v>
      </c>
      <c r="C60" s="77">
        <v>1</v>
      </c>
      <c r="D60" s="13">
        <f>$C$12</f>
        <v>97</v>
      </c>
      <c r="E60" s="14">
        <f>$D$12</f>
        <v>99</v>
      </c>
      <c r="F60" s="70">
        <v>31</v>
      </c>
      <c r="G60" s="77">
        <v>1</v>
      </c>
      <c r="H60" s="13">
        <f>$C$12</f>
        <v>97</v>
      </c>
      <c r="I60" s="14">
        <f>$D$12</f>
        <v>99</v>
      </c>
      <c r="J60" s="10"/>
      <c r="K60" s="11"/>
      <c r="L60" s="45" t="s">
        <v>411</v>
      </c>
      <c r="M60" s="12" t="s">
        <v>779</v>
      </c>
    </row>
    <row r="61" spans="1:13" ht="24.75" customHeight="1">
      <c r="A61" s="10" t="s">
        <v>375</v>
      </c>
      <c r="B61" s="12">
        <f t="shared" si="2"/>
        <v>1.2752858399296394</v>
      </c>
      <c r="C61" s="77">
        <f>IF($B$52-J61&gt;=$C$7,2,IF($B$52-J61&gt;=$C$7*2/3,3,IF($B$52-J61&gt;=$C$7*1/3,4,IF($B$52-J61&gt;=0,5,8))))</f>
        <v>3</v>
      </c>
      <c r="D61" s="130">
        <f>MAX($C$10,MIN($C$11,($C$14+($C$11-$C$14)*($B$52-J61)/$C$7)))</f>
        <v>73.28888888888889</v>
      </c>
      <c r="E61" s="131">
        <f>MAX($D$10,MIN($D$11,($D$14+($D$11-$D$14)*($B$52-J61)/$C$7)))</f>
        <v>79.6888888888889</v>
      </c>
      <c r="F61" s="70">
        <v>203</v>
      </c>
      <c r="G61" s="77">
        <f>IF($F$52-J61&gt;=$C$7,2,IF($F$52-J61&gt;=$C$7*2/3,3,IF($F$52-J61&gt;=$C$7*1/3,4,IF($F$52-J61&gt;=0,5,8))))</f>
        <v>2</v>
      </c>
      <c r="H61" s="130">
        <f>MAX($C$10,MIN($C$11,($C$14+($C$11-$C$14)*($F$52-J61)/$C$7)))</f>
        <v>97</v>
      </c>
      <c r="I61" s="131">
        <f>MAX($D$10,MIN($D$11,($D$14+($D$11-$D$14)*($F$52-J61)/$C$7)))</f>
        <v>99</v>
      </c>
      <c r="J61" s="10">
        <v>1885</v>
      </c>
      <c r="K61" s="11" t="s">
        <v>426</v>
      </c>
      <c r="L61" s="11" t="s">
        <v>303</v>
      </c>
      <c r="M61" s="12" t="s">
        <v>112</v>
      </c>
    </row>
    <row r="62" spans="1:13" ht="24" customHeight="1">
      <c r="A62" s="10" t="s">
        <v>376</v>
      </c>
      <c r="B62" s="12">
        <f t="shared" si="2"/>
        <v>0.6847593918834024</v>
      </c>
      <c r="C62" s="77">
        <f>IF($B$52-J62&gt;=$C$7,2,IF($B$52-J62&gt;=$C$7*2/3,3,IF($B$52-J62&gt;=$C$7*1/3,4,IF($B$52-J62&gt;=0,5,8))))</f>
        <v>5</v>
      </c>
      <c r="D62" s="130">
        <f>MAX($C$10,MIN($C$11,($C$14+($C$11-$C$14)*($B$52-J62)/$C$7)))</f>
        <v>8.622222222222222</v>
      </c>
      <c r="E62" s="131">
        <f>MAX($D$10,MIN($D$11,($D$14+($D$11-$D$14)*($B$52-J62)/$C$7)))</f>
        <v>27.022222222222222</v>
      </c>
      <c r="F62" s="70">
        <v>109</v>
      </c>
      <c r="G62" s="77">
        <f>IF($F$52-J62&gt;=$C$7,2,IF($F$52-J62&gt;=$C$7*2/3,3,IF($F$52-J62&gt;=$C$7*1/3,4,IF($F$52-J62&gt;=0,5,8))))</f>
        <v>4</v>
      </c>
      <c r="H62" s="130">
        <f>MAX($C$10,MIN($C$11,($C$14+($C$11-$C$14)*($F$52-J62)/$C$7)))</f>
        <v>36.644444444444446</v>
      </c>
      <c r="I62" s="131">
        <f>MAX($D$10,MIN($D$11,($D$14+($D$11-$D$14)*($F$52-J62)/$C$7)))</f>
        <v>49.84444444444445</v>
      </c>
      <c r="J62" s="10">
        <v>1915</v>
      </c>
      <c r="K62" s="11" t="s">
        <v>426</v>
      </c>
      <c r="L62" s="11" t="s">
        <v>303</v>
      </c>
      <c r="M62" s="12" t="s">
        <v>58</v>
      </c>
    </row>
    <row r="63" spans="1:13" ht="24" customHeight="1">
      <c r="A63" s="10" t="s">
        <v>377</v>
      </c>
      <c r="B63" s="12">
        <f t="shared" si="2"/>
        <v>1.7652971478828998</v>
      </c>
      <c r="C63" s="77">
        <v>1</v>
      </c>
      <c r="D63" s="13">
        <f>$C$12-5</f>
        <v>92</v>
      </c>
      <c r="E63" s="14">
        <f>$D$12-5</f>
        <v>94</v>
      </c>
      <c r="F63" s="116">
        <v>281</v>
      </c>
      <c r="G63" s="77">
        <v>1</v>
      </c>
      <c r="H63" s="13">
        <f>$C$12-5</f>
        <v>92</v>
      </c>
      <c r="I63" s="14">
        <f>$D$12-5</f>
        <v>94</v>
      </c>
      <c r="J63" s="10"/>
      <c r="K63" s="32"/>
      <c r="L63" s="45" t="s">
        <v>411</v>
      </c>
      <c r="M63" s="12" t="s">
        <v>59</v>
      </c>
    </row>
    <row r="64" spans="1:13" ht="15.75" customHeight="1">
      <c r="A64" s="10" t="s">
        <v>378</v>
      </c>
      <c r="B64" s="12">
        <f t="shared" si="2"/>
        <v>0.9297650458600326</v>
      </c>
      <c r="C64" s="77">
        <v>1</v>
      </c>
      <c r="D64" s="13">
        <f>$C$12</f>
        <v>97</v>
      </c>
      <c r="E64" s="14">
        <f>$D$12</f>
        <v>99</v>
      </c>
      <c r="F64" s="116">
        <v>148</v>
      </c>
      <c r="G64" s="77">
        <v>1</v>
      </c>
      <c r="H64" s="13">
        <f>$C$12</f>
        <v>97</v>
      </c>
      <c r="I64" s="14">
        <f>$D$12</f>
        <v>99</v>
      </c>
      <c r="J64" s="10"/>
      <c r="K64" s="11"/>
      <c r="L64" s="45" t="s">
        <v>411</v>
      </c>
      <c r="M64" s="12" t="s">
        <v>779</v>
      </c>
    </row>
    <row r="65" spans="1:13" ht="14.25" customHeight="1">
      <c r="A65" s="10" t="s">
        <v>379</v>
      </c>
      <c r="B65" s="12">
        <f t="shared" si="2"/>
        <v>0.9611760271390878</v>
      </c>
      <c r="C65" s="77">
        <f>IF($B$52-J65&gt;=$C$7,2,IF($B$52-J65&gt;=$C$7*2/3,3,IF($B$52-J65&gt;=$C$7*1/3,4,5)))</f>
        <v>5</v>
      </c>
      <c r="D65" s="130">
        <f>MAX($C$16,MIN($C$11,($C$16+($C$11-$C$16)*($B$52-J65)/$C$8)))</f>
        <v>65</v>
      </c>
      <c r="E65" s="131">
        <f>MAX($D$16,MIN($D$11,($D$16+($D$11-$D$16)*($B$52-J65)/$C$8)))</f>
        <v>85</v>
      </c>
      <c r="F65" s="116">
        <v>153</v>
      </c>
      <c r="G65" s="77">
        <f>IF($F$52-J65&gt;=$C$7,2,IF($F$52-J65&gt;=$C$7*2/3,3,IF($F$52-J65&gt;=$C$7*1/3,4,5)))</f>
        <v>5</v>
      </c>
      <c r="H65" s="130">
        <f>MAX($C$16,MIN($C$11,($C$16+($C$11-$C$16)*($F$52-J65)/$C$8)))</f>
        <v>77.8</v>
      </c>
      <c r="I65" s="131">
        <f>MAX($D$16,MIN($D$11,($D$16+($D$11-$D$16)*($F$52-J65)/$C$8)))</f>
        <v>90.6</v>
      </c>
      <c r="J65" s="10">
        <v>1920</v>
      </c>
      <c r="K65" s="32" t="s">
        <v>427</v>
      </c>
      <c r="L65" s="11" t="s">
        <v>873</v>
      </c>
      <c r="M65" s="12" t="s">
        <v>60</v>
      </c>
    </row>
    <row r="66" spans="1:13" ht="14.25" customHeight="1">
      <c r="A66" s="10" t="s">
        <v>380</v>
      </c>
      <c r="B66" s="12">
        <f t="shared" si="2"/>
        <v>0.9863048121623319</v>
      </c>
      <c r="C66" s="77">
        <f>IF($B$52-J66&gt;=$C$7,2,IF($B$52-J66&gt;=$C$7*2/3,3,IF($B$52-J66&gt;=$C$7*1/3,4,5)))</f>
        <v>4</v>
      </c>
      <c r="D66" s="130">
        <f>MAX($C$15,MIN($C$11,($C$15+($C$11-$C$15)*($B$52-J66)/$C$8)))</f>
        <v>76.1</v>
      </c>
      <c r="E66" s="131">
        <f>MAX($D$15,MIN($D$11,($D$15+($D$11-$D$15)*($B$52-J66)/$C$8)))</f>
        <v>84.7</v>
      </c>
      <c r="F66" s="116">
        <v>157</v>
      </c>
      <c r="G66" s="77">
        <f>IF($F$52-J66&gt;=$C$7,2,IF($F$52-J66&gt;=$C$7*2/3,3,IF($F$52-J66&gt;=$C$7*1/3,4,5)))</f>
        <v>3</v>
      </c>
      <c r="H66" s="130">
        <f>MAX($C$15,MIN($C$11,($C$15+($C$11-$C$15)*($F$52-J66)/$C$8)))</f>
        <v>97</v>
      </c>
      <c r="I66" s="131">
        <f>MAX($D$15,MIN($D$11,($D$15+($D$11-$D$15)*($F$52-J66)/$C$8)))</f>
        <v>99</v>
      </c>
      <c r="J66" s="10">
        <v>1900</v>
      </c>
      <c r="K66" s="32" t="s">
        <v>427</v>
      </c>
      <c r="L66" s="11" t="s">
        <v>412</v>
      </c>
      <c r="M66" s="12" t="s">
        <v>115</v>
      </c>
    </row>
    <row r="67" spans="1:13" ht="15" customHeight="1">
      <c r="A67" s="10" t="s">
        <v>381</v>
      </c>
      <c r="B67" s="12">
        <f t="shared" si="2"/>
        <v>5.113707752230179</v>
      </c>
      <c r="C67" s="77">
        <v>1</v>
      </c>
      <c r="D67" s="13">
        <f>$C$12</f>
        <v>97</v>
      </c>
      <c r="E67" s="14">
        <f>$D$12</f>
        <v>99</v>
      </c>
      <c r="F67" s="70">
        <v>814</v>
      </c>
      <c r="G67" s="77">
        <v>1</v>
      </c>
      <c r="H67" s="13">
        <f>$C$12</f>
        <v>97</v>
      </c>
      <c r="I67" s="14">
        <f>$D$12</f>
        <v>99</v>
      </c>
      <c r="J67" s="10"/>
      <c r="K67" s="11"/>
      <c r="L67" s="45" t="s">
        <v>411</v>
      </c>
      <c r="M67" s="12" t="s">
        <v>779</v>
      </c>
    </row>
    <row r="68" spans="1:13" ht="14.25" customHeight="1">
      <c r="A68" s="10" t="s">
        <v>382</v>
      </c>
      <c r="B68" s="12">
        <f t="shared" si="2"/>
        <v>3.8384219123005403</v>
      </c>
      <c r="C68" s="77">
        <v>1</v>
      </c>
      <c r="D68" s="13">
        <f>$C$12</f>
        <v>97</v>
      </c>
      <c r="E68" s="14">
        <f>$D$12</f>
        <v>99</v>
      </c>
      <c r="F68" s="70">
        <v>611</v>
      </c>
      <c r="G68" s="77">
        <v>1</v>
      </c>
      <c r="H68" s="13">
        <f>$C$12</f>
        <v>97</v>
      </c>
      <c r="I68" s="14">
        <f>$D$12</f>
        <v>99</v>
      </c>
      <c r="J68" s="10"/>
      <c r="K68" s="11"/>
      <c r="L68" s="45" t="s">
        <v>411</v>
      </c>
      <c r="M68" s="12" t="s">
        <v>116</v>
      </c>
    </row>
    <row r="69" spans="1:13" ht="24.75" customHeight="1">
      <c r="A69" s="10" t="s">
        <v>383</v>
      </c>
      <c r="B69" s="12">
        <f t="shared" si="2"/>
        <v>2.230179670812916</v>
      </c>
      <c r="C69" s="77">
        <f>IF($B$52-J69&gt;=$C$7,2,IF($B$52-J69&gt;=$C$7*2/3,3,IF($B$52-J69&gt;=$C$7*1/3,4,IF($B$52-J69&gt;=0,5,8))))</f>
        <v>3</v>
      </c>
      <c r="D69" s="130">
        <f>MAX($C$10,MIN($C$11,($C$14+($C$11-$C$14)*($B$52-J69)/$C$7)))</f>
        <v>73.28888888888889</v>
      </c>
      <c r="E69" s="131">
        <f>MAX($D$10,MIN($D$11,($D$14+($D$11-$D$14)*($B$52-J69)/$C$7)))</f>
        <v>79.6888888888889</v>
      </c>
      <c r="F69" s="70">
        <v>355</v>
      </c>
      <c r="G69" s="77">
        <f>IF($F$52-J69&gt;=$C$7,2,IF($F$52-J69&gt;=$C$7*2/3,3,IF($F$52-J69&gt;=$C$7*1/3,4,IF($F$52-J69&gt;=0,5,8))))</f>
        <v>2</v>
      </c>
      <c r="H69" s="130">
        <f>MAX($C$10,MIN($C$11,($C$14+($C$11-$C$14)*($F$52-J69)/$C$7)))</f>
        <v>97</v>
      </c>
      <c r="I69" s="131">
        <f>MAX($D$10,MIN($D$11,($D$14+($D$11-$D$14)*($F$52-J69)/$C$7)))</f>
        <v>99</v>
      </c>
      <c r="J69" s="10">
        <v>1885</v>
      </c>
      <c r="K69" s="11" t="s">
        <v>426</v>
      </c>
      <c r="L69" s="11" t="s">
        <v>303</v>
      </c>
      <c r="M69" s="12" t="s">
        <v>57</v>
      </c>
    </row>
    <row r="70" spans="1:13" ht="26.25" customHeight="1">
      <c r="A70" s="10" t="s">
        <v>384</v>
      </c>
      <c r="B70" s="12">
        <f t="shared" si="2"/>
        <v>5.226787284834778</v>
      </c>
      <c r="C70" s="77">
        <v>1</v>
      </c>
      <c r="D70" s="13">
        <f aca="true" t="shared" si="3" ref="D70:D77">$C$12</f>
        <v>97</v>
      </c>
      <c r="E70" s="14">
        <f aca="true" t="shared" si="4" ref="E70:E77">$D$12</f>
        <v>99</v>
      </c>
      <c r="F70" s="70">
        <v>832</v>
      </c>
      <c r="G70" s="77">
        <v>1</v>
      </c>
      <c r="H70" s="13">
        <f aca="true" t="shared" si="5" ref="H70:H77">$C$12</f>
        <v>97</v>
      </c>
      <c r="I70" s="14">
        <f aca="true" t="shared" si="6" ref="I70:I77">$D$12</f>
        <v>99</v>
      </c>
      <c r="J70" s="10"/>
      <c r="K70" s="11"/>
      <c r="L70" s="45" t="s">
        <v>411</v>
      </c>
      <c r="M70" s="12" t="s">
        <v>54</v>
      </c>
    </row>
    <row r="71" spans="1:13" ht="26.25" customHeight="1">
      <c r="A71" s="10" t="s">
        <v>323</v>
      </c>
      <c r="B71" s="12">
        <f t="shared" si="2"/>
        <v>3.2290488754868703</v>
      </c>
      <c r="C71" s="77">
        <v>1</v>
      </c>
      <c r="D71" s="13">
        <f t="shared" si="3"/>
        <v>97</v>
      </c>
      <c r="E71" s="14">
        <f t="shared" si="4"/>
        <v>99</v>
      </c>
      <c r="F71" s="70">
        <v>514</v>
      </c>
      <c r="G71" s="77">
        <v>1</v>
      </c>
      <c r="H71" s="13">
        <f t="shared" si="5"/>
        <v>97</v>
      </c>
      <c r="I71" s="14">
        <f t="shared" si="6"/>
        <v>99</v>
      </c>
      <c r="J71" s="10"/>
      <c r="K71" s="11"/>
      <c r="L71" s="45" t="s">
        <v>411</v>
      </c>
      <c r="M71" s="12" t="s">
        <v>54</v>
      </c>
    </row>
    <row r="72" spans="1:13" ht="25.5" customHeight="1">
      <c r="A72" s="10" t="s">
        <v>365</v>
      </c>
      <c r="B72" s="12">
        <f t="shared" si="2"/>
        <v>1.0679733634878754</v>
      </c>
      <c r="C72" s="77">
        <v>1</v>
      </c>
      <c r="D72" s="13">
        <f>$C$12-7</f>
        <v>90</v>
      </c>
      <c r="E72" s="14">
        <f>$D$12-5</f>
        <v>94</v>
      </c>
      <c r="F72" s="70">
        <v>170</v>
      </c>
      <c r="G72" s="77">
        <v>1</v>
      </c>
      <c r="H72" s="13">
        <f t="shared" si="5"/>
        <v>97</v>
      </c>
      <c r="I72" s="14">
        <f t="shared" si="6"/>
        <v>99</v>
      </c>
      <c r="J72" s="10"/>
      <c r="K72" s="11"/>
      <c r="L72" s="11"/>
      <c r="M72" s="12" t="s">
        <v>130</v>
      </c>
    </row>
    <row r="73" spans="1:13" ht="14.25" customHeight="1">
      <c r="A73" s="10" t="s">
        <v>385</v>
      </c>
      <c r="B73" s="12">
        <f t="shared" si="2"/>
        <v>0.2952632240231185</v>
      </c>
      <c r="C73" s="77">
        <v>1</v>
      </c>
      <c r="D73" s="13">
        <f t="shared" si="3"/>
        <v>97</v>
      </c>
      <c r="E73" s="14">
        <f t="shared" si="4"/>
        <v>99</v>
      </c>
      <c r="F73" s="70">
        <v>47</v>
      </c>
      <c r="G73" s="77">
        <v>1</v>
      </c>
      <c r="H73" s="13">
        <f t="shared" si="5"/>
        <v>97</v>
      </c>
      <c r="I73" s="14">
        <f t="shared" si="6"/>
        <v>99</v>
      </c>
      <c r="J73" s="10"/>
      <c r="K73" s="11"/>
      <c r="L73" s="45" t="s">
        <v>411</v>
      </c>
      <c r="M73" s="12" t="s">
        <v>118</v>
      </c>
    </row>
    <row r="74" spans="1:13" ht="14.25" customHeight="1">
      <c r="A74" s="10" t="s">
        <v>386</v>
      </c>
      <c r="B74" s="12">
        <f t="shared" si="2"/>
        <v>0.47116471918582736</v>
      </c>
      <c r="C74" s="77">
        <v>1</v>
      </c>
      <c r="D74" s="13">
        <f t="shared" si="3"/>
        <v>97</v>
      </c>
      <c r="E74" s="14">
        <f t="shared" si="4"/>
        <v>99</v>
      </c>
      <c r="F74" s="70">
        <v>75</v>
      </c>
      <c r="G74" s="77">
        <v>1</v>
      </c>
      <c r="H74" s="13">
        <f t="shared" si="5"/>
        <v>97</v>
      </c>
      <c r="I74" s="14">
        <f t="shared" si="6"/>
        <v>99</v>
      </c>
      <c r="J74" s="10"/>
      <c r="K74" s="11"/>
      <c r="L74" s="45" t="s">
        <v>411</v>
      </c>
      <c r="M74" s="12" t="s">
        <v>119</v>
      </c>
    </row>
    <row r="75" spans="1:13" ht="14.25" customHeight="1">
      <c r="A75" s="10" t="s">
        <v>364</v>
      </c>
      <c r="B75" s="12">
        <f t="shared" si="2"/>
        <v>0.44603593416258325</v>
      </c>
      <c r="C75" s="77">
        <v>1</v>
      </c>
      <c r="D75" s="13">
        <f t="shared" si="3"/>
        <v>97</v>
      </c>
      <c r="E75" s="14">
        <f t="shared" si="4"/>
        <v>99</v>
      </c>
      <c r="F75" s="70">
        <v>71</v>
      </c>
      <c r="G75" s="77">
        <v>1</v>
      </c>
      <c r="H75" s="13">
        <f t="shared" si="5"/>
        <v>97</v>
      </c>
      <c r="I75" s="14">
        <f t="shared" si="6"/>
        <v>99</v>
      </c>
      <c r="J75" s="10"/>
      <c r="K75" s="11"/>
      <c r="L75" s="45" t="s">
        <v>411</v>
      </c>
      <c r="M75" s="12" t="s">
        <v>120</v>
      </c>
    </row>
    <row r="76" spans="1:13" ht="14.25" customHeight="1">
      <c r="A76" s="10" t="s">
        <v>312</v>
      </c>
      <c r="B76" s="12">
        <f t="shared" si="2"/>
        <v>0.7412991581857017</v>
      </c>
      <c r="C76" s="77">
        <v>1</v>
      </c>
      <c r="D76" s="13">
        <f t="shared" si="3"/>
        <v>97</v>
      </c>
      <c r="E76" s="14">
        <f t="shared" si="4"/>
        <v>99</v>
      </c>
      <c r="F76" s="70">
        <v>118</v>
      </c>
      <c r="G76" s="77">
        <v>1</v>
      </c>
      <c r="H76" s="13">
        <f t="shared" si="5"/>
        <v>97</v>
      </c>
      <c r="I76" s="14">
        <f t="shared" si="6"/>
        <v>99</v>
      </c>
      <c r="J76" s="10"/>
      <c r="K76" s="11"/>
      <c r="L76" s="45" t="s">
        <v>411</v>
      </c>
      <c r="M76" s="12" t="s">
        <v>135</v>
      </c>
    </row>
    <row r="77" spans="1:13" ht="15" customHeight="1">
      <c r="A77" s="10" t="s">
        <v>387</v>
      </c>
      <c r="B77" s="12">
        <f t="shared" si="2"/>
        <v>2.43749214725468</v>
      </c>
      <c r="C77" s="77">
        <v>1</v>
      </c>
      <c r="D77" s="13">
        <f t="shared" si="3"/>
        <v>97</v>
      </c>
      <c r="E77" s="14">
        <f t="shared" si="4"/>
        <v>99</v>
      </c>
      <c r="F77" s="70">
        <v>388</v>
      </c>
      <c r="G77" s="77">
        <v>1</v>
      </c>
      <c r="H77" s="13">
        <f t="shared" si="5"/>
        <v>97</v>
      </c>
      <c r="I77" s="14">
        <f t="shared" si="6"/>
        <v>99</v>
      </c>
      <c r="J77" s="10"/>
      <c r="K77" s="11"/>
      <c r="L77" s="45" t="s">
        <v>411</v>
      </c>
      <c r="M77" s="12" t="s">
        <v>167</v>
      </c>
    </row>
    <row r="78" spans="1:13" ht="15.75" customHeight="1">
      <c r="A78" s="10" t="s">
        <v>307</v>
      </c>
      <c r="B78" s="12">
        <f t="shared" si="2"/>
        <v>2.7201909787661767</v>
      </c>
      <c r="C78" s="77">
        <f>IF($B$52-J78&gt;=$C$7,2,IF($B$52-J78&gt;=$C$7*2/3,3,IF($B$52-J78&gt;=$C$7*1/3,4,5)))</f>
        <v>4</v>
      </c>
      <c r="D78" s="130">
        <f>MAX($C$15,MIN($C$11,($C$15+($C$11-$C$15)*($B$52-J78)/$C$8)))</f>
        <v>76.1</v>
      </c>
      <c r="E78" s="131">
        <f>MAX($D$15,MIN($D$11,($D$15+($D$11-$D$15)*($B$52-J78)/$C$8)))</f>
        <v>84.7</v>
      </c>
      <c r="F78" s="70">
        <v>433</v>
      </c>
      <c r="G78" s="77">
        <f>IF($F$52-J78&gt;=$C$7,2,IF($F$52-J78&gt;=$C$7*2/3,3,IF($F$52-J78&gt;=$C$7*1/3,4,5)))</f>
        <v>3</v>
      </c>
      <c r="H78" s="130">
        <f>MAX($C$15,MIN($C$11,($C$15+($C$11-$C$15)*($F$52-J78)/$C$8)))</f>
        <v>97</v>
      </c>
      <c r="I78" s="131">
        <f>MAX($D$15,MIN($D$11,($D$15+($D$11-$D$15)*($F$52-J78)/$C$8)))</f>
        <v>99</v>
      </c>
      <c r="J78" s="10">
        <v>1900</v>
      </c>
      <c r="K78" s="11" t="s">
        <v>427</v>
      </c>
      <c r="L78" s="11" t="s">
        <v>412</v>
      </c>
      <c r="M78" s="12" t="s">
        <v>61</v>
      </c>
    </row>
    <row r="79" spans="1:13" ht="15.75" customHeight="1">
      <c r="A79" s="10" t="s">
        <v>388</v>
      </c>
      <c r="B79" s="12">
        <f t="shared" si="2"/>
        <v>1.7338861666038448</v>
      </c>
      <c r="C79" s="77">
        <v>1</v>
      </c>
      <c r="D79" s="13">
        <f>$C$12</f>
        <v>97</v>
      </c>
      <c r="E79" s="14">
        <f>$D$12</f>
        <v>99</v>
      </c>
      <c r="F79" s="70">
        <v>276</v>
      </c>
      <c r="G79" s="77">
        <v>1</v>
      </c>
      <c r="H79" s="13">
        <f>$C$12</f>
        <v>97</v>
      </c>
      <c r="I79" s="14">
        <f>$D$12</f>
        <v>99</v>
      </c>
      <c r="J79" s="10"/>
      <c r="K79" s="11"/>
      <c r="L79" s="45" t="s">
        <v>411</v>
      </c>
      <c r="M79" s="12" t="s">
        <v>779</v>
      </c>
    </row>
    <row r="80" spans="1:13" ht="15.75" customHeight="1">
      <c r="A80" s="10" t="s">
        <v>892</v>
      </c>
      <c r="B80" s="12">
        <f t="shared" si="2"/>
        <v>0.05653976630229928</v>
      </c>
      <c r="C80" s="77">
        <v>9</v>
      </c>
      <c r="D80" s="135">
        <v>10</v>
      </c>
      <c r="E80" s="133">
        <v>30</v>
      </c>
      <c r="F80" s="70">
        <v>9</v>
      </c>
      <c r="G80" s="77">
        <v>9</v>
      </c>
      <c r="H80" s="135">
        <v>10</v>
      </c>
      <c r="I80" s="133">
        <v>30</v>
      </c>
      <c r="J80" s="10"/>
      <c r="K80" s="11"/>
      <c r="L80" s="11"/>
      <c r="M80" s="12" t="s">
        <v>62</v>
      </c>
    </row>
    <row r="81" spans="1:13" ht="24" customHeight="1">
      <c r="A81" s="10" t="s">
        <v>389</v>
      </c>
      <c r="B81" s="12">
        <f t="shared" si="2"/>
        <v>4.975499434602337</v>
      </c>
      <c r="C81" s="77">
        <v>1</v>
      </c>
      <c r="D81" s="13">
        <f>$C$12</f>
        <v>97</v>
      </c>
      <c r="E81" s="14">
        <f>$D$12</f>
        <v>99</v>
      </c>
      <c r="F81" s="70">
        <v>792</v>
      </c>
      <c r="G81" s="77">
        <v>1</v>
      </c>
      <c r="H81" s="13">
        <f>$C$12</f>
        <v>97</v>
      </c>
      <c r="I81" s="14">
        <f>$D$12</f>
        <v>99</v>
      </c>
      <c r="J81" s="10"/>
      <c r="K81" s="11"/>
      <c r="L81" s="45" t="s">
        <v>411</v>
      </c>
      <c r="M81" s="12" t="s">
        <v>54</v>
      </c>
    </row>
    <row r="82" spans="1:13" ht="14.25" customHeight="1">
      <c r="A82" s="10" t="s">
        <v>390</v>
      </c>
      <c r="B82" s="12">
        <f t="shared" si="2"/>
        <v>0.36436738283703984</v>
      </c>
      <c r="C82" s="77">
        <f>IF($B$52-J82&gt;=$C$7,2,IF($B$52-J82&gt;=$C$7*2/3,3,IF($B$52-J82&gt;=$C$7*1/3,4,5)))</f>
        <v>5</v>
      </c>
      <c r="D82" s="130">
        <f>MAX($C$15,MIN($C$11,($C$15+($C$11-$C$15)*($B$52-J82)/$C$8)))</f>
        <v>47.6</v>
      </c>
      <c r="E82" s="131">
        <f>MAX($D$15,MIN($D$11,($D$15+($D$11-$D$15)*($B$52-J82)/$C$8)))</f>
        <v>65.2</v>
      </c>
      <c r="F82" s="70">
        <v>58</v>
      </c>
      <c r="G82" s="77">
        <f>IF($F$52-J82&gt;=$C$7,2,IF($F$52-J82&gt;=$C$7*2/3,3,IF($F$52-J82&gt;=$C$7*1/3,4,5)))</f>
        <v>4</v>
      </c>
      <c r="H82" s="130">
        <f>MAX($C$15,MIN($C$11,($C$15+($C$11-$C$15)*($F$52-J82)/$C$8)))</f>
        <v>72.3</v>
      </c>
      <c r="I82" s="131">
        <f>MAX($D$15,MIN($D$11,($D$15+($D$11-$D$15)*($F$52-J82)/$C$8)))</f>
        <v>82.1</v>
      </c>
      <c r="J82" s="10">
        <v>1915</v>
      </c>
      <c r="K82" s="11" t="s">
        <v>427</v>
      </c>
      <c r="L82" s="11" t="s">
        <v>412</v>
      </c>
      <c r="M82" s="12" t="s">
        <v>122</v>
      </c>
    </row>
    <row r="83" spans="1:13" ht="13.5" customHeight="1">
      <c r="A83" s="10" t="s">
        <v>391</v>
      </c>
      <c r="B83" s="12">
        <f t="shared" si="2"/>
        <v>0.2387234577208192</v>
      </c>
      <c r="C83" s="77">
        <v>1</v>
      </c>
      <c r="D83" s="13">
        <f>$C$12-3</f>
        <v>94</v>
      </c>
      <c r="E83" s="14">
        <f>$D$12-3</f>
        <v>96</v>
      </c>
      <c r="F83" s="70">
        <v>38</v>
      </c>
      <c r="G83" s="77">
        <v>1</v>
      </c>
      <c r="H83" s="13">
        <f>$C$12</f>
        <v>97</v>
      </c>
      <c r="I83" s="14">
        <f>$D$12</f>
        <v>99</v>
      </c>
      <c r="J83" s="10"/>
      <c r="K83" s="11"/>
      <c r="L83" s="45" t="s">
        <v>411</v>
      </c>
      <c r="M83" s="12" t="s">
        <v>123</v>
      </c>
    </row>
    <row r="84" spans="1:13" ht="24.75" customHeight="1">
      <c r="A84" s="10" t="s">
        <v>392</v>
      </c>
      <c r="B84" s="12">
        <f t="shared" si="2"/>
        <v>0.21359467269757507</v>
      </c>
      <c r="C84" s="77">
        <f>IF($B$52-J84&gt;=$C$7,6,7)</f>
        <v>7</v>
      </c>
      <c r="D84" s="130">
        <f>MAX($C$13,MIN($C$11,($C$13+($C$11-$C$13)*($B$52-J84)/$C$8)))</f>
        <v>75</v>
      </c>
      <c r="E84" s="131">
        <f>MAX($D$13,MIN($D$11,($D$13+($D$11-$D$13)*($B$52-J84)/$C$8)))</f>
        <v>85</v>
      </c>
      <c r="F84" s="70">
        <v>34</v>
      </c>
      <c r="G84" s="77">
        <f>IF($F$52-J84&gt;=$C$7,6,7)</f>
        <v>7</v>
      </c>
      <c r="H84" s="130">
        <f>MAX($C$13,MIN($C$11,($C$13+($C$11-$C$13)*($F$52-J84)/$C$8)))</f>
        <v>83.8</v>
      </c>
      <c r="I84" s="131">
        <f>MAX($D$13,MIN($D$11,($D$13+($D$11-$D$13)*($F$52-J84)/$C$8)))</f>
        <v>90.6</v>
      </c>
      <c r="J84" s="10">
        <v>1920</v>
      </c>
      <c r="K84" s="11" t="s">
        <v>124</v>
      </c>
      <c r="L84" s="11" t="s">
        <v>408</v>
      </c>
      <c r="M84" s="12" t="s">
        <v>63</v>
      </c>
    </row>
    <row r="85" spans="1:13" ht="24" customHeight="1">
      <c r="A85" s="10" t="s">
        <v>393</v>
      </c>
      <c r="B85" s="12">
        <f t="shared" si="2"/>
        <v>0.3266742053021736</v>
      </c>
      <c r="C85" s="77">
        <v>1</v>
      </c>
      <c r="D85" s="13">
        <f>$C$12</f>
        <v>97</v>
      </c>
      <c r="E85" s="14">
        <f>$D$12</f>
        <v>99</v>
      </c>
      <c r="F85" s="70">
        <v>52</v>
      </c>
      <c r="G85" s="77">
        <v>1</v>
      </c>
      <c r="H85" s="13">
        <f>$C$12</f>
        <v>97</v>
      </c>
      <c r="I85" s="14">
        <f>$D$12</f>
        <v>99</v>
      </c>
      <c r="J85" s="10"/>
      <c r="K85" s="11"/>
      <c r="L85" s="45" t="s">
        <v>411</v>
      </c>
      <c r="M85" s="12" t="s">
        <v>54</v>
      </c>
    </row>
    <row r="86" spans="1:13" ht="16.5" customHeight="1">
      <c r="A86" s="10" t="s">
        <v>394</v>
      </c>
      <c r="B86" s="12">
        <f t="shared" si="2"/>
        <v>0.785274531976379</v>
      </c>
      <c r="C86" s="77">
        <v>1</v>
      </c>
      <c r="D86" s="13">
        <f>$C$12</f>
        <v>97</v>
      </c>
      <c r="E86" s="14">
        <f>$D$12</f>
        <v>99</v>
      </c>
      <c r="F86" s="70">
        <v>125</v>
      </c>
      <c r="G86" s="77">
        <v>1</v>
      </c>
      <c r="H86" s="13">
        <f>$C$12</f>
        <v>97</v>
      </c>
      <c r="I86" s="14">
        <f>$D$12</f>
        <v>99</v>
      </c>
      <c r="J86" s="10"/>
      <c r="K86" s="11"/>
      <c r="L86" s="45" t="s">
        <v>411</v>
      </c>
      <c r="M86" s="12" t="s">
        <v>125</v>
      </c>
    </row>
    <row r="87" spans="1:13" ht="24" customHeight="1">
      <c r="A87" s="10" t="s">
        <v>395</v>
      </c>
      <c r="B87" s="12">
        <f t="shared" si="2"/>
        <v>0.2638522427440633</v>
      </c>
      <c r="C87" s="77">
        <f>IF($B$52-J87&gt;=$C$7,2,IF($B$52-J87&gt;=$C$7*2/3,3,IF($B$52-J87&gt;=$C$7*1/3,4,5)))</f>
        <v>5</v>
      </c>
      <c r="D87" s="130">
        <f>0.5*$C$12+0.5*MAX($C$16,MIN($C$11,($C$16+($C$11-$C$16)*($B$52-J87)/$C$8)))</f>
        <v>81</v>
      </c>
      <c r="E87" s="131">
        <f>0.5*$D$12+0.5*MAX($D$16,MIN($D$11,($D$16+($D$11-$D$16)*($B$52-J87)/$C$8)))</f>
        <v>92</v>
      </c>
      <c r="F87" s="70">
        <v>42</v>
      </c>
      <c r="G87" s="77">
        <f>IF($F$52-J87&gt;=$C$7,2,IF($F$52-J87&gt;=$C$7*2/3,3,IF($F$52-J87&gt;=$C$7*1/3,4,5)))</f>
        <v>5</v>
      </c>
      <c r="H87" s="130">
        <f>0.5*$C$12+0.5*MAX($C$16,MIN($C$11,($C$16+($C$11-$C$16)*($F$52-J87)/$C$8)))</f>
        <v>87.4</v>
      </c>
      <c r="I87" s="131">
        <f>0.5*$D$12+0.5*MAX($D$16,MIN($D$11,($D$16+($D$11-$D$16)*($F$52-J87)/$C$8)))</f>
        <v>94.8</v>
      </c>
      <c r="J87" s="10">
        <v>1920</v>
      </c>
      <c r="K87" s="11" t="s">
        <v>427</v>
      </c>
      <c r="L87" s="11" t="s">
        <v>873</v>
      </c>
      <c r="M87" s="12" t="s">
        <v>64</v>
      </c>
    </row>
    <row r="88" spans="1:13" ht="15.75" customHeight="1">
      <c r="A88" s="10" t="s">
        <v>396</v>
      </c>
      <c r="B88" s="12">
        <f t="shared" si="2"/>
        <v>1.5831134564643798</v>
      </c>
      <c r="C88" s="77">
        <f>IF($B$52-J88&gt;=$C$7,2,IF($B$52-J88&gt;=$C$7*2/3,3,IF($B$52-J88&gt;=$C$7*1/3,4,IF($B$52-J88&gt;=0,5,8))))</f>
        <v>3</v>
      </c>
      <c r="D88" s="130">
        <f>MAX($C$10,MIN($C$11,($C$14+($C$11-$C$14)*($B$52-J88)/$C$7)))</f>
        <v>73.28888888888889</v>
      </c>
      <c r="E88" s="131">
        <f>MAX($D$10,MIN($D$11,($D$14+($D$11-$D$14)*($B$52-J88)/$C$7)))</f>
        <v>79.6888888888889</v>
      </c>
      <c r="F88" s="70">
        <v>252</v>
      </c>
      <c r="G88" s="77">
        <f>IF($F$52-J88&gt;=$C$7,2,IF($F$52-J88&gt;=$C$7*2/3,3,IF($F$52-J88&gt;=$C$7*1/3,4,IF($F$52-J88&gt;=0,5,8))))</f>
        <v>2</v>
      </c>
      <c r="H88" s="130">
        <f>MAX($C$10,MIN($C$11,($C$14+($C$11-$C$14)*($F$52-J88)/$C$7)))</f>
        <v>97</v>
      </c>
      <c r="I88" s="131">
        <f>MAX($D$10,MIN($D$11,($D$14+($D$11-$D$14)*($F$52-J88)/$C$7)))</f>
        <v>99</v>
      </c>
      <c r="J88" s="10">
        <v>1885</v>
      </c>
      <c r="K88" s="11" t="s">
        <v>426</v>
      </c>
      <c r="L88" s="11" t="s">
        <v>303</v>
      </c>
      <c r="M88" s="12" t="s">
        <v>168</v>
      </c>
    </row>
    <row r="89" spans="1:13" ht="25.5" customHeight="1">
      <c r="A89" s="10" t="s">
        <v>397</v>
      </c>
      <c r="B89" s="12">
        <f t="shared" si="2"/>
        <v>46.5824852368388</v>
      </c>
      <c r="C89" s="77">
        <v>1</v>
      </c>
      <c r="D89" s="13">
        <f>$C$12</f>
        <v>97</v>
      </c>
      <c r="E89" s="14">
        <f>$D$12</f>
        <v>99</v>
      </c>
      <c r="F89" s="70">
        <v>7415</v>
      </c>
      <c r="G89" s="77">
        <v>1</v>
      </c>
      <c r="H89" s="13">
        <f>$C$12</f>
        <v>97</v>
      </c>
      <c r="I89" s="14">
        <f>$D$12</f>
        <v>99</v>
      </c>
      <c r="J89" s="10"/>
      <c r="K89" s="11"/>
      <c r="L89" s="45" t="s">
        <v>411</v>
      </c>
      <c r="M89" s="12" t="s">
        <v>54</v>
      </c>
    </row>
    <row r="90" spans="1:13" ht="12.75">
      <c r="A90" s="10" t="s">
        <v>368</v>
      </c>
      <c r="B90" s="12">
        <f>SUM(B55:B89)</f>
        <v>100</v>
      </c>
      <c r="C90" s="77"/>
      <c r="D90" s="13">
        <f>SUMPRODUCT(B55:B89,D55:D89)/100</f>
        <v>91.58806312909213</v>
      </c>
      <c r="E90" s="13">
        <f>SUMPRODUCT(B55:B89,E55:E89)/100</f>
        <v>94.88856570479261</v>
      </c>
      <c r="F90" s="70">
        <f>SUM(F55:F89)</f>
        <v>15918</v>
      </c>
      <c r="G90" s="77"/>
      <c r="H90" s="97">
        <f>SUMPRODUCT(F55:F89,H55:H89)/100</f>
        <v>15114.071777777779</v>
      </c>
      <c r="I90" s="97">
        <f>SUMPRODUCT(F55:F89,I55:I89)/100</f>
        <v>15505.815777777778</v>
      </c>
      <c r="J90" s="10"/>
      <c r="K90" s="11"/>
      <c r="L90" s="11"/>
      <c r="M90" s="12"/>
    </row>
    <row r="91" spans="1:13" ht="22.5">
      <c r="A91" s="17" t="s">
        <v>369</v>
      </c>
      <c r="B91" s="9"/>
      <c r="C91" s="71"/>
      <c r="D91" s="18">
        <f>100*D90/B90</f>
        <v>91.58806312909213</v>
      </c>
      <c r="E91" s="19">
        <f>100*E90/B90</f>
        <v>94.88856570479261</v>
      </c>
      <c r="F91" s="66"/>
      <c r="G91" s="71"/>
      <c r="H91" s="18">
        <f>100*H90/F90</f>
        <v>94.94956513241475</v>
      </c>
      <c r="I91" s="19">
        <f>100*I90/F90</f>
        <v>97.41057782245117</v>
      </c>
      <c r="J91" s="7"/>
      <c r="K91" s="8"/>
      <c r="L91" s="8"/>
      <c r="M91" s="9"/>
    </row>
    <row r="92" spans="1:15" ht="12.75">
      <c r="A92" s="181" t="s">
        <v>907</v>
      </c>
      <c r="B92" s="5"/>
      <c r="C92" s="182" t="s">
        <v>908</v>
      </c>
      <c r="D92" s="183"/>
      <c r="E92" s="213"/>
      <c r="F92" s="83"/>
      <c r="G92" s="182" t="s">
        <v>908</v>
      </c>
      <c r="H92" s="183"/>
      <c r="I92" s="179"/>
      <c r="J92" s="193"/>
      <c r="K92" s="5"/>
      <c r="L92" s="11"/>
      <c r="M92" s="11"/>
      <c r="N92" s="11"/>
      <c r="O92" s="11"/>
    </row>
    <row r="93" spans="1:13" ht="12.75">
      <c r="A93" s="31" t="s">
        <v>898</v>
      </c>
      <c r="B93" s="30">
        <f>SUMIF($C$55:$C$89,"1",$B$55:$B$89)</f>
        <v>85.21799221007664</v>
      </c>
      <c r="C93" s="122">
        <v>1</v>
      </c>
      <c r="D93" s="216">
        <f>B93+B94+B98</f>
        <v>85.21799221007664</v>
      </c>
      <c r="E93" s="47"/>
      <c r="F93" s="30">
        <f>SUMIF($G$55:$G$89,"1",$F$55:$F$89)</f>
        <v>13565</v>
      </c>
      <c r="G93" s="122">
        <v>1</v>
      </c>
      <c r="H93" s="216">
        <f>F93+F94+F98</f>
        <v>14375</v>
      </c>
      <c r="I93" s="15"/>
      <c r="J93" s="171"/>
      <c r="K93" s="11"/>
      <c r="L93" s="11"/>
      <c r="M93" s="11"/>
    </row>
    <row r="94" spans="1:13" ht="12.75">
      <c r="A94" s="31" t="s">
        <v>903</v>
      </c>
      <c r="B94" s="30">
        <f>SUMIF($C$55:$C$89,"2",$B$55:$B$89)</f>
        <v>0</v>
      </c>
      <c r="C94" s="122">
        <v>2</v>
      </c>
      <c r="D94" s="216">
        <f>B99</f>
        <v>0.21359467269757507</v>
      </c>
      <c r="E94" s="47"/>
      <c r="F94" s="30">
        <f>SUMIF($G$55:$G$89,"2",$F$55:$F$89)</f>
        <v>810</v>
      </c>
      <c r="G94" s="122">
        <v>2</v>
      </c>
      <c r="H94" s="216">
        <f>F99</f>
        <v>34</v>
      </c>
      <c r="I94" s="15"/>
      <c r="J94" s="171"/>
      <c r="K94" s="11"/>
      <c r="L94" s="11"/>
      <c r="M94" s="11"/>
    </row>
    <row r="95" spans="1:13" ht="13.5" customHeight="1">
      <c r="A95" s="31" t="s">
        <v>902</v>
      </c>
      <c r="B95" s="30">
        <f>SUMIF($C$55:$C$89,"3",$B$55:$B$89)</f>
        <v>5.088578967206935</v>
      </c>
      <c r="C95" s="122">
        <v>3</v>
      </c>
      <c r="D95" s="216">
        <f>B95</f>
        <v>5.088578967206935</v>
      </c>
      <c r="E95" s="47"/>
      <c r="F95" s="30">
        <f>SUMIF($G$55:$G$89,"3",$F$55:$F$89)</f>
        <v>829</v>
      </c>
      <c r="G95" s="122">
        <v>3</v>
      </c>
      <c r="H95" s="216">
        <f>F95</f>
        <v>829</v>
      </c>
      <c r="I95" s="15"/>
      <c r="J95" s="171"/>
      <c r="K95" s="11"/>
      <c r="L95" s="11"/>
      <c r="M95" s="11"/>
    </row>
    <row r="96" spans="1:13" ht="13.5" customHeight="1">
      <c r="A96" s="31" t="s">
        <v>904</v>
      </c>
      <c r="B96" s="30">
        <f>SUMIF($C$55:$C$89,"4",$B$55:$B$89)</f>
        <v>5.207940696067345</v>
      </c>
      <c r="C96" s="122">
        <v>4</v>
      </c>
      <c r="D96" s="216">
        <f>B96</f>
        <v>5.207940696067345</v>
      </c>
      <c r="E96" s="47"/>
      <c r="F96" s="30">
        <f>SUMIF($G$55:$G$89,"4",$F$55:$F$89)</f>
        <v>476</v>
      </c>
      <c r="G96" s="122">
        <v>4</v>
      </c>
      <c r="H96" s="216">
        <f>F96</f>
        <v>476</v>
      </c>
      <c r="I96" s="15"/>
      <c r="J96" s="171"/>
      <c r="K96" s="11"/>
      <c r="L96" s="11"/>
      <c r="M96" s="11"/>
    </row>
    <row r="97" spans="1:13" ht="14.25" customHeight="1">
      <c r="A97" s="31" t="s">
        <v>905</v>
      </c>
      <c r="B97" s="30">
        <f>SUMIF($C$55:$C$89,"5",$B$55:$B$89)</f>
        <v>4.215353687649202</v>
      </c>
      <c r="C97" s="122">
        <v>5</v>
      </c>
      <c r="D97" s="216">
        <f>B97</f>
        <v>4.215353687649202</v>
      </c>
      <c r="E97" s="47"/>
      <c r="F97" s="30">
        <f>SUMIF($G$55:$G$89,"5",$F$55:$F$89)</f>
        <v>195</v>
      </c>
      <c r="G97" s="122">
        <v>5</v>
      </c>
      <c r="H97" s="216">
        <f>F97</f>
        <v>195</v>
      </c>
      <c r="I97" s="15"/>
      <c r="J97" s="171"/>
      <c r="K97" s="11"/>
      <c r="L97" s="11"/>
      <c r="M97" s="11"/>
    </row>
    <row r="98" spans="1:13" ht="12.75">
      <c r="A98" s="31" t="s">
        <v>900</v>
      </c>
      <c r="B98" s="30">
        <f>SUMIF($C$55:$C$89,"6",$B$55:$B$89)</f>
        <v>0</v>
      </c>
      <c r="C98" s="122">
        <v>6</v>
      </c>
      <c r="D98" s="216">
        <f>B100</f>
        <v>0</v>
      </c>
      <c r="E98" s="47"/>
      <c r="F98" s="30">
        <f>SUMIF($G$55:$G$89,"6",$F$55:$F$89)</f>
        <v>0</v>
      </c>
      <c r="G98" s="122">
        <v>6</v>
      </c>
      <c r="H98" s="216">
        <f>F100</f>
        <v>0</v>
      </c>
      <c r="I98" s="15"/>
      <c r="J98" s="171"/>
      <c r="K98" s="11"/>
      <c r="L98" s="11"/>
      <c r="M98" s="11"/>
    </row>
    <row r="99" spans="1:13" ht="12.75">
      <c r="A99" s="31" t="s">
        <v>899</v>
      </c>
      <c r="B99" s="30">
        <f>SUMIF($C$55:$C$89,"7",$B$55:$B$89)</f>
        <v>0.21359467269757507</v>
      </c>
      <c r="C99" s="122">
        <v>7</v>
      </c>
      <c r="D99" s="216">
        <f>B101</f>
        <v>0.05653976630229928</v>
      </c>
      <c r="E99" s="47"/>
      <c r="F99" s="30">
        <f>SUMIF($G$55:$G$89,"7",$F$55:$F$89)</f>
        <v>34</v>
      </c>
      <c r="G99" s="122">
        <v>7</v>
      </c>
      <c r="H99" s="216">
        <f>F101</f>
        <v>9</v>
      </c>
      <c r="I99" s="15"/>
      <c r="J99" s="171"/>
      <c r="K99" s="11"/>
      <c r="L99" s="11"/>
      <c r="M99" s="11"/>
    </row>
    <row r="100" spans="1:13" ht="12.75">
      <c r="A100" s="31" t="s">
        <v>901</v>
      </c>
      <c r="B100" s="30">
        <f>SUMIF($C$55:$C$89,"8",$B$55:$B$89)</f>
        <v>0</v>
      </c>
      <c r="C100" s="36"/>
      <c r="D100" s="221"/>
      <c r="E100" s="47"/>
      <c r="F100" s="30">
        <f>SUMIF($G$55:$G$89,"8",$F$55:$F$89)</f>
        <v>0</v>
      </c>
      <c r="G100" s="135"/>
      <c r="H100" s="217"/>
      <c r="I100" s="11"/>
      <c r="J100" s="10"/>
      <c r="K100" s="11"/>
      <c r="L100" s="11"/>
      <c r="M100" s="11"/>
    </row>
    <row r="101" spans="1:13" ht="12.75">
      <c r="A101" s="31" t="s">
        <v>906</v>
      </c>
      <c r="B101" s="30">
        <f>SUMIF($C$55:$C$89,"9",$B$55:$B$89)</f>
        <v>0.05653976630229928</v>
      </c>
      <c r="C101" s="36"/>
      <c r="D101" s="217"/>
      <c r="E101" s="16"/>
      <c r="F101" s="30">
        <f>SUMIF($G$55:$G$89,"9",$F$55:$F$89)</f>
        <v>9</v>
      </c>
      <c r="G101" s="135"/>
      <c r="H101" s="217"/>
      <c r="I101" s="11"/>
      <c r="J101" s="10"/>
      <c r="K101" s="11"/>
      <c r="L101" s="11"/>
      <c r="M101" s="11"/>
    </row>
    <row r="102" spans="1:13" ht="12.75">
      <c r="A102" s="173" t="s">
        <v>368</v>
      </c>
      <c r="B102" s="215">
        <f>SUM(B93:B101)</f>
        <v>100</v>
      </c>
      <c r="C102" s="39"/>
      <c r="D102" s="215">
        <f>SUM(D93:D101)</f>
        <v>100</v>
      </c>
      <c r="E102" s="21"/>
      <c r="F102" s="215">
        <f>SUM(F93:F101)</f>
        <v>15918</v>
      </c>
      <c r="G102" s="180"/>
      <c r="H102" s="215">
        <f>SUM(H93:H101)</f>
        <v>15918</v>
      </c>
      <c r="I102" s="8"/>
      <c r="J102" s="10"/>
      <c r="K102" s="11"/>
      <c r="L102" s="11"/>
      <c r="M102" s="11"/>
    </row>
    <row r="103" spans="1:11" ht="12.75">
      <c r="A103" s="2"/>
      <c r="B103" s="2"/>
      <c r="C103" s="2"/>
      <c r="D103" s="2"/>
      <c r="E103" s="34"/>
      <c r="F103" s="34"/>
      <c r="G103" s="2"/>
      <c r="H103" s="2"/>
      <c r="I103" s="2"/>
      <c r="J103" s="2"/>
      <c r="K103" s="2"/>
    </row>
    <row r="104" spans="1:11" ht="87" customHeight="1">
      <c r="A104" s="301" t="s">
        <v>107</v>
      </c>
      <c r="B104" s="309"/>
      <c r="C104" s="309"/>
      <c r="D104" s="309"/>
      <c r="E104" s="309"/>
      <c r="F104" s="309"/>
      <c r="G104" s="309"/>
      <c r="H104" s="309"/>
      <c r="I104" s="310"/>
      <c r="J104" s="2"/>
      <c r="K104" s="2"/>
    </row>
  </sheetData>
  <mergeCells count="5">
    <mergeCell ref="D21:E21"/>
    <mergeCell ref="A104:I104"/>
    <mergeCell ref="A47:I47"/>
    <mergeCell ref="D53:E53"/>
    <mergeCell ref="H53:I53"/>
  </mergeCells>
  <printOptions/>
  <pageMargins left="0.75" right="0.75" top="1" bottom="1" header="0" footer="0"/>
  <pageSetup horizontalDpi="1200" verticalDpi="1200" orientation="portrait" r:id="rId3"/>
  <legacyDrawing r:id="rId2"/>
</worksheet>
</file>

<file path=xl/worksheets/sheet4.xml><?xml version="1.0" encoding="utf-8"?>
<worksheet xmlns="http://schemas.openxmlformats.org/spreadsheetml/2006/main" xmlns:r="http://schemas.openxmlformats.org/officeDocument/2006/relationships">
  <dimension ref="A2:O90"/>
  <sheetViews>
    <sheetView workbookViewId="0" topLeftCell="A58">
      <selection activeCell="L71" sqref="L71"/>
    </sheetView>
  </sheetViews>
  <sheetFormatPr defaultColWidth="9.140625" defaultRowHeight="12.75"/>
  <cols>
    <col min="1" max="1" width="27.00390625" style="0" customWidth="1"/>
    <col min="2" max="2" width="6.57421875" style="0" customWidth="1"/>
    <col min="3" max="3" width="5.7109375" style="0" customWidth="1"/>
    <col min="4" max="4" width="5.421875" style="0" customWidth="1"/>
    <col min="5" max="5" width="6.421875" style="0" customWidth="1"/>
    <col min="6" max="6" width="7.140625" style="0" customWidth="1"/>
    <col min="7" max="7" width="6.8515625" style="0" customWidth="1"/>
    <col min="8" max="8" width="7.28125" style="0" customWidth="1"/>
    <col min="9" max="9" width="6.7109375" style="0" customWidth="1"/>
    <col min="10" max="10" width="7.00390625" style="0" customWidth="1"/>
    <col min="11" max="11" width="11.00390625" style="0" customWidth="1"/>
    <col min="12" max="12" width="9.7109375" style="0" customWidth="1"/>
    <col min="13" max="13" width="49.421875" style="0" customWidth="1"/>
    <col min="14" max="14" width="9.7109375" style="0" customWidth="1"/>
    <col min="15" max="15" width="37.140625" style="0" customWidth="1"/>
  </cols>
  <sheetData>
    <row r="2" ht="20.25">
      <c r="A2" s="64" t="s">
        <v>484</v>
      </c>
    </row>
    <row r="3" ht="15">
      <c r="A3" s="65" t="s">
        <v>19</v>
      </c>
    </row>
    <row r="6" spans="3:6" ht="12.75">
      <c r="C6" s="67" t="s">
        <v>425</v>
      </c>
      <c r="D6" s="68"/>
      <c r="E6" s="68"/>
      <c r="F6" s="51"/>
    </row>
    <row r="7" spans="1:11" ht="12.75">
      <c r="A7" s="2"/>
      <c r="B7" s="2"/>
      <c r="C7" s="144">
        <f>Charts!$D$12</f>
        <v>45</v>
      </c>
      <c r="D7" s="75"/>
      <c r="E7" s="45" t="s">
        <v>890</v>
      </c>
      <c r="F7" s="42"/>
      <c r="G7" s="2"/>
      <c r="H7" s="2"/>
      <c r="I7" s="2"/>
      <c r="J7" s="2"/>
      <c r="K7" s="2"/>
    </row>
    <row r="8" spans="1:11" ht="12.75">
      <c r="A8" s="2"/>
      <c r="B8" s="2"/>
      <c r="C8" s="144">
        <f>Charts!$D$13</f>
        <v>30</v>
      </c>
      <c r="D8" s="45"/>
      <c r="E8" s="45" t="s">
        <v>889</v>
      </c>
      <c r="F8" s="42"/>
      <c r="G8" s="2"/>
      <c r="H8" s="2"/>
      <c r="I8" s="2"/>
      <c r="J8" s="2"/>
      <c r="K8" s="2"/>
    </row>
    <row r="9" spans="1:11" ht="12.75">
      <c r="A9" s="2"/>
      <c r="B9" s="2"/>
      <c r="C9" s="52" t="s">
        <v>305</v>
      </c>
      <c r="D9" s="49" t="s">
        <v>306</v>
      </c>
      <c r="E9" s="45"/>
      <c r="F9" s="42"/>
      <c r="G9" s="2"/>
      <c r="H9" s="2"/>
      <c r="I9" s="2"/>
      <c r="J9" s="2"/>
      <c r="K9" s="2"/>
    </row>
    <row r="10" spans="1:11" ht="12.75">
      <c r="A10" s="2"/>
      <c r="B10" s="2"/>
      <c r="C10" s="144">
        <f>Charts!$D$15</f>
        <v>0</v>
      </c>
      <c r="D10" s="143">
        <f>Charts!$E$15</f>
        <v>5</v>
      </c>
      <c r="E10" s="45" t="s">
        <v>303</v>
      </c>
      <c r="F10" s="42"/>
      <c r="G10" s="2"/>
      <c r="H10" s="2"/>
      <c r="I10" s="2"/>
      <c r="J10" s="2"/>
      <c r="K10" s="2"/>
    </row>
    <row r="11" spans="1:11" ht="12.75">
      <c r="A11" s="2"/>
      <c r="B11" s="2"/>
      <c r="C11" s="144">
        <f>Charts!$D$16</f>
        <v>97</v>
      </c>
      <c r="D11" s="143">
        <f>Charts!$E$16</f>
        <v>99</v>
      </c>
      <c r="E11" s="45" t="s">
        <v>410</v>
      </c>
      <c r="F11" s="42"/>
      <c r="G11" s="2"/>
      <c r="H11" s="2"/>
      <c r="I11" s="2"/>
      <c r="J11" s="2"/>
      <c r="K11" s="2"/>
    </row>
    <row r="12" spans="1:11" ht="12.75">
      <c r="A12" s="2"/>
      <c r="B12" s="2"/>
      <c r="C12" s="144">
        <f>Charts!$D$17</f>
        <v>97</v>
      </c>
      <c r="D12" s="143">
        <f>Charts!$E$17</f>
        <v>99</v>
      </c>
      <c r="E12" s="45" t="s">
        <v>411</v>
      </c>
      <c r="F12" s="69"/>
      <c r="G12" s="2"/>
      <c r="H12" s="2"/>
      <c r="I12" s="2"/>
      <c r="J12" s="2"/>
      <c r="K12" s="2"/>
    </row>
    <row r="13" spans="1:11" ht="12.75">
      <c r="A13" s="2"/>
      <c r="B13" s="2"/>
      <c r="C13" s="144">
        <f>Charts!$D$18</f>
        <v>75</v>
      </c>
      <c r="D13" s="143">
        <f>Charts!$E$18</f>
        <v>85</v>
      </c>
      <c r="E13" s="45" t="s">
        <v>408</v>
      </c>
      <c r="F13" s="42"/>
      <c r="G13" s="2"/>
      <c r="H13" s="2"/>
      <c r="I13" s="2"/>
      <c r="J13" s="2"/>
      <c r="K13" s="2"/>
    </row>
    <row r="14" spans="1:11" ht="12.75">
      <c r="A14" s="2"/>
      <c r="B14" s="2"/>
      <c r="C14" s="144">
        <f>Charts!$D$19</f>
        <v>0</v>
      </c>
      <c r="D14" s="143">
        <f>Charts!$E$19</f>
        <v>20</v>
      </c>
      <c r="E14" s="45" t="s">
        <v>409</v>
      </c>
      <c r="F14" s="42"/>
      <c r="G14" s="2"/>
      <c r="H14" s="2"/>
      <c r="I14" s="2"/>
      <c r="J14" s="2"/>
      <c r="K14" s="2"/>
    </row>
    <row r="15" spans="1:11" ht="12.75">
      <c r="A15" s="2"/>
      <c r="B15" s="2"/>
      <c r="C15" s="144">
        <f>Charts!$D$20</f>
        <v>40</v>
      </c>
      <c r="D15" s="143">
        <f>Charts!$E$20</f>
        <v>60</v>
      </c>
      <c r="E15" s="45" t="s">
        <v>412</v>
      </c>
      <c r="F15" s="42"/>
      <c r="G15" s="2"/>
      <c r="H15" s="2"/>
      <c r="I15" s="2"/>
      <c r="J15" s="2"/>
      <c r="K15" s="2"/>
    </row>
    <row r="16" spans="1:11" ht="12.75">
      <c r="A16" s="2"/>
      <c r="B16" s="2"/>
      <c r="C16" s="145">
        <f>Charts!$D$21</f>
        <v>65</v>
      </c>
      <c r="D16" s="59">
        <f>Charts!$E$21</f>
        <v>85</v>
      </c>
      <c r="E16" s="43" t="s">
        <v>873</v>
      </c>
      <c r="F16" s="48"/>
      <c r="G16" s="2"/>
      <c r="H16" s="2"/>
      <c r="I16" s="2"/>
      <c r="J16" s="2"/>
      <c r="K16" s="2"/>
    </row>
    <row r="17" spans="1:11" ht="12.75">
      <c r="A17" s="2"/>
      <c r="B17" s="2"/>
      <c r="C17" s="23"/>
      <c r="D17" s="23"/>
      <c r="E17" s="45"/>
      <c r="F17" s="2"/>
      <c r="G17" s="2"/>
      <c r="H17" s="2"/>
      <c r="I17" s="2"/>
      <c r="J17" s="2"/>
      <c r="K17" s="2"/>
    </row>
    <row r="19" spans="1:11" ht="15.75">
      <c r="A19" s="90" t="s">
        <v>486</v>
      </c>
      <c r="B19" s="2"/>
      <c r="C19" s="2"/>
      <c r="D19" s="2"/>
      <c r="E19" s="33"/>
      <c r="F19" s="2"/>
      <c r="G19" s="2"/>
      <c r="H19" s="2"/>
      <c r="I19" s="2"/>
      <c r="J19" s="2"/>
      <c r="K19" s="2"/>
    </row>
    <row r="20" spans="1:14" ht="15.75">
      <c r="A20" s="4" t="s">
        <v>485</v>
      </c>
      <c r="B20" s="63">
        <v>1960</v>
      </c>
      <c r="C20" s="75"/>
      <c r="D20" s="58"/>
      <c r="E20" s="27"/>
      <c r="F20" s="50"/>
      <c r="G20" s="27"/>
      <c r="H20" s="27"/>
      <c r="I20" s="27"/>
      <c r="J20" s="27"/>
      <c r="K20" s="37"/>
      <c r="L20" s="37"/>
      <c r="M20" s="37"/>
      <c r="N20" s="46"/>
    </row>
    <row r="21" spans="1:14" ht="22.5" customHeight="1">
      <c r="A21" s="28" t="s">
        <v>430</v>
      </c>
      <c r="B21" s="5" t="s">
        <v>304</v>
      </c>
      <c r="C21" s="76" t="s">
        <v>897</v>
      </c>
      <c r="D21" s="304" t="s">
        <v>400</v>
      </c>
      <c r="E21" s="305"/>
      <c r="F21" s="57" t="s">
        <v>6</v>
      </c>
      <c r="G21" s="5"/>
      <c r="H21" s="5"/>
      <c r="I21" s="5"/>
      <c r="J21" s="27"/>
      <c r="K21" s="37"/>
      <c r="L21" s="37"/>
      <c r="M21" s="37"/>
      <c r="N21" s="46"/>
    </row>
    <row r="22" spans="1:14" ht="24.75" customHeight="1">
      <c r="A22" s="7"/>
      <c r="B22" s="8"/>
      <c r="C22" s="71"/>
      <c r="D22" s="7" t="s">
        <v>305</v>
      </c>
      <c r="E22" s="9" t="s">
        <v>306</v>
      </c>
      <c r="F22" s="7" t="s">
        <v>431</v>
      </c>
      <c r="G22" s="8" t="s">
        <v>423</v>
      </c>
      <c r="H22" s="8" t="s">
        <v>424</v>
      </c>
      <c r="I22" s="49" t="s">
        <v>428</v>
      </c>
      <c r="J22" s="29"/>
      <c r="K22" s="39"/>
      <c r="L22" s="39"/>
      <c r="M22" s="39"/>
      <c r="N22" s="48"/>
    </row>
    <row r="23" spans="1:14" ht="22.5">
      <c r="A23" s="10" t="s">
        <v>513</v>
      </c>
      <c r="B23" s="12">
        <v>16</v>
      </c>
      <c r="C23" s="82">
        <f aca="true" t="shared" si="0" ref="C23:C29">IF($B$20-F23&gt;=$C$7,2,IF($B$20-F23&gt;=$C$7*2/3,3,IF($B$20-F23&gt;=$C$7*1/3,4,5)))</f>
        <v>2</v>
      </c>
      <c r="D23" s="130">
        <f>MAX($C$15,MIN($C$11,($C$15+($C$11-$C$15)*($B$20-F23)/$C$8)))</f>
        <v>97</v>
      </c>
      <c r="E23" s="131">
        <f>MAX($D$15,MIN($D$11,($D$15+($D$11-$D$15)*($B$20-F23)/$C$8)))</f>
        <v>99</v>
      </c>
      <c r="F23" s="28">
        <v>1900</v>
      </c>
      <c r="G23" s="5" t="s">
        <v>427</v>
      </c>
      <c r="H23" s="5" t="s">
        <v>412</v>
      </c>
      <c r="I23" s="72" t="s">
        <v>509</v>
      </c>
      <c r="J23" s="37"/>
      <c r="K23" s="37"/>
      <c r="L23" s="37"/>
      <c r="M23" s="37"/>
      <c r="N23" s="46"/>
    </row>
    <row r="24" spans="1:14" ht="13.5" customHeight="1">
      <c r="A24" s="10" t="s">
        <v>375</v>
      </c>
      <c r="B24" s="12">
        <v>13</v>
      </c>
      <c r="C24" s="77">
        <f t="shared" si="0"/>
        <v>2</v>
      </c>
      <c r="D24" s="130">
        <f>MAX($C$10,MIN($C$11,($C$14+($C$11-$C$14)*($B$20-F24)/$C$7)))</f>
        <v>97</v>
      </c>
      <c r="E24" s="131">
        <f>MAX($D$10,MIN($D$11,($D$14+($D$11-$D$14)*($B$20-F24)/$C$7)))</f>
        <v>99</v>
      </c>
      <c r="F24" s="10">
        <v>1885</v>
      </c>
      <c r="G24" s="11" t="s">
        <v>426</v>
      </c>
      <c r="H24" s="11" t="s">
        <v>303</v>
      </c>
      <c r="I24" s="42" t="s">
        <v>112</v>
      </c>
      <c r="J24" s="36"/>
      <c r="K24" s="36"/>
      <c r="L24" s="36"/>
      <c r="M24" s="36"/>
      <c r="N24" s="47"/>
    </row>
    <row r="25" spans="1:14" ht="22.5">
      <c r="A25" s="10" t="s">
        <v>514</v>
      </c>
      <c r="B25" s="12">
        <v>6</v>
      </c>
      <c r="C25" s="77">
        <f t="shared" si="0"/>
        <v>2</v>
      </c>
      <c r="D25" s="130">
        <f>MAX($C$15,MIN($C$11,($C$15+($C$11-$C$15)*($B$20-F25)/$C$8)))</f>
        <v>97</v>
      </c>
      <c r="E25" s="131">
        <f>MAX($D$15,MIN($D$11,($D$15+($D$11-$D$15)*($B$20-F25)/$C$8)))</f>
        <v>99</v>
      </c>
      <c r="F25" s="10">
        <v>1900</v>
      </c>
      <c r="G25" s="11" t="s">
        <v>427</v>
      </c>
      <c r="H25" s="11" t="s">
        <v>412</v>
      </c>
      <c r="I25" s="42" t="s">
        <v>115</v>
      </c>
      <c r="J25" s="36"/>
      <c r="K25" s="36"/>
      <c r="L25" s="36"/>
      <c r="M25" s="36"/>
      <c r="N25" s="47"/>
    </row>
    <row r="26" spans="1:14" ht="22.5">
      <c r="A26" s="10" t="s">
        <v>520</v>
      </c>
      <c r="B26" s="12">
        <v>3</v>
      </c>
      <c r="C26" s="77">
        <f t="shared" si="0"/>
        <v>2</v>
      </c>
      <c r="D26" s="130">
        <f>MAX($C$15,MIN($C$11,($C$15+($C$11-$C$15)*($B$20-F26)/$C$8)))</f>
        <v>97</v>
      </c>
      <c r="E26" s="131">
        <f>MAX($D$15,MIN($D$11,($D$15+($D$11-$D$15)*($B$20-F26)/$C$8)))</f>
        <v>99</v>
      </c>
      <c r="F26" s="10">
        <v>1900</v>
      </c>
      <c r="G26" s="11" t="s">
        <v>427</v>
      </c>
      <c r="H26" s="11" t="s">
        <v>412</v>
      </c>
      <c r="I26" s="42" t="s">
        <v>115</v>
      </c>
      <c r="J26" s="36"/>
      <c r="K26" s="36"/>
      <c r="L26" s="36"/>
      <c r="M26" s="36"/>
      <c r="N26" s="47"/>
    </row>
    <row r="27" spans="1:14" ht="22.5">
      <c r="A27" s="10" t="s">
        <v>515</v>
      </c>
      <c r="B27" s="12">
        <v>2.5</v>
      </c>
      <c r="C27" s="77">
        <f t="shared" si="0"/>
        <v>2</v>
      </c>
      <c r="D27" s="130">
        <f>MAX($C$15,MIN($C$11,($C$15+($C$11-$C$15)*($B$20-F27)/$C$8)))</f>
        <v>97</v>
      </c>
      <c r="E27" s="131">
        <f>MAX($D$15,MIN($D$11,($D$15+($D$11-$D$15)*($B$20-F27)/$C$8)))</f>
        <v>99</v>
      </c>
      <c r="F27" s="10">
        <v>1900</v>
      </c>
      <c r="G27" s="11" t="s">
        <v>427</v>
      </c>
      <c r="H27" s="11" t="s">
        <v>412</v>
      </c>
      <c r="I27" s="42" t="s">
        <v>110</v>
      </c>
      <c r="J27" s="36"/>
      <c r="K27" s="36"/>
      <c r="L27" s="36"/>
      <c r="M27" s="36"/>
      <c r="N27" s="47"/>
    </row>
    <row r="28" spans="1:14" ht="22.5">
      <c r="A28" s="10" t="s">
        <v>372</v>
      </c>
      <c r="B28" s="12">
        <v>33</v>
      </c>
      <c r="C28" s="77">
        <f t="shared" si="0"/>
        <v>2</v>
      </c>
      <c r="D28" s="130">
        <f>MAX($C$15,MIN($C$11,($C$15+($C$11-$C$15)*($B$20-F28)/$C$8)))</f>
        <v>97</v>
      </c>
      <c r="E28" s="131">
        <f>MAX($D$15,MIN($D$11,($D$15+($D$11-$D$15)*($B$20-F28)/$C$8)))</f>
        <v>99</v>
      </c>
      <c r="F28" s="10">
        <v>1900</v>
      </c>
      <c r="G28" s="11" t="s">
        <v>427</v>
      </c>
      <c r="H28" s="11" t="s">
        <v>412</v>
      </c>
      <c r="I28" s="42" t="s">
        <v>57</v>
      </c>
      <c r="J28" s="36"/>
      <c r="K28" s="36"/>
      <c r="L28" s="36"/>
      <c r="M28" s="36"/>
      <c r="N28" s="47"/>
    </row>
    <row r="29" spans="1:14" ht="22.5">
      <c r="A29" s="10" t="s">
        <v>521</v>
      </c>
      <c r="B29" s="16">
        <v>8</v>
      </c>
      <c r="C29" s="77">
        <f t="shared" si="0"/>
        <v>2</v>
      </c>
      <c r="D29" s="130">
        <f>MAX($C$15,MIN($C$11,($C$15+($C$11-$C$15)*($B$20-F29)/$C$8)))</f>
        <v>97</v>
      </c>
      <c r="E29" s="131">
        <f>MAX($D$15,MIN($D$11,($D$15+($D$11-$D$15)*($B$20-F29)/$C$8)))</f>
        <v>99</v>
      </c>
      <c r="F29" s="10">
        <v>1900</v>
      </c>
      <c r="G29" s="11" t="s">
        <v>427</v>
      </c>
      <c r="H29" s="11" t="s">
        <v>412</v>
      </c>
      <c r="I29" s="42" t="s">
        <v>115</v>
      </c>
      <c r="J29" s="36"/>
      <c r="K29" s="36"/>
      <c r="L29" s="36"/>
      <c r="M29" s="36"/>
      <c r="N29" s="47"/>
    </row>
    <row r="30" spans="1:14" ht="22.5">
      <c r="A30" s="10" t="s">
        <v>358</v>
      </c>
      <c r="B30" s="12">
        <v>3</v>
      </c>
      <c r="C30" s="77">
        <f>IF($B$20-F30&gt;=$C$7,2,IF($B$20-F30&gt;=$C$7*2/3,3,IF($B$20-F30&gt;=$C$7*1/3,4,IF($B$20-F30&gt;=0,5,8))))</f>
        <v>2</v>
      </c>
      <c r="D30" s="130">
        <f>MAX($C$10,MIN($C$11,($C$14+($C$11-$C$14)*($B$20-F30)/$C$7)))</f>
        <v>97</v>
      </c>
      <c r="E30" s="131">
        <f>MAX($D$10,MIN($D$11,($D$14+($D$11-$D$14)*($B$20-F30)/$C$7)))</f>
        <v>99</v>
      </c>
      <c r="F30" s="10">
        <v>1915</v>
      </c>
      <c r="G30" s="11" t="s">
        <v>426</v>
      </c>
      <c r="H30" s="11" t="s">
        <v>303</v>
      </c>
      <c r="I30" s="69" t="s">
        <v>70</v>
      </c>
      <c r="J30" s="36"/>
      <c r="K30" s="36"/>
      <c r="L30" s="36"/>
      <c r="M30" s="36"/>
      <c r="N30" s="47"/>
    </row>
    <row r="31" spans="1:14" ht="22.5">
      <c r="A31" s="10" t="s">
        <v>192</v>
      </c>
      <c r="B31" s="16">
        <v>1</v>
      </c>
      <c r="C31" s="77">
        <f>IF($B$20-F31&gt;=$C$7,2,IF($B$20-F31&gt;=$C$7*2/3,3,IF($B$20-F31&gt;=$C$7*1/3,4,IF($B$20-F31&gt;=0,5,8))))</f>
        <v>2</v>
      </c>
      <c r="D31" s="130">
        <f>MAX($C$10,MIN($C$11,($C$14+($C$11-$C$14)*($B$20-F31)/$C$7)))</f>
        <v>97</v>
      </c>
      <c r="E31" s="131">
        <f>MAX($D$10,MIN($D$11,($D$14+($D$11-$D$14)*($B$20-F31)/$C$7)))</f>
        <v>99</v>
      </c>
      <c r="F31" s="10">
        <v>1915</v>
      </c>
      <c r="G31" s="11" t="s">
        <v>426</v>
      </c>
      <c r="H31" s="11" t="s">
        <v>303</v>
      </c>
      <c r="I31" s="69" t="s">
        <v>71</v>
      </c>
      <c r="J31" s="36"/>
      <c r="K31" s="36"/>
      <c r="L31" s="36"/>
      <c r="M31" s="36"/>
      <c r="N31" s="47"/>
    </row>
    <row r="32" spans="1:14" ht="22.5">
      <c r="A32" s="10" t="s">
        <v>516</v>
      </c>
      <c r="B32" s="16">
        <v>2</v>
      </c>
      <c r="C32" s="77">
        <f>IF($B$20-F32&gt;=$C$7,2,IF($B$20-F32&gt;=$C$7*2/3,3,IF($B$20-F32&gt;=$C$7*1/3,4,IF($B$20-F32&gt;=0,5,8))))</f>
        <v>2</v>
      </c>
      <c r="D32" s="130">
        <f>MAX($C$10,MIN($C$11,($C$14+($C$11-$C$14)*($B$20-F32)/$C$7)))</f>
        <v>97</v>
      </c>
      <c r="E32" s="131">
        <f>MAX($D$10,MIN($D$11,($D$14+($D$11-$D$14)*($B$20-F32)/$C$7)))</f>
        <v>99</v>
      </c>
      <c r="F32" s="10">
        <v>1910</v>
      </c>
      <c r="G32" s="11" t="s">
        <v>426</v>
      </c>
      <c r="H32" s="11" t="s">
        <v>303</v>
      </c>
      <c r="I32" s="69" t="s">
        <v>72</v>
      </c>
      <c r="J32" s="36"/>
      <c r="K32" s="36"/>
      <c r="L32" s="36"/>
      <c r="M32" s="36"/>
      <c r="N32" s="47"/>
    </row>
    <row r="33" spans="1:14" ht="12.75">
      <c r="A33" s="31" t="s">
        <v>517</v>
      </c>
      <c r="B33" s="12">
        <v>1.5</v>
      </c>
      <c r="C33" s="77">
        <v>1</v>
      </c>
      <c r="D33" s="13">
        <f>$C$12</f>
        <v>97</v>
      </c>
      <c r="E33" s="14">
        <f>$D$12</f>
        <v>99</v>
      </c>
      <c r="F33" s="10"/>
      <c r="G33" s="36"/>
      <c r="H33" s="45" t="s">
        <v>411</v>
      </c>
      <c r="I33" s="69" t="s">
        <v>3</v>
      </c>
      <c r="J33" s="36"/>
      <c r="K33" s="36"/>
      <c r="L33" s="36"/>
      <c r="M33" s="36"/>
      <c r="N33" s="47"/>
    </row>
    <row r="34" spans="1:14" ht="12.75">
      <c r="A34" s="10" t="s">
        <v>518</v>
      </c>
      <c r="B34" s="12">
        <v>7</v>
      </c>
      <c r="C34" s="77">
        <v>9</v>
      </c>
      <c r="D34" s="13">
        <v>70</v>
      </c>
      <c r="E34" s="14">
        <v>90</v>
      </c>
      <c r="F34" s="10"/>
      <c r="G34" s="36"/>
      <c r="H34" s="36"/>
      <c r="I34" s="69" t="s">
        <v>73</v>
      </c>
      <c r="J34" s="36"/>
      <c r="K34" s="36"/>
      <c r="L34" s="36"/>
      <c r="M34" s="36"/>
      <c r="N34" s="47"/>
    </row>
    <row r="35" spans="1:14" ht="14.25" customHeight="1">
      <c r="A35" s="10" t="s">
        <v>519</v>
      </c>
      <c r="B35" s="12">
        <v>4</v>
      </c>
      <c r="C35" s="77">
        <v>1</v>
      </c>
      <c r="D35" s="13">
        <f>$C$12-7</f>
        <v>90</v>
      </c>
      <c r="E35" s="14">
        <f>$D$12-5</f>
        <v>94</v>
      </c>
      <c r="F35" s="10"/>
      <c r="G35" s="36"/>
      <c r="H35" s="36"/>
      <c r="I35" s="45" t="s">
        <v>522</v>
      </c>
      <c r="J35" s="36"/>
      <c r="K35" s="36"/>
      <c r="L35" s="36"/>
      <c r="M35" s="36"/>
      <c r="N35" s="47"/>
    </row>
    <row r="36" spans="1:14" ht="12.75">
      <c r="A36" s="10" t="s">
        <v>368</v>
      </c>
      <c r="B36" s="12">
        <f>SUM(B23:B35)</f>
        <v>100</v>
      </c>
      <c r="C36" s="77"/>
      <c r="D36" s="13">
        <f>SUMPRODUCT(B23:B35,D23:D35)/100</f>
        <v>94.83</v>
      </c>
      <c r="E36" s="13">
        <f>SUMPRODUCT(B23:B35,E23:E35)/100</f>
        <v>98.17</v>
      </c>
      <c r="F36" s="10"/>
      <c r="G36" s="36"/>
      <c r="H36" s="36"/>
      <c r="I36" s="36"/>
      <c r="J36" s="36"/>
      <c r="K36" s="36"/>
      <c r="L36" s="36"/>
      <c r="M36" s="36"/>
      <c r="N36" s="47"/>
    </row>
    <row r="37" spans="1:14" ht="22.5">
      <c r="A37" s="17" t="s">
        <v>369</v>
      </c>
      <c r="B37" s="9"/>
      <c r="C37" s="71"/>
      <c r="D37" s="18">
        <f>100*D36/B36</f>
        <v>94.83</v>
      </c>
      <c r="E37" s="19">
        <f>100*E36/B36</f>
        <v>98.17</v>
      </c>
      <c r="F37" s="7"/>
      <c r="G37" s="39"/>
      <c r="H37" s="39"/>
      <c r="I37" s="39"/>
      <c r="J37" s="39"/>
      <c r="K37" s="39"/>
      <c r="L37" s="39"/>
      <c r="M37" s="39"/>
      <c r="N37" s="48"/>
    </row>
    <row r="38" spans="1:15" ht="12.75">
      <c r="A38" s="181" t="s">
        <v>907</v>
      </c>
      <c r="B38" s="5"/>
      <c r="C38" s="182" t="s">
        <v>908</v>
      </c>
      <c r="D38" s="183"/>
      <c r="E38" s="213"/>
      <c r="F38" s="101"/>
      <c r="G38" s="219"/>
      <c r="H38" s="178"/>
      <c r="I38" s="83"/>
      <c r="J38" s="36"/>
      <c r="K38" s="36"/>
      <c r="L38" s="36"/>
      <c r="M38" s="36"/>
      <c r="N38" s="36"/>
      <c r="O38" s="36"/>
    </row>
    <row r="39" spans="1:15" ht="12.75">
      <c r="A39" s="31" t="s">
        <v>898</v>
      </c>
      <c r="B39" s="30">
        <f>SUMIF($C$23:$C$35,"1",$B$23:$B$35)</f>
        <v>5.5</v>
      </c>
      <c r="C39" s="122">
        <v>1</v>
      </c>
      <c r="D39" s="216">
        <f>B39+B40+B44</f>
        <v>93</v>
      </c>
      <c r="E39" s="47"/>
      <c r="F39" s="200"/>
      <c r="G39" s="122"/>
      <c r="H39" s="217"/>
      <c r="I39" s="15"/>
      <c r="J39" s="36"/>
      <c r="K39" s="36"/>
      <c r="L39" s="36"/>
      <c r="M39" s="36"/>
      <c r="N39" s="36"/>
      <c r="O39" s="36"/>
    </row>
    <row r="40" spans="1:15" ht="12.75">
      <c r="A40" s="31" t="s">
        <v>903</v>
      </c>
      <c r="B40" s="30">
        <f>SUMIF($C$23:$C$35,"2",$B$23:$B$35)</f>
        <v>87.5</v>
      </c>
      <c r="C40" s="122">
        <v>2</v>
      </c>
      <c r="D40" s="216">
        <f>B45</f>
        <v>0</v>
      </c>
      <c r="E40" s="47"/>
      <c r="F40" s="200"/>
      <c r="G40" s="122"/>
      <c r="H40" s="217"/>
      <c r="I40" s="15"/>
      <c r="J40" s="36"/>
      <c r="K40" s="36"/>
      <c r="L40" s="36"/>
      <c r="M40" s="36"/>
      <c r="N40" s="36"/>
      <c r="O40" s="36"/>
    </row>
    <row r="41" spans="1:15" ht="12.75" customHeight="1">
      <c r="A41" s="31" t="s">
        <v>902</v>
      </c>
      <c r="B41" s="30">
        <f>SUMIF($C$23:$C$35,"3",$B$23:$B$35)</f>
        <v>0</v>
      </c>
      <c r="C41" s="122">
        <v>3</v>
      </c>
      <c r="D41" s="216">
        <f>B41</f>
        <v>0</v>
      </c>
      <c r="E41" s="47"/>
      <c r="F41" s="200"/>
      <c r="G41" s="122"/>
      <c r="H41" s="217"/>
      <c r="I41" s="15"/>
      <c r="J41" s="36"/>
      <c r="K41" s="36"/>
      <c r="L41" s="36"/>
      <c r="M41" s="36"/>
      <c r="N41" s="36"/>
      <c r="O41" s="36"/>
    </row>
    <row r="42" spans="1:15" ht="12.75" customHeight="1">
      <c r="A42" s="31" t="s">
        <v>904</v>
      </c>
      <c r="B42" s="30">
        <f>SUMIF($C$23:$C$35,"4",$B$23:$B$35)</f>
        <v>0</v>
      </c>
      <c r="C42" s="122">
        <v>4</v>
      </c>
      <c r="D42" s="216">
        <f>B42</f>
        <v>0</v>
      </c>
      <c r="E42" s="47"/>
      <c r="F42" s="200"/>
      <c r="G42" s="122"/>
      <c r="H42" s="217"/>
      <c r="I42" s="15"/>
      <c r="J42" s="36"/>
      <c r="K42" s="36"/>
      <c r="L42" s="36"/>
      <c r="M42" s="36"/>
      <c r="N42" s="36"/>
      <c r="O42" s="36"/>
    </row>
    <row r="43" spans="1:15" ht="12" customHeight="1">
      <c r="A43" s="31" t="s">
        <v>905</v>
      </c>
      <c r="B43" s="30">
        <f>SUMIF($C$23:$C$35,"5",$B$23:$B$35)</f>
        <v>0</v>
      </c>
      <c r="C43" s="122">
        <v>5</v>
      </c>
      <c r="D43" s="216">
        <f>B43</f>
        <v>0</v>
      </c>
      <c r="E43" s="47"/>
      <c r="F43" s="200"/>
      <c r="G43" s="122"/>
      <c r="H43" s="217"/>
      <c r="I43" s="15"/>
      <c r="J43" s="36"/>
      <c r="K43" s="36"/>
      <c r="L43" s="36"/>
      <c r="M43" s="36"/>
      <c r="N43" s="36"/>
      <c r="O43" s="36"/>
    </row>
    <row r="44" spans="1:15" ht="12.75">
      <c r="A44" s="31" t="s">
        <v>900</v>
      </c>
      <c r="B44" s="30">
        <f>SUMIF($C$23:$C$35,"6",$B$23:$B$35)</f>
        <v>0</v>
      </c>
      <c r="C44" s="122">
        <v>6</v>
      </c>
      <c r="D44" s="216">
        <f>B46</f>
        <v>0</v>
      </c>
      <c r="E44" s="47"/>
      <c r="F44" s="200"/>
      <c r="G44" s="122"/>
      <c r="H44" s="217"/>
      <c r="I44" s="15"/>
      <c r="J44" s="36"/>
      <c r="K44" s="36"/>
      <c r="L44" s="36"/>
      <c r="M44" s="36"/>
      <c r="N44" s="36"/>
      <c r="O44" s="36"/>
    </row>
    <row r="45" spans="1:15" ht="12.75">
      <c r="A45" s="31" t="s">
        <v>899</v>
      </c>
      <c r="B45" s="30">
        <f>SUMIF($C$23:$C$35,"7",$B$23:$B$35)</f>
        <v>0</v>
      </c>
      <c r="C45" s="122">
        <v>7</v>
      </c>
      <c r="D45" s="216">
        <f>B47</f>
        <v>7</v>
      </c>
      <c r="E45" s="47"/>
      <c r="F45" s="200"/>
      <c r="G45" s="122"/>
      <c r="H45" s="217"/>
      <c r="I45" s="15"/>
      <c r="J45" s="36"/>
      <c r="K45" s="36"/>
      <c r="L45" s="36"/>
      <c r="M45" s="36"/>
      <c r="N45" s="36"/>
      <c r="O45" s="36"/>
    </row>
    <row r="46" spans="1:15" ht="12.75">
      <c r="A46" s="31" t="s">
        <v>901</v>
      </c>
      <c r="B46" s="30">
        <f>SUMIF($C$23:$C$35,"8",$B$23:$B$35)</f>
        <v>0</v>
      </c>
      <c r="C46" s="36"/>
      <c r="D46" s="221"/>
      <c r="E46" s="47"/>
      <c r="F46" s="200"/>
      <c r="G46" s="135"/>
      <c r="H46" s="217"/>
      <c r="I46" s="15"/>
      <c r="J46" s="36"/>
      <c r="K46" s="36"/>
      <c r="L46" s="36"/>
      <c r="M46" s="36"/>
      <c r="N46" s="36"/>
      <c r="O46" s="36"/>
    </row>
    <row r="47" spans="1:15" ht="12.75">
      <c r="A47" s="31" t="s">
        <v>906</v>
      </c>
      <c r="B47" s="30">
        <f>SUMIF($C$23:$C$35,"9",$B$23:$B$35)</f>
        <v>7</v>
      </c>
      <c r="C47" s="36"/>
      <c r="D47" s="217"/>
      <c r="E47" s="16"/>
      <c r="F47" s="200"/>
      <c r="G47" s="135"/>
      <c r="H47" s="217"/>
      <c r="I47" s="15"/>
      <c r="J47" s="36"/>
      <c r="K47" s="36"/>
      <c r="L47" s="36"/>
      <c r="M47" s="36"/>
      <c r="N47" s="36"/>
      <c r="O47" s="36"/>
    </row>
    <row r="48" spans="1:15" ht="12.75">
      <c r="A48" s="173" t="s">
        <v>368</v>
      </c>
      <c r="B48" s="215">
        <f>SUM(B39:B47)</f>
        <v>100</v>
      </c>
      <c r="C48" s="39"/>
      <c r="D48" s="215">
        <f>SUM(D39:D47)</f>
        <v>100</v>
      </c>
      <c r="E48" s="21"/>
      <c r="F48" s="200"/>
      <c r="G48" s="135"/>
      <c r="H48" s="217"/>
      <c r="I48" s="15"/>
      <c r="J48" s="36"/>
      <c r="K48" s="36"/>
      <c r="L48" s="36"/>
      <c r="M48" s="36"/>
      <c r="N48" s="36"/>
      <c r="O48" s="36"/>
    </row>
    <row r="49" spans="1:15" ht="12.75">
      <c r="A49" s="15"/>
      <c r="B49" s="15"/>
      <c r="C49" s="135"/>
      <c r="D49" s="135"/>
      <c r="E49" s="11"/>
      <c r="F49" s="11"/>
      <c r="G49" s="11"/>
      <c r="H49" s="36"/>
      <c r="I49" s="36"/>
      <c r="J49" s="36"/>
      <c r="K49" s="36"/>
      <c r="L49" s="36"/>
      <c r="M49" s="36"/>
      <c r="N49" s="36"/>
      <c r="O49" s="36"/>
    </row>
    <row r="50" spans="1:9" ht="56.25" customHeight="1">
      <c r="A50" s="301" t="s">
        <v>11</v>
      </c>
      <c r="B50" s="309"/>
      <c r="C50" s="309"/>
      <c r="D50" s="309"/>
      <c r="E50" s="309"/>
      <c r="F50" s="309"/>
      <c r="G50" s="309"/>
      <c r="H50" s="309"/>
      <c r="I50" s="310"/>
    </row>
    <row r="54" spans="1:11" ht="15.75">
      <c r="A54" s="90" t="s">
        <v>512</v>
      </c>
      <c r="B54" s="2"/>
      <c r="C54" s="2"/>
      <c r="D54" s="23"/>
      <c r="E54" s="23"/>
      <c r="F54" s="2"/>
      <c r="G54" s="2"/>
      <c r="H54" s="2"/>
      <c r="I54" s="2"/>
      <c r="J54" s="2"/>
      <c r="K54" s="2"/>
    </row>
    <row r="55" spans="1:13" ht="15.75">
      <c r="A55" s="4" t="s">
        <v>485</v>
      </c>
      <c r="B55" s="62">
        <v>1931</v>
      </c>
      <c r="C55" s="75"/>
      <c r="D55" s="27"/>
      <c r="E55" s="55"/>
      <c r="F55" s="62">
        <v>1949</v>
      </c>
      <c r="G55" s="75"/>
      <c r="H55" s="27"/>
      <c r="I55" s="55"/>
      <c r="J55" s="50"/>
      <c r="K55" s="27"/>
      <c r="L55" s="27"/>
      <c r="M55" s="38"/>
    </row>
    <row r="56" spans="1:13" ht="22.5" customHeight="1">
      <c r="A56" s="28" t="s">
        <v>909</v>
      </c>
      <c r="B56" s="5" t="s">
        <v>304</v>
      </c>
      <c r="C56" s="76" t="s">
        <v>897</v>
      </c>
      <c r="D56" s="304" t="s">
        <v>400</v>
      </c>
      <c r="E56" s="305"/>
      <c r="F56" s="5" t="s">
        <v>370</v>
      </c>
      <c r="G56" s="76" t="s">
        <v>897</v>
      </c>
      <c r="H56" s="304" t="s">
        <v>400</v>
      </c>
      <c r="I56" s="305"/>
      <c r="J56" s="57" t="s">
        <v>6</v>
      </c>
      <c r="K56" s="5"/>
      <c r="L56" s="5"/>
      <c r="M56" s="6"/>
    </row>
    <row r="57" spans="1:13" ht="22.5">
      <c r="A57" s="39"/>
      <c r="B57" s="8"/>
      <c r="C57" s="71"/>
      <c r="D57" s="7" t="s">
        <v>305</v>
      </c>
      <c r="E57" s="9" t="s">
        <v>306</v>
      </c>
      <c r="F57" s="8"/>
      <c r="G57" s="71"/>
      <c r="H57" s="7" t="s">
        <v>305</v>
      </c>
      <c r="I57" s="9" t="s">
        <v>306</v>
      </c>
      <c r="J57" s="7" t="s">
        <v>431</v>
      </c>
      <c r="K57" s="8" t="s">
        <v>423</v>
      </c>
      <c r="L57" s="8" t="s">
        <v>424</v>
      </c>
      <c r="M57" s="9" t="s">
        <v>428</v>
      </c>
    </row>
    <row r="58" spans="1:13" ht="13.5" customHeight="1">
      <c r="A58" s="10" t="s">
        <v>487</v>
      </c>
      <c r="B58" s="14">
        <f aca="true" t="shared" si="1" ref="B58:B75">100*F58/$F$76</f>
        <v>9.502730212585485</v>
      </c>
      <c r="C58" s="82">
        <f aca="true" t="shared" si="2" ref="C58:C63">IF($B$55-J58&gt;=$C$7,2,IF($B$55-J58&gt;=$C$7*2/3,3,IF($B$55-J58&gt;=$C$7*1/3,4,5)))</f>
        <v>3</v>
      </c>
      <c r="D58" s="130">
        <f>MAX($C$15,MIN($C$11,($C$15+($C$11-$C$15)*($B$55-J58)/$C$8)))</f>
        <v>97</v>
      </c>
      <c r="E58" s="131">
        <f>MAX($D$15,MIN($D$11,($D$15+($D$11-$D$15)*($B$55-J58)/$C$8)))</f>
        <v>99</v>
      </c>
      <c r="F58" s="12">
        <v>3585</v>
      </c>
      <c r="G58" s="226">
        <f aca="true" t="shared" si="3" ref="G58:G63">IF($F$55-J58&gt;=$C$7,2,IF($F$55-J58&gt;=$C$7*2/3,3,IF($F$55-J58&gt;=$C$7*1/3,4,5)))</f>
        <v>2</v>
      </c>
      <c r="H58" s="130">
        <f>MAX($C$15,MIN($C$11,($C$15+($C$11-$C$15)*($F$55-J58)/$C$8)))</f>
        <v>97</v>
      </c>
      <c r="I58" s="131">
        <f>MAX($D$15,MIN($D$11,($D$15+($D$11-$D$15)*($F$55-J58)/$C$8)))</f>
        <v>99</v>
      </c>
      <c r="J58" s="28">
        <v>1900</v>
      </c>
      <c r="K58" s="5" t="s">
        <v>427</v>
      </c>
      <c r="L58" s="5" t="s">
        <v>412</v>
      </c>
      <c r="M58" s="12" t="s">
        <v>509</v>
      </c>
    </row>
    <row r="59" spans="1:13" ht="24" customHeight="1">
      <c r="A59" s="10" t="s">
        <v>488</v>
      </c>
      <c r="B59" s="14">
        <f t="shared" si="1"/>
        <v>6.457085299263108</v>
      </c>
      <c r="C59" s="77">
        <f>IF($B$55-J59&gt;=$C$7,2,IF($B$55-J59&gt;=$C$7*2/3,3,IF($B$55-J59&gt;=$C$7*1/3,4,IF($B$55-J59&gt;=0,5,8))))</f>
        <v>2</v>
      </c>
      <c r="D59" s="130">
        <f>MAX($C$10,MIN($C$11,($C$14+($C$11-$C$14)*($B$55-J59)/$C$7)))</f>
        <v>97</v>
      </c>
      <c r="E59" s="131">
        <f>MAX($D$10,MIN($D$11,($D$14+($D$11-$D$14)*($B$55-J59)/$C$7)))</f>
        <v>99</v>
      </c>
      <c r="F59" s="12">
        <v>2436</v>
      </c>
      <c r="G59" s="227">
        <f>IF($F$55-J59&gt;=$C$7,2,IF($F$55-J59&gt;=$C$7*2/3,3,IF($F$55-J59&gt;=$C$7*1/3,4,IF($F$55-J59&gt;=0,5,8))))</f>
        <v>2</v>
      </c>
      <c r="H59" s="130">
        <f>MAX($C$10,MIN($C$11,($C$14+($C$11-$C$14)*($F$55-J59)/$C$7)))</f>
        <v>97</v>
      </c>
      <c r="I59" s="131">
        <f>MAX($D$10,MIN($D$11,($D$14+($D$11-$D$14)*($F$55-J59)/$C$7)))</f>
        <v>99</v>
      </c>
      <c r="J59" s="10">
        <v>1885</v>
      </c>
      <c r="K59" s="11" t="s">
        <v>426</v>
      </c>
      <c r="L59" s="11" t="s">
        <v>303</v>
      </c>
      <c r="M59" s="12" t="s">
        <v>112</v>
      </c>
    </row>
    <row r="60" spans="1:13" ht="14.25" customHeight="1">
      <c r="A60" s="10" t="s">
        <v>489</v>
      </c>
      <c r="B60" s="14">
        <f t="shared" si="1"/>
        <v>12.842601919100884</v>
      </c>
      <c r="C60" s="77">
        <f t="shared" si="2"/>
        <v>3</v>
      </c>
      <c r="D60" s="130">
        <f>MAX($C$15,MIN($C$11,($C$15+($C$11-$C$15)*($B$55-J60)/$C$8)))</f>
        <v>97</v>
      </c>
      <c r="E60" s="131">
        <f>MAX($D$15,MIN($D$11,($D$15+($D$11-$D$15)*($B$55-J60)/$C$8)))</f>
        <v>99</v>
      </c>
      <c r="F60" s="12">
        <v>4845</v>
      </c>
      <c r="G60" s="227">
        <f t="shared" si="3"/>
        <v>2</v>
      </c>
      <c r="H60" s="130">
        <f>MAX($C$15,MIN($C$11,($C$15+($C$11-$C$15)*($F$55-J60)/$C$8)))</f>
        <v>97</v>
      </c>
      <c r="I60" s="131">
        <f>MAX($D$15,MIN($D$11,($D$15+($D$11-$D$15)*($F$55-J60)/$C$8)))</f>
        <v>99</v>
      </c>
      <c r="J60" s="10">
        <v>1900</v>
      </c>
      <c r="K60" s="11" t="s">
        <v>427</v>
      </c>
      <c r="L60" s="11" t="s">
        <v>412</v>
      </c>
      <c r="M60" s="12" t="s">
        <v>115</v>
      </c>
    </row>
    <row r="61" spans="1:13" ht="24.75" customHeight="1">
      <c r="A61" s="10" t="s">
        <v>490</v>
      </c>
      <c r="B61" s="14">
        <f t="shared" si="1"/>
        <v>22.4911201823676</v>
      </c>
      <c r="C61" s="77">
        <f t="shared" si="2"/>
        <v>3</v>
      </c>
      <c r="D61" s="130">
        <f>MAX($C$15,MIN($C$11,($C$15+($C$11-$C$15)*($B$55-J61)/$C$8)))</f>
        <v>97</v>
      </c>
      <c r="E61" s="131">
        <f>MAX($D$15,MIN($D$11,($D$15+($D$11-$D$15)*($B$55-J61)/$C$8)))</f>
        <v>99</v>
      </c>
      <c r="F61" s="12">
        <v>8485</v>
      </c>
      <c r="G61" s="227">
        <f t="shared" si="3"/>
        <v>2</v>
      </c>
      <c r="H61" s="130">
        <f>MAX($C$15,MIN($C$11,($C$15+($C$11-$C$15)*($F$55-J61)/$C$8)))</f>
        <v>97</v>
      </c>
      <c r="I61" s="131">
        <f>MAX($D$15,MIN($D$11,($D$15+($D$11-$D$15)*($F$55-J61)/$C$8)))</f>
        <v>99</v>
      </c>
      <c r="J61" s="10">
        <v>1900</v>
      </c>
      <c r="K61" s="11" t="s">
        <v>427</v>
      </c>
      <c r="L61" s="11" t="s">
        <v>412</v>
      </c>
      <c r="M61" s="12" t="s">
        <v>57</v>
      </c>
    </row>
    <row r="62" spans="1:13" ht="14.25" customHeight="1">
      <c r="A62" s="10" t="s">
        <v>495</v>
      </c>
      <c r="B62" s="14">
        <f t="shared" si="1"/>
        <v>10.708794995493824</v>
      </c>
      <c r="C62" s="77">
        <f t="shared" si="2"/>
        <v>3</v>
      </c>
      <c r="D62" s="130">
        <f>MAX($C$15,MIN($C$11,($C$15+($C$11-$C$15)*($B$55-J62)/$C$8)))</f>
        <v>97</v>
      </c>
      <c r="E62" s="131">
        <f>MAX($D$15,MIN($D$11,($D$15+($D$11-$D$15)*($B$55-J62)/$C$8)))</f>
        <v>99</v>
      </c>
      <c r="F62" s="12">
        <v>4040</v>
      </c>
      <c r="G62" s="227">
        <f t="shared" si="3"/>
        <v>2</v>
      </c>
      <c r="H62" s="130">
        <f>MAX($C$15,MIN($C$11,($C$15+($C$11-$C$15)*($F$55-J62)/$C$8)))</f>
        <v>97</v>
      </c>
      <c r="I62" s="131">
        <f>MAX($D$15,MIN($D$11,($D$15+($D$11-$D$15)*($F$55-J62)/$C$8)))</f>
        <v>99</v>
      </c>
      <c r="J62" s="10">
        <v>1900</v>
      </c>
      <c r="K62" s="11" t="s">
        <v>427</v>
      </c>
      <c r="L62" s="11" t="s">
        <v>412</v>
      </c>
      <c r="M62" s="12" t="s">
        <v>115</v>
      </c>
    </row>
    <row r="63" spans="1:13" ht="13.5" customHeight="1">
      <c r="A63" s="10" t="s">
        <v>496</v>
      </c>
      <c r="B63" s="14">
        <f t="shared" si="1"/>
        <v>6.528653978688438</v>
      </c>
      <c r="C63" s="77">
        <f t="shared" si="2"/>
        <v>3</v>
      </c>
      <c r="D63" s="130">
        <f>MAX($C$15,MIN($C$11,($C$15+($C$11-$C$15)*($B$55-J63)/$C$8)))</f>
        <v>97</v>
      </c>
      <c r="E63" s="131">
        <f>MAX($D$15,MIN($D$11,($D$15+($D$11-$D$15)*($B$55-J63)/$C$8)))</f>
        <v>99</v>
      </c>
      <c r="F63" s="12">
        <v>2463</v>
      </c>
      <c r="G63" s="227">
        <f t="shared" si="3"/>
        <v>2</v>
      </c>
      <c r="H63" s="130">
        <f>MAX($C$15,MIN($C$11,($C$15+($C$11-$C$15)*($F$55-J63)/$C$8)))</f>
        <v>97</v>
      </c>
      <c r="I63" s="131">
        <f>MAX($D$15,MIN($D$11,($D$15+($D$11-$D$15)*($F$55-J63)/$C$8)))</f>
        <v>99</v>
      </c>
      <c r="J63" s="10">
        <v>1900</v>
      </c>
      <c r="K63" s="11" t="s">
        <v>427</v>
      </c>
      <c r="L63" s="11" t="s">
        <v>412</v>
      </c>
      <c r="M63" s="12" t="s">
        <v>115</v>
      </c>
    </row>
    <row r="64" spans="1:13" ht="24.75" customHeight="1">
      <c r="A64" s="10" t="s">
        <v>497</v>
      </c>
      <c r="B64" s="14">
        <f t="shared" si="1"/>
        <v>7.6870063086465565</v>
      </c>
      <c r="C64" s="77">
        <f>IF($B$55-J64&gt;=$C$7,2,IF($B$55-J64&gt;=$C$7*2/3,3,IF($B$55-J64&gt;=$C$7*1/3,4,IF($B$55-J64&gt;=0,5,8))))</f>
        <v>3</v>
      </c>
      <c r="D64" s="130">
        <f>MAX($C$10,MIN($C$11,($C$14+($C$11-$C$14)*($B$55-J64)/$C$7)))</f>
        <v>66.82222222222222</v>
      </c>
      <c r="E64" s="131">
        <f>MAX($D$10,MIN($D$11,($D$14+($D$11-$D$14)*($B$55-J64)/$C$7)))</f>
        <v>74.42222222222222</v>
      </c>
      <c r="F64" s="16">
        <v>2900</v>
      </c>
      <c r="G64" s="227">
        <f>IF($F$55-J64&gt;=$C$7,2,IF($F$55-J64&gt;=$C$7*2/3,3,IF($F$55-J64&gt;=$C$7*1/3,4,IF($F$55-J64&gt;=0,5,8))))</f>
        <v>2</v>
      </c>
      <c r="H64" s="130">
        <f>MAX($C$10,MIN($C$11,($C$14+($C$11-$C$14)*($F$55-J64)/$C$7)))</f>
        <v>97</v>
      </c>
      <c r="I64" s="131">
        <f>MAX($D$10,MIN($D$11,($D$14+($D$11-$D$14)*($F$55-J64)/$C$7)))</f>
        <v>99</v>
      </c>
      <c r="J64" s="10">
        <v>1900</v>
      </c>
      <c r="K64" s="11" t="s">
        <v>426</v>
      </c>
      <c r="L64" s="11" t="s">
        <v>303</v>
      </c>
      <c r="M64" s="12" t="s">
        <v>74</v>
      </c>
    </row>
    <row r="65" spans="1:13" ht="24.75" customHeight="1">
      <c r="A65" s="10" t="s">
        <v>498</v>
      </c>
      <c r="B65" s="14">
        <f t="shared" si="1"/>
        <v>3.8169962360176006</v>
      </c>
      <c r="C65" s="77">
        <v>9</v>
      </c>
      <c r="D65" s="13">
        <f>$C$12-12</f>
        <v>85</v>
      </c>
      <c r="E65" s="14">
        <f>$D$12-9</f>
        <v>90</v>
      </c>
      <c r="F65" s="12">
        <v>1440</v>
      </c>
      <c r="G65" s="227">
        <v>9</v>
      </c>
      <c r="H65" s="13">
        <f>$C$12-10</f>
        <v>87</v>
      </c>
      <c r="I65" s="14">
        <f>$D$12-8</f>
        <v>91</v>
      </c>
      <c r="J65" s="10"/>
      <c r="K65" s="11"/>
      <c r="L65" s="11"/>
      <c r="M65" s="12" t="s">
        <v>136</v>
      </c>
    </row>
    <row r="66" spans="1:13" ht="14.25" customHeight="1">
      <c r="A66" s="10" t="s">
        <v>499</v>
      </c>
      <c r="B66" s="14">
        <f t="shared" si="1"/>
        <v>0.4771245295022001</v>
      </c>
      <c r="C66" s="77">
        <v>1</v>
      </c>
      <c r="D66" s="13">
        <f>$C$12</f>
        <v>97</v>
      </c>
      <c r="E66" s="14">
        <f>$D$12</f>
        <v>99</v>
      </c>
      <c r="F66" s="16">
        <v>180</v>
      </c>
      <c r="G66" s="227">
        <v>1</v>
      </c>
      <c r="H66" s="13">
        <f>$C$12</f>
        <v>97</v>
      </c>
      <c r="I66" s="14">
        <f>$D$12</f>
        <v>99</v>
      </c>
      <c r="J66" s="10"/>
      <c r="K66" s="11"/>
      <c r="L66" s="45" t="s">
        <v>411</v>
      </c>
      <c r="M66" s="12" t="s">
        <v>94</v>
      </c>
    </row>
    <row r="67" spans="1:13" ht="12.75">
      <c r="A67" s="10" t="s">
        <v>500</v>
      </c>
      <c r="B67" s="14">
        <f t="shared" si="1"/>
        <v>0.5831522027249112</v>
      </c>
      <c r="C67" s="77">
        <f>IF($B$55-J67&gt;=$C$7,2,IF($B$55-J67&gt;=$C$7*2/3,3,IF($B$55-J67&gt;=$C$7*1/3,4,IF($B$55-J67&gt;=0,5,8))))</f>
        <v>4</v>
      </c>
      <c r="D67" s="130">
        <f>MAX($C$10,MIN($C$11,($C$14+($C$11-$C$14)*($B$55-J67)/$C$7)))</f>
        <v>34.48888888888889</v>
      </c>
      <c r="E67" s="131">
        <f>MAX($D$10,MIN($D$11,($D$14+($D$11-$D$14)*($B$55-J67)/$C$7)))</f>
        <v>48.08888888888889</v>
      </c>
      <c r="F67" s="16">
        <v>220</v>
      </c>
      <c r="G67" s="227">
        <f>IF($F$55-J67&gt;=$C$7,2,IF($F$55-J67&gt;=$C$7*2/3,3,IF($F$55-J67&gt;=$C$7*1/3,4,IF($F$55-J67&gt;=0,5,8))))</f>
        <v>3</v>
      </c>
      <c r="H67" s="130">
        <f>MAX($C$10,MIN($C$11,($C$14+($C$11-$C$14)*($F$55-J67)/$C$7)))</f>
        <v>73.28888888888889</v>
      </c>
      <c r="I67" s="131">
        <f>MAX($D$10,MIN($D$11,($D$14+($D$11-$D$14)*($F$55-J67)/$C$7)))</f>
        <v>79.6888888888889</v>
      </c>
      <c r="J67" s="10">
        <v>1915</v>
      </c>
      <c r="K67" s="11" t="s">
        <v>426</v>
      </c>
      <c r="L67" s="11" t="s">
        <v>303</v>
      </c>
      <c r="M67" s="12" t="s">
        <v>75</v>
      </c>
    </row>
    <row r="68" spans="1:13" ht="24.75" customHeight="1">
      <c r="A68" s="31" t="s">
        <v>508</v>
      </c>
      <c r="B68" s="14">
        <f t="shared" si="1"/>
        <v>0.9595504426655357</v>
      </c>
      <c r="C68" s="77">
        <f>IF($B$55-J68&gt;=$C$7,2,IF($B$55-J68&gt;=$C$7*2/3,3,IF($B$55-J68&gt;=$C$7*1/3,4,IF($B$55-J68&gt;=0,5,8))))</f>
        <v>3</v>
      </c>
      <c r="D68" s="130">
        <f>MAX($C$10,MIN($C$11,($C$14+($C$11-$C$14)*($B$55-J68)/$C$7)))</f>
        <v>71.13333333333334</v>
      </c>
      <c r="E68" s="131">
        <f>MAX($D$10,MIN($D$11,($D$14+($D$11-$D$14)*($B$55-J68)/$C$7)))</f>
        <v>77.93333333333334</v>
      </c>
      <c r="F68" s="12">
        <v>362</v>
      </c>
      <c r="G68" s="227">
        <f>IF($F$55-J68&gt;=$C$7,2,IF($F$55-J68&gt;=$C$7*2/3,3,IF($F$55-J68&gt;=$C$7*1/3,4,IF($F$55-J68&gt;=0,5,8))))</f>
        <v>2</v>
      </c>
      <c r="H68" s="130">
        <f>MAX($C$10,MIN($C$11,($C$14+($C$11-$C$14)*($F$55-J68)/$C$7)))</f>
        <v>97</v>
      </c>
      <c r="I68" s="131">
        <f>MAX($D$10,MIN($D$11,($D$14+($D$11-$D$14)*($F$55-J68)/$C$7)))</f>
        <v>99</v>
      </c>
      <c r="J68" s="10">
        <v>1898</v>
      </c>
      <c r="K68" s="11" t="s">
        <v>426</v>
      </c>
      <c r="L68" s="11" t="s">
        <v>303</v>
      </c>
      <c r="M68" s="16" t="s">
        <v>72</v>
      </c>
    </row>
    <row r="69" spans="1:13" ht="25.5" customHeight="1">
      <c r="A69" s="10" t="s">
        <v>501</v>
      </c>
      <c r="B69" s="14">
        <f t="shared" si="1"/>
        <v>0.8058103164926046</v>
      </c>
      <c r="C69" s="77">
        <v>9</v>
      </c>
      <c r="D69" s="13">
        <v>85</v>
      </c>
      <c r="E69" s="14">
        <v>90</v>
      </c>
      <c r="F69" s="12">
        <v>304</v>
      </c>
      <c r="G69" s="228">
        <v>9</v>
      </c>
      <c r="H69" s="13">
        <v>87</v>
      </c>
      <c r="I69" s="14">
        <v>92</v>
      </c>
      <c r="J69" s="10"/>
      <c r="K69" s="11"/>
      <c r="L69" s="11"/>
      <c r="M69" s="12" t="s">
        <v>475</v>
      </c>
    </row>
    <row r="70" spans="1:13" ht="26.25" customHeight="1">
      <c r="A70" s="10" t="s">
        <v>502</v>
      </c>
      <c r="B70" s="14">
        <f t="shared" si="1"/>
        <v>4.2278534697556065</v>
      </c>
      <c r="C70" s="77">
        <f>IF($B$55-J70&gt;=$C$7,2,IF($B$55-J70&gt;=$C$7*2/3,3,IF($B$55-J70&gt;=$C$7*1/3,4,IF($B$55-J70&gt;=0,5,8))))</f>
        <v>4</v>
      </c>
      <c r="D70" s="130">
        <f>MAX($C$10,MIN($C$11,($C$14+($C$11-$C$14)*($B$55-J70)/$C$7)))</f>
        <v>34.48888888888889</v>
      </c>
      <c r="E70" s="131">
        <f>MAX($D$10,MIN($D$11,($D$14+($D$11-$D$14)*($B$55-J70)/$C$7)))</f>
        <v>48.08888888888889</v>
      </c>
      <c r="F70" s="12">
        <v>1595</v>
      </c>
      <c r="G70" s="227">
        <f>IF($F$55-J70&gt;=$C$7,2,IF($F$55-J70&gt;=$C$7*2/3,3,IF($F$55-J70&gt;=$C$7*1/3,4,IF($F$55-J70&gt;=0,5,8))))</f>
        <v>3</v>
      </c>
      <c r="H70" s="130">
        <f>MAX($C$10,MIN($C$11,($C$14+($C$11-$C$14)*($F$55-J70)/$C$7)))</f>
        <v>73.28888888888889</v>
      </c>
      <c r="I70" s="131">
        <f>MAX($D$10,MIN($D$11,($D$14+($D$11-$D$14)*($F$55-J70)/$C$7)))</f>
        <v>79.6888888888889</v>
      </c>
      <c r="J70" s="10">
        <v>1915</v>
      </c>
      <c r="K70" s="11" t="s">
        <v>426</v>
      </c>
      <c r="L70" s="11" t="s">
        <v>303</v>
      </c>
      <c r="M70" s="16" t="s">
        <v>76</v>
      </c>
    </row>
    <row r="71" spans="1:13" ht="14.25" customHeight="1">
      <c r="A71" s="10" t="s">
        <v>503</v>
      </c>
      <c r="B71" s="14">
        <f t="shared" si="1"/>
        <v>5.245719132693633</v>
      </c>
      <c r="C71" s="77">
        <v>1</v>
      </c>
      <c r="D71" s="13">
        <f>$C$12</f>
        <v>97</v>
      </c>
      <c r="E71" s="14">
        <f>$D$12</f>
        <v>99</v>
      </c>
      <c r="F71" s="16">
        <v>1979</v>
      </c>
      <c r="G71" s="227">
        <v>1</v>
      </c>
      <c r="H71" s="13">
        <f>$C$12</f>
        <v>97</v>
      </c>
      <c r="I71" s="14">
        <f>$D$12</f>
        <v>99</v>
      </c>
      <c r="J71" s="10"/>
      <c r="K71" s="11"/>
      <c r="L71" s="45" t="s">
        <v>411</v>
      </c>
      <c r="M71" s="12" t="s">
        <v>119</v>
      </c>
    </row>
    <row r="72" spans="1:13" ht="26.25" customHeight="1">
      <c r="A72" s="10" t="s">
        <v>504</v>
      </c>
      <c r="B72" s="14">
        <f t="shared" si="1"/>
        <v>3.1808301966813337</v>
      </c>
      <c r="C72" s="77">
        <f>IF($B$55-J72&gt;=$C$7,2,IF($B$55-J72&gt;=$C$7*2/3,3,IF($B$55-J72&gt;=$C$7*1/3,4,IF($B$55-J72&gt;=0,5,8))))</f>
        <v>4</v>
      </c>
      <c r="D72" s="130">
        <f>MAX($C$10,MIN($C$11,($C$14+($C$11-$C$14)*($B$55-J72)/$C$7)))</f>
        <v>34.48888888888889</v>
      </c>
      <c r="E72" s="131">
        <f>MAX($D$10,MIN($D$11,($D$14+($D$11-$D$14)*($B$55-J72)/$C$7)))</f>
        <v>48.08888888888889</v>
      </c>
      <c r="F72" s="16">
        <v>1200</v>
      </c>
      <c r="G72" s="227">
        <f>IF($F$55-J72&gt;=$C$7,2,IF($F$55-J72&gt;=$C$7*2/3,3,IF($F$55-J72&gt;=$C$7*1/3,4,IF($F$55-J72&gt;=0,5,8))))</f>
        <v>3</v>
      </c>
      <c r="H72" s="130">
        <f>MAX($C$10,MIN($C$11,($C$14+($C$11-$C$14)*($F$55-J72)/$C$7)))</f>
        <v>73.28888888888889</v>
      </c>
      <c r="I72" s="131">
        <f>MAX($D$10,MIN($D$11,($D$14+($D$11-$D$14)*($F$55-J72)/$C$7)))</f>
        <v>79.6888888888889</v>
      </c>
      <c r="J72" s="10">
        <v>1915</v>
      </c>
      <c r="K72" s="11" t="s">
        <v>426</v>
      </c>
      <c r="L72" s="11" t="s">
        <v>303</v>
      </c>
      <c r="M72" s="16" t="s">
        <v>76</v>
      </c>
    </row>
    <row r="73" spans="1:13" ht="13.5" customHeight="1">
      <c r="A73" s="10" t="s">
        <v>505</v>
      </c>
      <c r="B73" s="14">
        <f t="shared" si="1"/>
        <v>2.40947887398611</v>
      </c>
      <c r="C73" s="77">
        <f>IF($B$55-J73&gt;=$C$7,2,IF($B$55-J73&gt;=$C$7*2/3,3,IF($B$55-J73&gt;=$C$7*1/3,4,IF($B$55-J73&gt;=0,5,8))))</f>
        <v>4</v>
      </c>
      <c r="D73" s="130">
        <f>MAX($C$10,MIN($C$11,($C$14+($C$11-$C$14)*($B$55-J73)/$C$7)))</f>
        <v>34.48888888888889</v>
      </c>
      <c r="E73" s="131">
        <f>MAX($D$10,MIN($D$11,($D$14+($D$11-$D$14)*($B$55-J73)/$C$7)))</f>
        <v>48.08888888888889</v>
      </c>
      <c r="F73" s="12">
        <v>909</v>
      </c>
      <c r="G73" s="227">
        <f>IF($F$55-J73&gt;=$C$7,2,IF($F$55-J73&gt;=$C$7*2/3,3,IF($F$55-J73&gt;=$C$7*1/3,4,IF($F$55-J73&gt;=0,5,8))))</f>
        <v>3</v>
      </c>
      <c r="H73" s="130">
        <f>MAX($C$10,MIN($C$11,($C$14+($C$11-$C$14)*($F$55-J73)/$C$7)))</f>
        <v>73.28888888888889</v>
      </c>
      <c r="I73" s="131">
        <f>MAX($D$10,MIN($D$11,($D$14+($D$11-$D$14)*($F$55-J73)/$C$7)))</f>
        <v>79.6888888888889</v>
      </c>
      <c r="J73" s="10">
        <v>1915</v>
      </c>
      <c r="K73" s="11" t="s">
        <v>426</v>
      </c>
      <c r="L73" s="11" t="s">
        <v>303</v>
      </c>
      <c r="M73" s="12" t="s">
        <v>77</v>
      </c>
    </row>
    <row r="74" spans="1:13" ht="24.75" customHeight="1">
      <c r="A74" s="10" t="s">
        <v>506</v>
      </c>
      <c r="B74" s="14">
        <f t="shared" si="1"/>
        <v>1.0947357260244923</v>
      </c>
      <c r="C74" s="77">
        <f>IF($B$55-J74&gt;=$C$7,2,IF($B$55-J74&gt;=$C$7*2/3,3,IF($B$55-J74&gt;=$C$7*1/3,4,IF($B$55-J74&gt;=0,5,8))))</f>
        <v>4</v>
      </c>
      <c r="D74" s="130">
        <f>MAX($C$10,MIN($C$11,($C$14+($C$11-$C$14)*($B$55-J74)/$C$7)))</f>
        <v>34.48888888888889</v>
      </c>
      <c r="E74" s="131">
        <f>MAX($D$10,MIN($D$11,($D$14+($D$11-$D$14)*($B$55-J74)/$C$7)))</f>
        <v>48.08888888888889</v>
      </c>
      <c r="F74" s="12">
        <v>413</v>
      </c>
      <c r="G74" s="227">
        <f>IF($F$55-J74&gt;=$C$7,2,IF($F$55-J74&gt;=$C$7*2/3,3,IF($F$55-J74&gt;=$C$7*1/3,4,IF($F$55-J74&gt;=0,5,8))))</f>
        <v>3</v>
      </c>
      <c r="H74" s="130">
        <f>MAX($C$10,MIN($C$11,($C$14+($C$11-$C$14)*($F$55-J74)/$C$7)))</f>
        <v>73.28888888888889</v>
      </c>
      <c r="I74" s="131">
        <f>MAX($D$10,MIN($D$11,($D$14+($D$11-$D$14)*($F$55-J74)/$C$7)))</f>
        <v>79.6888888888889</v>
      </c>
      <c r="J74" s="10">
        <v>1915</v>
      </c>
      <c r="K74" s="11" t="s">
        <v>426</v>
      </c>
      <c r="L74" s="11" t="s">
        <v>303</v>
      </c>
      <c r="M74" s="16" t="s">
        <v>76</v>
      </c>
    </row>
    <row r="75" spans="1:13" ht="24.75" customHeight="1">
      <c r="A75" s="10" t="s">
        <v>507</v>
      </c>
      <c r="B75" s="14">
        <f t="shared" si="1"/>
        <v>0.9807559773100779</v>
      </c>
      <c r="C75" s="77">
        <f>IF($B$55-J75&gt;=$C$7,2,IF($B$55-J75&gt;=$C$7*2/3,3,IF($B$55-J75&gt;=$C$7*1/3,4,5)))</f>
        <v>3</v>
      </c>
      <c r="D75" s="130">
        <f>MAX($C$15,MIN($C$11,($C$15+($C$11-$C$15)*($B$55-J75)/$C$8)))</f>
        <v>97</v>
      </c>
      <c r="E75" s="131">
        <f>MAX($D$15,MIN($D$11,($D$15+($D$11-$D$15)*($B$55-J75)/$C$8)))</f>
        <v>99</v>
      </c>
      <c r="F75" s="12">
        <v>370</v>
      </c>
      <c r="G75" s="227">
        <f>IF($F$55-J75&gt;=$C$7,2,IF($F$55-J75&gt;=$C$7*2/3,3,IF($F$55-J75&gt;=$C$7*1/3,4,5)))</f>
        <v>2</v>
      </c>
      <c r="H75" s="130">
        <f>MAX($C$15,MIN($C$11,($C$15+($C$11-$C$15)*($F$55-J75)/$C$8)))</f>
        <v>97</v>
      </c>
      <c r="I75" s="131">
        <f>MAX($D$15,MIN($D$11,($D$15+($D$11-$D$15)*($F$55-J75)/$C$8)))</f>
        <v>99</v>
      </c>
      <c r="J75" s="10">
        <v>1900</v>
      </c>
      <c r="K75" s="11" t="s">
        <v>427</v>
      </c>
      <c r="L75" s="11" t="s">
        <v>412</v>
      </c>
      <c r="M75" s="12" t="s">
        <v>109</v>
      </c>
    </row>
    <row r="76" spans="1:13" ht="12.75">
      <c r="A76" s="10" t="s">
        <v>368</v>
      </c>
      <c r="B76" s="14">
        <f>SUM(B58:B75)</f>
        <v>100.00000000000001</v>
      </c>
      <c r="C76" s="77"/>
      <c r="D76" s="13">
        <f>SUMPRODUCT(B58:B75,D58:D75)/100</f>
        <v>86.69098293543504</v>
      </c>
      <c r="E76" s="14">
        <f>SUMPRODUCT(B58:B75,E58:E75)/100</f>
        <v>90.63973976096649</v>
      </c>
      <c r="F76" s="12">
        <f>SUM(F58:F75)</f>
        <v>37726</v>
      </c>
      <c r="G76" s="227"/>
      <c r="H76" s="97">
        <f>SUMPRODUCT(F58:F75,H58:H75)/100</f>
        <v>35391.46911111111</v>
      </c>
      <c r="I76" s="107">
        <f>SUMPRODUCT(F58:F75,I58:I75)/100</f>
        <v>36374.73711111111</v>
      </c>
      <c r="J76" s="11"/>
      <c r="K76" s="11"/>
      <c r="L76" s="11"/>
      <c r="M76" s="12"/>
    </row>
    <row r="77" spans="1:13" ht="22.5">
      <c r="A77" s="17" t="s">
        <v>369</v>
      </c>
      <c r="B77" s="9"/>
      <c r="C77" s="71"/>
      <c r="D77" s="18">
        <f>100*D76/B76</f>
        <v>86.69098293543503</v>
      </c>
      <c r="E77" s="19">
        <f>100*E76/B76</f>
        <v>90.63973976096648</v>
      </c>
      <c r="F77" s="102"/>
      <c r="G77" s="229"/>
      <c r="H77" s="18">
        <f>100*H76/F76</f>
        <v>93.81187804461408</v>
      </c>
      <c r="I77" s="19">
        <f>100*I76/F76</f>
        <v>96.41821849947281</v>
      </c>
      <c r="J77" s="39"/>
      <c r="K77" s="39"/>
      <c r="L77" s="39"/>
      <c r="M77" s="48"/>
    </row>
    <row r="78" spans="1:15" ht="12.75">
      <c r="A78" s="181" t="s">
        <v>907</v>
      </c>
      <c r="B78" s="5"/>
      <c r="C78" s="182" t="s">
        <v>908</v>
      </c>
      <c r="D78" s="183"/>
      <c r="E78" s="213"/>
      <c r="F78" s="83"/>
      <c r="G78" s="182" t="s">
        <v>908</v>
      </c>
      <c r="H78" s="183"/>
      <c r="I78" s="194"/>
      <c r="J78" s="36"/>
      <c r="K78" s="36"/>
      <c r="L78" s="36"/>
      <c r="M78" s="36"/>
      <c r="N78" s="36"/>
      <c r="O78" s="36"/>
    </row>
    <row r="79" spans="1:15" ht="12.75">
      <c r="A79" s="31" t="s">
        <v>898</v>
      </c>
      <c r="B79" s="30">
        <f>SUMIF($C$58:$C$75,"1",$B$58:$B$75)</f>
        <v>5.722843662195833</v>
      </c>
      <c r="C79" s="122">
        <v>1</v>
      </c>
      <c r="D79" s="216">
        <f>B79+B80+B84</f>
        <v>12.179928961458941</v>
      </c>
      <c r="E79" s="47"/>
      <c r="F79" s="30">
        <f>SUMIF($G$58:$G$75,"1",$F$58:$F$75)</f>
        <v>2159</v>
      </c>
      <c r="G79" s="122">
        <v>1</v>
      </c>
      <c r="H79" s="216">
        <f>F79+F80+F84</f>
        <v>31645</v>
      </c>
      <c r="I79" s="16"/>
      <c r="J79" s="36"/>
      <c r="K79" s="36"/>
      <c r="L79" s="36"/>
      <c r="M79" s="36"/>
      <c r="N79" s="36"/>
      <c r="O79" s="36"/>
    </row>
    <row r="80" spans="1:15" ht="12.75">
      <c r="A80" s="31" t="s">
        <v>903</v>
      </c>
      <c r="B80" s="30">
        <f>SUMIF($C$58:$C$75,"2",$B$58:$B$75)</f>
        <v>6.457085299263108</v>
      </c>
      <c r="C80" s="122">
        <v>2</v>
      </c>
      <c r="D80" s="216">
        <f>B85</f>
        <v>0</v>
      </c>
      <c r="E80" s="47"/>
      <c r="F80" s="30">
        <f>SUMIF($G$58:$G$75,"2",$F$58:$F$75)</f>
        <v>29486</v>
      </c>
      <c r="G80" s="122">
        <v>2</v>
      </c>
      <c r="H80" s="216">
        <f>F85</f>
        <v>0</v>
      </c>
      <c r="I80" s="16"/>
      <c r="J80" s="36"/>
      <c r="K80" s="36"/>
      <c r="L80" s="36"/>
      <c r="M80" s="36"/>
      <c r="N80" s="36"/>
      <c r="O80" s="36"/>
    </row>
    <row r="81" spans="1:15" ht="14.25" customHeight="1">
      <c r="A81" s="31" t="s">
        <v>902</v>
      </c>
      <c r="B81" s="30">
        <f>SUMIF($C$58:$C$75,"3",$B$58:$B$75)</f>
        <v>71.7012140168584</v>
      </c>
      <c r="C81" s="122">
        <v>3</v>
      </c>
      <c r="D81" s="216">
        <f>B81</f>
        <v>71.7012140168584</v>
      </c>
      <c r="E81" s="47"/>
      <c r="F81" s="30">
        <f>SUMIF($G$58:$G$75,"3",$F$58:$F$75)</f>
        <v>4337</v>
      </c>
      <c r="G81" s="122">
        <v>3</v>
      </c>
      <c r="H81" s="216">
        <f>F81</f>
        <v>4337</v>
      </c>
      <c r="I81" s="16"/>
      <c r="J81" s="36"/>
      <c r="K81" s="36"/>
      <c r="L81" s="36"/>
      <c r="M81" s="36"/>
      <c r="N81" s="36"/>
      <c r="O81" s="36"/>
    </row>
    <row r="82" spans="1:15" ht="12.75" customHeight="1">
      <c r="A82" s="31" t="s">
        <v>904</v>
      </c>
      <c r="B82" s="30">
        <f>SUMIF($C$58:$C$75,"4",$B$58:$B$75)</f>
        <v>11.496050469172452</v>
      </c>
      <c r="C82" s="122">
        <v>4</v>
      </c>
      <c r="D82" s="216">
        <f>B82</f>
        <v>11.496050469172452</v>
      </c>
      <c r="E82" s="47"/>
      <c r="F82" s="30">
        <f>SUMIF($G$58:$G$75,"4",$F$58:$F$75)</f>
        <v>0</v>
      </c>
      <c r="G82" s="122">
        <v>4</v>
      </c>
      <c r="H82" s="216">
        <f>F82</f>
        <v>0</v>
      </c>
      <c r="I82" s="16"/>
      <c r="J82" s="36"/>
      <c r="K82" s="36"/>
      <c r="L82" s="36"/>
      <c r="M82" s="36"/>
      <c r="N82" s="36"/>
      <c r="O82" s="36"/>
    </row>
    <row r="83" spans="1:15" ht="12.75" customHeight="1">
      <c r="A83" s="31" t="s">
        <v>905</v>
      </c>
      <c r="B83" s="30">
        <f>SUMIF($C$58:$C$75,"5",$B$58:$B$75)</f>
        <v>0</v>
      </c>
      <c r="C83" s="122">
        <v>5</v>
      </c>
      <c r="D83" s="216">
        <f>B83</f>
        <v>0</v>
      </c>
      <c r="E83" s="47"/>
      <c r="F83" s="30">
        <f>SUMIF($G$58:$G$75,"5",$F$58:$F$75)</f>
        <v>0</v>
      </c>
      <c r="G83" s="122">
        <v>5</v>
      </c>
      <c r="H83" s="216">
        <f>F83</f>
        <v>0</v>
      </c>
      <c r="I83" s="16"/>
      <c r="J83" s="36"/>
      <c r="K83" s="36"/>
      <c r="L83" s="36"/>
      <c r="M83" s="36"/>
      <c r="N83" s="36"/>
      <c r="O83" s="36"/>
    </row>
    <row r="84" spans="1:15" ht="12.75">
      <c r="A84" s="31" t="s">
        <v>900</v>
      </c>
      <c r="B84" s="30">
        <f>SUMIF($C$58:$C$75,"6",$B$58:$B$75)</f>
        <v>0</v>
      </c>
      <c r="C84" s="122">
        <v>6</v>
      </c>
      <c r="D84" s="216">
        <f>B86</f>
        <v>0</v>
      </c>
      <c r="E84" s="47"/>
      <c r="F84" s="30">
        <f>SUMIF($G$58:$G$75,"6",$F$58:$F$75)</f>
        <v>0</v>
      </c>
      <c r="G84" s="122">
        <v>6</v>
      </c>
      <c r="H84" s="216">
        <f>F86</f>
        <v>0</v>
      </c>
      <c r="I84" s="16"/>
      <c r="J84" s="36"/>
      <c r="K84" s="36"/>
      <c r="L84" s="36"/>
      <c r="M84" s="36"/>
      <c r="N84" s="36"/>
      <c r="O84" s="36"/>
    </row>
    <row r="85" spans="1:15" ht="12.75">
      <c r="A85" s="31" t="s">
        <v>899</v>
      </c>
      <c r="B85" s="30">
        <f>SUMIF($C$58:$C$75,"7",$B$58:$B$75)</f>
        <v>0</v>
      </c>
      <c r="C85" s="122">
        <v>7</v>
      </c>
      <c r="D85" s="216">
        <f>B87</f>
        <v>4.622806552510205</v>
      </c>
      <c r="E85" s="47"/>
      <c r="F85" s="30">
        <f>SUMIF($G$58:$G$75,"7",$F$58:$F$75)</f>
        <v>0</v>
      </c>
      <c r="G85" s="122">
        <v>7</v>
      </c>
      <c r="H85" s="216">
        <f>F87</f>
        <v>1744</v>
      </c>
      <c r="I85" s="16"/>
      <c r="J85" s="36"/>
      <c r="K85" s="36"/>
      <c r="L85" s="36"/>
      <c r="M85" s="36"/>
      <c r="N85" s="36"/>
      <c r="O85" s="36"/>
    </row>
    <row r="86" spans="1:15" ht="12.75">
      <c r="A86" s="31" t="s">
        <v>901</v>
      </c>
      <c r="B86" s="30">
        <f>SUMIF($C$58:$C$75,"8",$B$58:$B$75)</f>
        <v>0</v>
      </c>
      <c r="C86" s="36"/>
      <c r="D86" s="221"/>
      <c r="E86" s="47"/>
      <c r="F86" s="30">
        <f>SUMIF($G$58:$G$75,"8",$F$58:$F$75)</f>
        <v>0</v>
      </c>
      <c r="G86" s="135"/>
      <c r="H86" s="217"/>
      <c r="I86" s="12"/>
      <c r="J86" s="36"/>
      <c r="K86" s="36"/>
      <c r="L86" s="36"/>
      <c r="M86" s="36"/>
      <c r="N86" s="36"/>
      <c r="O86" s="36"/>
    </row>
    <row r="87" spans="1:15" ht="12.75">
      <c r="A87" s="31" t="s">
        <v>906</v>
      </c>
      <c r="B87" s="30">
        <f>SUMIF($C$58:$C$75,"9",$B$58:$B$75)</f>
        <v>4.622806552510205</v>
      </c>
      <c r="C87" s="36"/>
      <c r="D87" s="217"/>
      <c r="E87" s="16"/>
      <c r="F87" s="30">
        <f>SUMIF($G$58:$G$75,"9",$F$58:$F$75)</f>
        <v>1744</v>
      </c>
      <c r="G87" s="135"/>
      <c r="H87" s="217"/>
      <c r="I87" s="12"/>
      <c r="J87" s="36"/>
      <c r="K87" s="36"/>
      <c r="L87" s="36"/>
      <c r="M87" s="36"/>
      <c r="N87" s="36"/>
      <c r="O87" s="36"/>
    </row>
    <row r="88" spans="1:15" ht="12.75">
      <c r="A88" s="173" t="s">
        <v>368</v>
      </c>
      <c r="B88" s="215">
        <f>SUM(B79:B87)</f>
        <v>100</v>
      </c>
      <c r="C88" s="39"/>
      <c r="D88" s="215">
        <f>SUM(D79:D87)</f>
        <v>100</v>
      </c>
      <c r="E88" s="21"/>
      <c r="F88" s="215">
        <f>SUM(F79:F87)</f>
        <v>37726</v>
      </c>
      <c r="G88" s="180"/>
      <c r="H88" s="215">
        <f>SUM(H79:H87)</f>
        <v>37726</v>
      </c>
      <c r="I88" s="9"/>
      <c r="J88" s="36"/>
      <c r="K88" s="36"/>
      <c r="L88" s="36"/>
      <c r="M88" s="36"/>
      <c r="N88" s="36"/>
      <c r="O88" s="36"/>
    </row>
    <row r="89" spans="1:15" ht="12.75">
      <c r="A89" s="15"/>
      <c r="B89" s="15"/>
      <c r="C89" s="135"/>
      <c r="D89" s="135"/>
      <c r="E89" s="15"/>
      <c r="F89" s="15"/>
      <c r="G89" s="22"/>
      <c r="H89" s="135"/>
      <c r="I89" s="135"/>
      <c r="J89" s="36"/>
      <c r="K89" s="36"/>
      <c r="L89" s="36"/>
      <c r="M89" s="36"/>
      <c r="N89" s="36"/>
      <c r="O89" s="36"/>
    </row>
    <row r="90" spans="1:9" ht="69.75" customHeight="1">
      <c r="A90" s="301" t="s">
        <v>13</v>
      </c>
      <c r="B90" s="309"/>
      <c r="C90" s="309"/>
      <c r="D90" s="309"/>
      <c r="E90" s="309"/>
      <c r="F90" s="309"/>
      <c r="G90" s="309"/>
      <c r="H90" s="309"/>
      <c r="I90" s="310"/>
    </row>
  </sheetData>
  <mergeCells count="5">
    <mergeCell ref="A90:I90"/>
    <mergeCell ref="A50:I50"/>
    <mergeCell ref="D21:E21"/>
    <mergeCell ref="D56:E56"/>
    <mergeCell ref="H56:I56"/>
  </mergeCells>
  <printOptions/>
  <pageMargins left="0.75" right="0.75" top="1" bottom="1" header="0" footer="0"/>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dimension ref="A2:O85"/>
  <sheetViews>
    <sheetView workbookViewId="0" topLeftCell="E19">
      <selection activeCell="O21" sqref="O21"/>
    </sheetView>
  </sheetViews>
  <sheetFormatPr defaultColWidth="9.140625" defaultRowHeight="12.75"/>
  <cols>
    <col min="1" max="1" width="26.8515625" style="0" customWidth="1"/>
    <col min="2" max="2" width="7.00390625" style="0" customWidth="1"/>
    <col min="3" max="3" width="6.28125" style="0" customWidth="1"/>
    <col min="4" max="5" width="6.140625" style="0" customWidth="1"/>
    <col min="6" max="7" width="6.7109375" style="0" customWidth="1"/>
    <col min="8" max="8" width="6.28125" style="0" customWidth="1"/>
    <col min="9" max="9" width="5.8515625" style="0" customWidth="1"/>
    <col min="10" max="10" width="7.140625" style="0" customWidth="1"/>
    <col min="11" max="11" width="10.7109375" style="0" customWidth="1"/>
    <col min="13" max="13" width="45.140625" style="0" customWidth="1"/>
    <col min="14" max="14" width="9.57421875" style="0" customWidth="1"/>
    <col min="15" max="15" width="57.00390625" style="0" customWidth="1"/>
  </cols>
  <sheetData>
    <row r="2" ht="20.25">
      <c r="A2" s="64" t="s">
        <v>523</v>
      </c>
    </row>
    <row r="3" ht="15">
      <c r="A3" s="65" t="s">
        <v>19</v>
      </c>
    </row>
    <row r="6" spans="3:6" ht="12.75">
      <c r="C6" s="67" t="s">
        <v>425</v>
      </c>
      <c r="D6" s="68"/>
      <c r="E6" s="68"/>
      <c r="F6" s="51"/>
    </row>
    <row r="7" spans="1:11" ht="12.75">
      <c r="A7" s="2"/>
      <c r="B7" s="2"/>
      <c r="C7" s="144">
        <f>Charts!$D$12</f>
        <v>45</v>
      </c>
      <c r="D7" s="75"/>
      <c r="E7" s="45" t="s">
        <v>890</v>
      </c>
      <c r="F7" s="42"/>
      <c r="G7" s="2"/>
      <c r="H7" s="2"/>
      <c r="I7" s="2"/>
      <c r="J7" s="2"/>
      <c r="K7" s="2"/>
    </row>
    <row r="8" spans="1:11" ht="12.75">
      <c r="A8" s="2"/>
      <c r="B8" s="2"/>
      <c r="C8" s="144">
        <f>Charts!$D$13</f>
        <v>30</v>
      </c>
      <c r="D8" s="45"/>
      <c r="E8" s="45" t="s">
        <v>889</v>
      </c>
      <c r="F8" s="42"/>
      <c r="G8" s="2"/>
      <c r="H8" s="2"/>
      <c r="I8" s="2"/>
      <c r="J8" s="2"/>
      <c r="K8" s="2"/>
    </row>
    <row r="9" spans="1:11" ht="12.75">
      <c r="A9" s="2"/>
      <c r="B9" s="2"/>
      <c r="C9" s="52" t="s">
        <v>305</v>
      </c>
      <c r="D9" s="49" t="s">
        <v>306</v>
      </c>
      <c r="E9" s="45"/>
      <c r="F9" s="42"/>
      <c r="G9" s="2"/>
      <c r="H9" s="2"/>
      <c r="I9" s="2"/>
      <c r="J9" s="2"/>
      <c r="K9" s="2"/>
    </row>
    <row r="10" spans="1:11" ht="12.75">
      <c r="A10" s="2"/>
      <c r="B10" s="2"/>
      <c r="C10" s="144">
        <f>Charts!$D$15</f>
        <v>0</v>
      </c>
      <c r="D10" s="143">
        <f>Charts!$E$15</f>
        <v>5</v>
      </c>
      <c r="E10" s="45" t="s">
        <v>303</v>
      </c>
      <c r="F10" s="42"/>
      <c r="G10" s="2"/>
      <c r="H10" s="2"/>
      <c r="I10" s="2"/>
      <c r="J10" s="2"/>
      <c r="K10" s="2"/>
    </row>
    <row r="11" spans="1:11" ht="12.75">
      <c r="A11" s="2"/>
      <c r="B11" s="2"/>
      <c r="C11" s="144">
        <f>Charts!$D$16</f>
        <v>97</v>
      </c>
      <c r="D11" s="143">
        <f>Charts!$E$16</f>
        <v>99</v>
      </c>
      <c r="E11" s="45" t="s">
        <v>410</v>
      </c>
      <c r="F11" s="42"/>
      <c r="G11" s="2"/>
      <c r="H11" s="2"/>
      <c r="I11" s="2"/>
      <c r="J11" s="2"/>
      <c r="K11" s="2"/>
    </row>
    <row r="12" spans="1:11" ht="12.75">
      <c r="A12" s="2"/>
      <c r="B12" s="2"/>
      <c r="C12" s="144">
        <f>Charts!$D$17</f>
        <v>97</v>
      </c>
      <c r="D12" s="143">
        <f>Charts!$E$17</f>
        <v>99</v>
      </c>
      <c r="E12" s="45" t="s">
        <v>411</v>
      </c>
      <c r="F12" s="69"/>
      <c r="G12" s="2"/>
      <c r="H12" s="2"/>
      <c r="I12" s="2"/>
      <c r="J12" s="2"/>
      <c r="K12" s="2"/>
    </row>
    <row r="13" spans="1:11" ht="12.75">
      <c r="A13" s="2"/>
      <c r="B13" s="2"/>
      <c r="C13" s="144">
        <f>Charts!$D$18</f>
        <v>75</v>
      </c>
      <c r="D13" s="143">
        <f>Charts!$E$18</f>
        <v>85</v>
      </c>
      <c r="E13" s="45" t="s">
        <v>408</v>
      </c>
      <c r="F13" s="42"/>
      <c r="G13" s="2"/>
      <c r="H13" s="2"/>
      <c r="I13" s="2"/>
      <c r="J13" s="2"/>
      <c r="K13" s="2"/>
    </row>
    <row r="14" spans="1:11" ht="12.75">
      <c r="A14" s="2"/>
      <c r="B14" s="2"/>
      <c r="C14" s="144">
        <f>Charts!$D$19</f>
        <v>0</v>
      </c>
      <c r="D14" s="143">
        <f>Charts!$E$19</f>
        <v>20</v>
      </c>
      <c r="E14" s="45" t="s">
        <v>409</v>
      </c>
      <c r="F14" s="42"/>
      <c r="G14" s="2"/>
      <c r="H14" s="2"/>
      <c r="I14" s="2"/>
      <c r="J14" s="2"/>
      <c r="K14" s="2"/>
    </row>
    <row r="15" spans="1:11" ht="12.75">
      <c r="A15" s="2"/>
      <c r="B15" s="2"/>
      <c r="C15" s="144">
        <f>Charts!$D$20</f>
        <v>40</v>
      </c>
      <c r="D15" s="143">
        <f>Charts!$E$20</f>
        <v>60</v>
      </c>
      <c r="E15" s="45" t="s">
        <v>412</v>
      </c>
      <c r="F15" s="42"/>
      <c r="G15" s="2"/>
      <c r="H15" s="2"/>
      <c r="I15" s="2"/>
      <c r="J15" s="2"/>
      <c r="K15" s="2"/>
    </row>
    <row r="16" spans="1:11" ht="12.75">
      <c r="A16" s="2"/>
      <c r="B16" s="2"/>
      <c r="C16" s="145">
        <f>Charts!$D$21</f>
        <v>65</v>
      </c>
      <c r="D16" s="59">
        <f>Charts!$E$21</f>
        <v>85</v>
      </c>
      <c r="E16" s="43" t="s">
        <v>873</v>
      </c>
      <c r="F16" s="48"/>
      <c r="G16" s="2"/>
      <c r="H16" s="2"/>
      <c r="I16" s="2"/>
      <c r="J16" s="2"/>
      <c r="K16" s="2"/>
    </row>
    <row r="17" spans="1:11" ht="12.75">
      <c r="A17" s="2"/>
      <c r="B17" s="2"/>
      <c r="C17" s="23"/>
      <c r="D17" s="23"/>
      <c r="E17" s="45"/>
      <c r="F17" s="2"/>
      <c r="G17" s="2"/>
      <c r="H17" s="2"/>
      <c r="I17" s="2"/>
      <c r="J17" s="2"/>
      <c r="K17" s="2"/>
    </row>
    <row r="18" spans="1:11" ht="12.75">
      <c r="A18" s="2"/>
      <c r="B18" s="2"/>
      <c r="C18" s="23"/>
      <c r="D18" s="23"/>
      <c r="E18" s="45"/>
      <c r="F18" s="2"/>
      <c r="G18" s="2"/>
      <c r="H18" s="2"/>
      <c r="I18" s="2"/>
      <c r="J18" s="2"/>
      <c r="K18" s="2"/>
    </row>
    <row r="19" spans="1:11" ht="15.75">
      <c r="A19" s="90" t="s">
        <v>524</v>
      </c>
      <c r="B19" s="2"/>
      <c r="C19" s="2"/>
      <c r="D19" s="23"/>
      <c r="E19" s="23"/>
      <c r="F19" s="2"/>
      <c r="G19" s="2"/>
      <c r="H19" s="2"/>
      <c r="I19" s="2"/>
      <c r="J19" s="2"/>
      <c r="K19" s="2"/>
    </row>
    <row r="20" spans="1:13" ht="15.75">
      <c r="A20" s="4" t="s">
        <v>525</v>
      </c>
      <c r="B20" s="62">
        <v>1934</v>
      </c>
      <c r="C20" s="75"/>
      <c r="D20" s="27"/>
      <c r="E20" s="55"/>
      <c r="F20" s="62">
        <v>1953</v>
      </c>
      <c r="G20" s="75"/>
      <c r="H20" s="27"/>
      <c r="I20" s="55"/>
      <c r="J20" s="50"/>
      <c r="K20" s="27"/>
      <c r="L20" s="27"/>
      <c r="M20" s="38"/>
    </row>
    <row r="21" spans="1:13" ht="24" customHeight="1">
      <c r="A21" s="28" t="s">
        <v>430</v>
      </c>
      <c r="B21" s="5" t="s">
        <v>304</v>
      </c>
      <c r="C21" s="76" t="s">
        <v>897</v>
      </c>
      <c r="D21" s="304" t="s">
        <v>400</v>
      </c>
      <c r="E21" s="305"/>
      <c r="F21" s="5" t="s">
        <v>370</v>
      </c>
      <c r="G21" s="76" t="s">
        <v>897</v>
      </c>
      <c r="H21" s="304" t="s">
        <v>400</v>
      </c>
      <c r="I21" s="305"/>
      <c r="J21" s="57" t="s">
        <v>6</v>
      </c>
      <c r="K21" s="5"/>
      <c r="L21" s="5"/>
      <c r="M21" s="6"/>
    </row>
    <row r="22" spans="1:13" ht="22.5">
      <c r="A22" s="39"/>
      <c r="B22" s="8"/>
      <c r="C22" s="71"/>
      <c r="D22" s="7" t="s">
        <v>305</v>
      </c>
      <c r="E22" s="9" t="s">
        <v>306</v>
      </c>
      <c r="F22" s="8"/>
      <c r="G22" s="71"/>
      <c r="H22" s="7" t="s">
        <v>305</v>
      </c>
      <c r="I22" s="9" t="s">
        <v>306</v>
      </c>
      <c r="J22" s="7" t="s">
        <v>431</v>
      </c>
      <c r="K22" s="8" t="s">
        <v>423</v>
      </c>
      <c r="L22" s="8" t="s">
        <v>424</v>
      </c>
      <c r="M22" s="9" t="s">
        <v>428</v>
      </c>
    </row>
    <row r="23" spans="1:13" ht="25.5" customHeight="1">
      <c r="A23" s="10" t="s">
        <v>526</v>
      </c>
      <c r="B23" s="14">
        <f aca="true" t="shared" si="0" ref="B23:B70">100*F23/$F$71</f>
        <v>40.668711197546564</v>
      </c>
      <c r="C23" s="82">
        <v>1</v>
      </c>
      <c r="D23" s="13">
        <f>$C$12</f>
        <v>97</v>
      </c>
      <c r="E23" s="14">
        <f>$D$12</f>
        <v>99</v>
      </c>
      <c r="F23" s="12">
        <v>5437</v>
      </c>
      <c r="G23" s="82">
        <v>1</v>
      </c>
      <c r="H23" s="13">
        <f aca="true" t="shared" si="1" ref="H23:H30">$C$12</f>
        <v>97</v>
      </c>
      <c r="I23" s="14">
        <f aca="true" t="shared" si="2" ref="I23:I30">$D$12</f>
        <v>99</v>
      </c>
      <c r="J23" s="28"/>
      <c r="K23" s="5"/>
      <c r="L23" s="45" t="s">
        <v>411</v>
      </c>
      <c r="M23" s="6" t="s">
        <v>78</v>
      </c>
    </row>
    <row r="24" spans="1:13" ht="24" customHeight="1">
      <c r="A24" s="10" t="s">
        <v>527</v>
      </c>
      <c r="B24" s="14">
        <f t="shared" si="0"/>
        <v>4.330914802902236</v>
      </c>
      <c r="C24" s="77">
        <f>IF($B$20-J24&gt;=$C$7,2,IF($B$20-J24&gt;=$C$7*2/3,3,IF($B$20-J24&gt;=$C$7*1/3,4,5)))</f>
        <v>5</v>
      </c>
      <c r="D24" s="130">
        <f>MAX($C$16,MIN($C$11,($C$16+($C$11-$C$16)*($B$20-J24)/$C$8)))</f>
        <v>79.93333333333334</v>
      </c>
      <c r="E24" s="131">
        <f>MAX($D$16,MIN($D$11,($D$16+($D$11-$D$16)*($B$20-J24)/$C$8)))</f>
        <v>91.53333333333333</v>
      </c>
      <c r="F24" s="12">
        <v>579</v>
      </c>
      <c r="G24" s="77">
        <f>IF($F$20-J24&gt;=$C$7,2,IF($F$20-J24&gt;=$C$7*2/3,3,IF($F$20-J24&gt;=$C$7*1/3,4,5)))</f>
        <v>3</v>
      </c>
      <c r="H24" s="130">
        <f>MAX($C$16,MIN($C$11,($C$16+($C$11-$C$16)*($F$20-J24)/$C$8)))</f>
        <v>97</v>
      </c>
      <c r="I24" s="131">
        <f>MAX($D$16,MIN($D$11,($D$16+($D$11-$D$16)*($F$20-J24)/$C$8)))</f>
        <v>99</v>
      </c>
      <c r="J24" s="10">
        <v>1920</v>
      </c>
      <c r="K24" s="11" t="s">
        <v>427</v>
      </c>
      <c r="L24" s="11" t="s">
        <v>873</v>
      </c>
      <c r="M24" s="12" t="s">
        <v>79</v>
      </c>
    </row>
    <row r="25" spans="1:13" ht="12.75" customHeight="1">
      <c r="A25" s="10" t="s">
        <v>615</v>
      </c>
      <c r="B25" s="14">
        <f t="shared" si="0"/>
        <v>5.901712917944498</v>
      </c>
      <c r="C25" s="77">
        <v>1</v>
      </c>
      <c r="D25" s="13">
        <f>$C$12</f>
        <v>97</v>
      </c>
      <c r="E25" s="14">
        <f>$D$12</f>
        <v>99</v>
      </c>
      <c r="F25" s="12">
        <v>789</v>
      </c>
      <c r="G25" s="77">
        <v>1</v>
      </c>
      <c r="H25" s="13">
        <f t="shared" si="1"/>
        <v>97</v>
      </c>
      <c r="I25" s="14">
        <f t="shared" si="2"/>
        <v>99</v>
      </c>
      <c r="J25" s="10"/>
      <c r="K25" s="11"/>
      <c r="L25" s="45" t="s">
        <v>411</v>
      </c>
      <c r="M25" s="12" t="s">
        <v>614</v>
      </c>
    </row>
    <row r="26" spans="1:13" ht="13.5" customHeight="1">
      <c r="A26" s="10" t="s">
        <v>528</v>
      </c>
      <c r="B26" s="14">
        <f t="shared" si="0"/>
        <v>4.6525544169346995</v>
      </c>
      <c r="C26" s="77">
        <v>1</v>
      </c>
      <c r="D26" s="13">
        <f>$C$12</f>
        <v>97</v>
      </c>
      <c r="E26" s="14">
        <f>$D$12</f>
        <v>99</v>
      </c>
      <c r="F26" s="12">
        <v>622</v>
      </c>
      <c r="G26" s="77">
        <v>1</v>
      </c>
      <c r="H26" s="13">
        <f t="shared" si="1"/>
        <v>97</v>
      </c>
      <c r="I26" s="14">
        <f t="shared" si="2"/>
        <v>99</v>
      </c>
      <c r="J26" s="10"/>
      <c r="K26" s="11"/>
      <c r="L26" s="45" t="s">
        <v>411</v>
      </c>
      <c r="M26" s="12" t="s">
        <v>617</v>
      </c>
    </row>
    <row r="27" spans="1:13" ht="12.75" customHeight="1">
      <c r="A27" s="10" t="s">
        <v>529</v>
      </c>
      <c r="B27" s="14">
        <f t="shared" si="0"/>
        <v>4.330914802902236</v>
      </c>
      <c r="C27" s="77">
        <f>IF($B$20-J27&gt;=$C$7,2,IF($B$20-J27&gt;=$C$7*2/3,3,IF($B$20-J27&gt;=$C$7*1/3,4,5)))</f>
        <v>5</v>
      </c>
      <c r="D27" s="130">
        <f>MAX($C$15,MIN($C$11,($C$15+($C$11-$C$15)*($B$20-J27)/$C$8)))</f>
        <v>66.6</v>
      </c>
      <c r="E27" s="131">
        <f>MAX($D$15,MIN($D$11,($D$15+($D$11-$D$15)*($B$20-J27)/$C$8)))</f>
        <v>78.2</v>
      </c>
      <c r="F27" s="12">
        <v>579</v>
      </c>
      <c r="G27" s="77">
        <f>IF($F$20-J27&gt;=$C$7,2,IF($F$20-J27&gt;=$C$7*2/3,3,IF($F$20-J27&gt;=$C$7*1/3,4,5)))</f>
        <v>3</v>
      </c>
      <c r="H27" s="130">
        <f>MAX($C$15,MIN($C$11,($C$15+($C$11-$C$15)*($F$20-J27)/$C$8)))</f>
        <v>97</v>
      </c>
      <c r="I27" s="131">
        <f>MAX($D$15,MIN($D$11,($D$15+($D$11-$D$15)*($F$20-J27)/$C$8)))</f>
        <v>99</v>
      </c>
      <c r="J27" s="10">
        <v>1920</v>
      </c>
      <c r="K27" s="11" t="s">
        <v>427</v>
      </c>
      <c r="L27" s="45" t="s">
        <v>412</v>
      </c>
      <c r="M27" s="12" t="s">
        <v>881</v>
      </c>
    </row>
    <row r="28" spans="1:13" ht="12.75" customHeight="1">
      <c r="A28" s="10" t="s">
        <v>530</v>
      </c>
      <c r="B28" s="14">
        <f t="shared" si="0"/>
        <v>3.8297554042935147</v>
      </c>
      <c r="C28" s="77">
        <v>1</v>
      </c>
      <c r="D28" s="13">
        <f>$C$12</f>
        <v>97</v>
      </c>
      <c r="E28" s="14">
        <f>$D$12</f>
        <v>99</v>
      </c>
      <c r="F28" s="12">
        <v>512</v>
      </c>
      <c r="G28" s="77">
        <v>1</v>
      </c>
      <c r="H28" s="13">
        <f t="shared" si="1"/>
        <v>97</v>
      </c>
      <c r="I28" s="14">
        <f t="shared" si="2"/>
        <v>99</v>
      </c>
      <c r="J28" s="10"/>
      <c r="K28" s="11"/>
      <c r="L28" s="45" t="s">
        <v>411</v>
      </c>
      <c r="M28" s="12" t="s">
        <v>110</v>
      </c>
    </row>
    <row r="29" spans="1:13" ht="15" customHeight="1">
      <c r="A29" s="10" t="s">
        <v>531</v>
      </c>
      <c r="B29" s="14">
        <f t="shared" si="0"/>
        <v>3.6427556286932457</v>
      </c>
      <c r="C29" s="77">
        <v>1</v>
      </c>
      <c r="D29" s="13">
        <f>$C$12</f>
        <v>97</v>
      </c>
      <c r="E29" s="14">
        <f>$D$12</f>
        <v>99</v>
      </c>
      <c r="F29" s="12">
        <v>487</v>
      </c>
      <c r="G29" s="77">
        <v>1</v>
      </c>
      <c r="H29" s="13">
        <f t="shared" si="1"/>
        <v>97</v>
      </c>
      <c r="I29" s="14">
        <f t="shared" si="2"/>
        <v>99</v>
      </c>
      <c r="J29" s="10"/>
      <c r="K29" s="11"/>
      <c r="L29" s="45" t="s">
        <v>411</v>
      </c>
      <c r="M29" s="12" t="s">
        <v>618</v>
      </c>
    </row>
    <row r="30" spans="1:13" ht="13.5" customHeight="1">
      <c r="A30" s="10" t="s">
        <v>532</v>
      </c>
      <c r="B30" s="14">
        <f t="shared" si="0"/>
        <v>2.977036427556287</v>
      </c>
      <c r="C30" s="77">
        <v>1</v>
      </c>
      <c r="D30" s="13">
        <f>$C$12</f>
        <v>97</v>
      </c>
      <c r="E30" s="14">
        <f>$D$12</f>
        <v>99</v>
      </c>
      <c r="F30" s="12">
        <v>398</v>
      </c>
      <c r="G30" s="77">
        <v>1</v>
      </c>
      <c r="H30" s="13">
        <f t="shared" si="1"/>
        <v>97</v>
      </c>
      <c r="I30" s="14">
        <f t="shared" si="2"/>
        <v>99</v>
      </c>
      <c r="J30" s="10"/>
      <c r="K30" s="11"/>
      <c r="L30" s="45" t="s">
        <v>411</v>
      </c>
      <c r="M30" s="12" t="s">
        <v>617</v>
      </c>
    </row>
    <row r="31" spans="1:13" ht="24" customHeight="1">
      <c r="A31" s="10" t="s">
        <v>460</v>
      </c>
      <c r="B31" s="14">
        <f t="shared" si="0"/>
        <v>2.8947565262921686</v>
      </c>
      <c r="C31" s="77">
        <v>9</v>
      </c>
      <c r="D31" s="13">
        <f>$C$12-10</f>
        <v>87</v>
      </c>
      <c r="E31" s="14">
        <f>$D$12-8</f>
        <v>91</v>
      </c>
      <c r="F31" s="12">
        <v>387</v>
      </c>
      <c r="G31" s="77">
        <v>9</v>
      </c>
      <c r="H31" s="94">
        <f>$C$12-8</f>
        <v>89</v>
      </c>
      <c r="I31" s="14">
        <f>$D$12-6</f>
        <v>93</v>
      </c>
      <c r="J31" s="10"/>
      <c r="K31" s="11"/>
      <c r="L31" s="45"/>
      <c r="M31" s="12" t="s">
        <v>475</v>
      </c>
    </row>
    <row r="32" spans="1:13" ht="24.75" customHeight="1">
      <c r="A32" s="10" t="s">
        <v>533</v>
      </c>
      <c r="B32" s="14">
        <f t="shared" si="0"/>
        <v>2.752636696835964</v>
      </c>
      <c r="C32" s="77">
        <v>1</v>
      </c>
      <c r="D32" s="13">
        <f>$C$12-4</f>
        <v>93</v>
      </c>
      <c r="E32" s="14">
        <f>$D$12-3</f>
        <v>96</v>
      </c>
      <c r="F32" s="12">
        <v>368</v>
      </c>
      <c r="G32" s="77">
        <v>1</v>
      </c>
      <c r="H32" s="13">
        <f>$C$12</f>
        <v>97</v>
      </c>
      <c r="I32" s="14">
        <f>$D$12</f>
        <v>99</v>
      </c>
      <c r="J32" s="10"/>
      <c r="K32" s="11"/>
      <c r="L32" s="45"/>
      <c r="M32" s="12" t="s">
        <v>140</v>
      </c>
    </row>
    <row r="33" spans="1:13" ht="15" customHeight="1">
      <c r="A33" s="10" t="s">
        <v>582</v>
      </c>
      <c r="B33" s="14">
        <f t="shared" si="0"/>
        <v>2.318797217443339</v>
      </c>
      <c r="C33" s="77">
        <v>1</v>
      </c>
      <c r="D33" s="13">
        <f>$C$12</f>
        <v>97</v>
      </c>
      <c r="E33" s="14">
        <f>$D$12</f>
        <v>99</v>
      </c>
      <c r="F33" s="12">
        <v>310</v>
      </c>
      <c r="G33" s="77">
        <v>1</v>
      </c>
      <c r="H33" s="13">
        <f>$C$12</f>
        <v>97</v>
      </c>
      <c r="I33" s="14">
        <f>$D$12</f>
        <v>99</v>
      </c>
      <c r="J33" s="10"/>
      <c r="K33" s="11"/>
      <c r="L33" s="45" t="s">
        <v>411</v>
      </c>
      <c r="M33" s="12" t="s">
        <v>617</v>
      </c>
    </row>
    <row r="34" spans="1:13" ht="14.25" customHeight="1">
      <c r="A34" s="10" t="s">
        <v>583</v>
      </c>
      <c r="B34" s="14">
        <f t="shared" si="0"/>
        <v>2.258957289251253</v>
      </c>
      <c r="C34" s="77">
        <v>1</v>
      </c>
      <c r="D34" s="13">
        <f>$C$12</f>
        <v>97</v>
      </c>
      <c r="E34" s="14">
        <f>$D$12</f>
        <v>99</v>
      </c>
      <c r="F34" s="12">
        <v>302</v>
      </c>
      <c r="G34" s="77">
        <v>1</v>
      </c>
      <c r="H34" s="13">
        <f>$C$12</f>
        <v>97</v>
      </c>
      <c r="I34" s="14">
        <f>$D$12</f>
        <v>99</v>
      </c>
      <c r="J34" s="10"/>
      <c r="K34" s="11"/>
      <c r="L34" s="45" t="s">
        <v>411</v>
      </c>
      <c r="M34" s="12" t="s">
        <v>137</v>
      </c>
    </row>
    <row r="35" spans="1:13" ht="13.5" customHeight="1">
      <c r="A35" s="10" t="s">
        <v>584</v>
      </c>
      <c r="B35" s="14">
        <f t="shared" si="0"/>
        <v>1.8251178098586283</v>
      </c>
      <c r="C35" s="77">
        <v>1</v>
      </c>
      <c r="D35" s="13">
        <f>$C$12</f>
        <v>97</v>
      </c>
      <c r="E35" s="14">
        <f>$D$12</f>
        <v>99</v>
      </c>
      <c r="F35" s="12">
        <v>244</v>
      </c>
      <c r="G35" s="77">
        <v>1</v>
      </c>
      <c r="H35" s="13">
        <f>$C$12</f>
        <v>97</v>
      </c>
      <c r="I35" s="14">
        <f>$D$12</f>
        <v>99</v>
      </c>
      <c r="J35" s="10"/>
      <c r="K35" s="11"/>
      <c r="L35" s="45" t="s">
        <v>411</v>
      </c>
      <c r="M35" s="12" t="s">
        <v>614</v>
      </c>
    </row>
    <row r="36" spans="1:13" ht="12.75" customHeight="1">
      <c r="A36" s="10" t="s">
        <v>585</v>
      </c>
      <c r="B36" s="14">
        <f t="shared" si="0"/>
        <v>1.503478195826165</v>
      </c>
      <c r="C36" s="77">
        <v>9</v>
      </c>
      <c r="D36" s="13">
        <v>40</v>
      </c>
      <c r="E36" s="14">
        <v>60</v>
      </c>
      <c r="F36" s="12">
        <v>201</v>
      </c>
      <c r="G36" s="77">
        <v>9</v>
      </c>
      <c r="H36" s="13">
        <v>70</v>
      </c>
      <c r="I36" s="14">
        <v>90</v>
      </c>
      <c r="J36" s="10"/>
      <c r="K36" s="11"/>
      <c r="L36" s="45"/>
      <c r="M36" s="12" t="s">
        <v>121</v>
      </c>
    </row>
    <row r="37" spans="1:13" ht="14.25" customHeight="1">
      <c r="A37" s="10" t="s">
        <v>586</v>
      </c>
      <c r="B37" s="14">
        <f t="shared" si="0"/>
        <v>1.2790784651058418</v>
      </c>
      <c r="C37" s="77">
        <v>1</v>
      </c>
      <c r="D37" s="13">
        <f>$C$12</f>
        <v>97</v>
      </c>
      <c r="E37" s="14">
        <f>$D$12</f>
        <v>99</v>
      </c>
      <c r="F37" s="12">
        <v>171</v>
      </c>
      <c r="G37" s="77">
        <v>1</v>
      </c>
      <c r="H37" s="13">
        <f aca="true" t="shared" si="3" ref="H37:H44">$C$12</f>
        <v>97</v>
      </c>
      <c r="I37" s="14">
        <f aca="true" t="shared" si="4" ref="I37:I44">$D$12</f>
        <v>99</v>
      </c>
      <c r="J37" s="10"/>
      <c r="K37" s="11"/>
      <c r="L37" s="45" t="s">
        <v>411</v>
      </c>
      <c r="M37" s="12" t="s">
        <v>619</v>
      </c>
    </row>
    <row r="38" spans="1:13" ht="13.5" customHeight="1">
      <c r="A38" s="10" t="s">
        <v>587</v>
      </c>
      <c r="B38" s="14">
        <f t="shared" si="0"/>
        <v>1.2566384920338096</v>
      </c>
      <c r="C38" s="77">
        <v>1</v>
      </c>
      <c r="D38" s="13">
        <f>$C$12</f>
        <v>97</v>
      </c>
      <c r="E38" s="14">
        <f>$D$12</f>
        <v>99</v>
      </c>
      <c r="F38" s="12">
        <v>168</v>
      </c>
      <c r="G38" s="77">
        <v>1</v>
      </c>
      <c r="H38" s="13">
        <f t="shared" si="3"/>
        <v>97</v>
      </c>
      <c r="I38" s="14">
        <f t="shared" si="4"/>
        <v>99</v>
      </c>
      <c r="J38" s="10"/>
      <c r="K38" s="11"/>
      <c r="L38" s="45" t="s">
        <v>411</v>
      </c>
      <c r="M38" s="12" t="s">
        <v>617</v>
      </c>
    </row>
    <row r="39" spans="1:13" ht="12" customHeight="1">
      <c r="A39" s="10" t="s">
        <v>588</v>
      </c>
      <c r="B39" s="14">
        <f t="shared" si="0"/>
        <v>1.241678509985788</v>
      </c>
      <c r="C39" s="77">
        <v>1</v>
      </c>
      <c r="D39" s="13">
        <f>$C$12</f>
        <v>97</v>
      </c>
      <c r="E39" s="14">
        <f>$D$12</f>
        <v>99</v>
      </c>
      <c r="F39" s="12">
        <v>166</v>
      </c>
      <c r="G39" s="77">
        <v>1</v>
      </c>
      <c r="H39" s="13">
        <f t="shared" si="3"/>
        <v>97</v>
      </c>
      <c r="I39" s="14">
        <f t="shared" si="4"/>
        <v>99</v>
      </c>
      <c r="J39" s="10"/>
      <c r="K39" s="11"/>
      <c r="L39" s="45" t="s">
        <v>411</v>
      </c>
      <c r="M39" s="12" t="s">
        <v>617</v>
      </c>
    </row>
    <row r="40" spans="1:13" ht="13.5" customHeight="1">
      <c r="A40" s="10" t="s">
        <v>589</v>
      </c>
      <c r="B40" s="14">
        <f t="shared" si="0"/>
        <v>1.2117585458897449</v>
      </c>
      <c r="C40" s="77">
        <v>1</v>
      </c>
      <c r="D40" s="13">
        <f>$C$12</f>
        <v>97</v>
      </c>
      <c r="E40" s="14">
        <f>$D$12</f>
        <v>99</v>
      </c>
      <c r="F40" s="12">
        <v>162</v>
      </c>
      <c r="G40" s="77">
        <v>1</v>
      </c>
      <c r="H40" s="13">
        <f t="shared" si="3"/>
        <v>97</v>
      </c>
      <c r="I40" s="14">
        <f t="shared" si="4"/>
        <v>99</v>
      </c>
      <c r="J40" s="10"/>
      <c r="K40" s="11"/>
      <c r="L40" s="45" t="s">
        <v>411</v>
      </c>
      <c r="M40" s="12" t="s">
        <v>623</v>
      </c>
    </row>
    <row r="41" spans="1:13" ht="12.75" customHeight="1">
      <c r="A41" s="10" t="s">
        <v>590</v>
      </c>
      <c r="B41" s="14">
        <f t="shared" si="0"/>
        <v>1.2042785548657342</v>
      </c>
      <c r="C41" s="77">
        <v>1</v>
      </c>
      <c r="D41" s="13">
        <f>$C$12</f>
        <v>97</v>
      </c>
      <c r="E41" s="14">
        <f>$D$12</f>
        <v>99</v>
      </c>
      <c r="F41" s="12">
        <v>161</v>
      </c>
      <c r="G41" s="77">
        <v>1</v>
      </c>
      <c r="H41" s="13">
        <f t="shared" si="3"/>
        <v>97</v>
      </c>
      <c r="I41" s="14">
        <f t="shared" si="4"/>
        <v>99</v>
      </c>
      <c r="J41" s="10"/>
      <c r="K41" s="11"/>
      <c r="L41" s="45" t="s">
        <v>411</v>
      </c>
      <c r="M41" s="12" t="s">
        <v>617</v>
      </c>
    </row>
    <row r="42" spans="1:13" ht="25.5" customHeight="1">
      <c r="A42" s="10" t="s">
        <v>591</v>
      </c>
      <c r="B42" s="14">
        <f t="shared" si="0"/>
        <v>0.979878824145411</v>
      </c>
      <c r="C42" s="77">
        <f>IF($B$20-J42&gt;=$C$7,6,7)</f>
        <v>7</v>
      </c>
      <c r="D42" s="130">
        <f>MAX($C$13,MIN($C$11,($C$13+($C$11-$C$13)*($B$20-J42)/$C$8)))</f>
        <v>85.26666666666667</v>
      </c>
      <c r="E42" s="131">
        <f>MAX($D$13,MIN($D$11,($D$13+($D$11-$D$13)*($B$20-J42)/$C$8)))</f>
        <v>91.53333333333333</v>
      </c>
      <c r="F42" s="12">
        <v>131</v>
      </c>
      <c r="G42" s="77">
        <f>IF($F$20-J42&gt;=$C$7,6,7)</f>
        <v>7</v>
      </c>
      <c r="H42" s="130">
        <f>MAX($C$13,MIN($C$11,($C$13+($C$11-$C$13)*($F$20-J42)/$C$8)))</f>
        <v>97</v>
      </c>
      <c r="I42" s="131">
        <f>MAX($D$13,MIN($D$11,($D$13+($D$11-$D$13)*($F$20-J42)/$C$8)))</f>
        <v>99</v>
      </c>
      <c r="J42" s="10">
        <v>1920</v>
      </c>
      <c r="K42" s="11" t="s">
        <v>124</v>
      </c>
      <c r="L42" s="15" t="s">
        <v>408</v>
      </c>
      <c r="M42" s="12" t="s">
        <v>624</v>
      </c>
    </row>
    <row r="43" spans="1:13" ht="23.25" customHeight="1">
      <c r="A43" s="10" t="s">
        <v>592</v>
      </c>
      <c r="B43" s="14">
        <f t="shared" si="0"/>
        <v>0.9649188420973894</v>
      </c>
      <c r="C43" s="77">
        <f>IF($B$20-J43&gt;=$C$7,6,7)</f>
        <v>7</v>
      </c>
      <c r="D43" s="130">
        <f>MAX($C$13,MIN($C$11,($C$13+($C$11-$C$13)*($B$20-J43)/$C$8)))</f>
        <v>85.26666666666667</v>
      </c>
      <c r="E43" s="131">
        <f>MAX($D$13,MIN($D$11,($D$13+($D$11-$D$13)*($B$20-J43)/$C$8)))</f>
        <v>91.53333333333333</v>
      </c>
      <c r="F43" s="12">
        <v>129</v>
      </c>
      <c r="G43" s="77">
        <f>IF($F$20-J43&gt;=$C$7,6,7)</f>
        <v>7</v>
      </c>
      <c r="H43" s="130">
        <f>MAX($C$13,MIN($C$11,($C$13+($C$11-$C$13)*($F$20-J43)/$C$8)))</f>
        <v>97</v>
      </c>
      <c r="I43" s="131">
        <f>MAX($D$13,MIN($D$11,($D$13+($D$11-$D$13)*($F$20-J43)/$C$8)))</f>
        <v>99</v>
      </c>
      <c r="J43" s="10">
        <v>1920</v>
      </c>
      <c r="K43" s="11" t="s">
        <v>124</v>
      </c>
      <c r="L43" s="15" t="s">
        <v>408</v>
      </c>
      <c r="M43" s="12" t="s">
        <v>624</v>
      </c>
    </row>
    <row r="44" spans="1:13" ht="13.5" customHeight="1">
      <c r="A44" s="10" t="s">
        <v>386</v>
      </c>
      <c r="B44" s="14">
        <f t="shared" si="0"/>
        <v>0.9349988780013464</v>
      </c>
      <c r="C44" s="77">
        <v>1</v>
      </c>
      <c r="D44" s="13">
        <f>$C$12</f>
        <v>97</v>
      </c>
      <c r="E44" s="14">
        <f>$D$12</f>
        <v>99</v>
      </c>
      <c r="F44" s="12">
        <v>125</v>
      </c>
      <c r="G44" s="77">
        <v>1</v>
      </c>
      <c r="H44" s="13">
        <f t="shared" si="3"/>
        <v>97</v>
      </c>
      <c r="I44" s="14">
        <f t="shared" si="4"/>
        <v>99</v>
      </c>
      <c r="J44" s="10"/>
      <c r="K44" s="11"/>
      <c r="L44" s="45" t="s">
        <v>411</v>
      </c>
      <c r="M44" s="12" t="s">
        <v>119</v>
      </c>
    </row>
    <row r="45" spans="1:13" ht="14.25" customHeight="1">
      <c r="A45" s="10" t="s">
        <v>593</v>
      </c>
      <c r="B45" s="14">
        <f t="shared" si="0"/>
        <v>0.8377589946892063</v>
      </c>
      <c r="C45" s="77">
        <v>9</v>
      </c>
      <c r="D45" s="13">
        <v>65</v>
      </c>
      <c r="E45" s="14">
        <v>85</v>
      </c>
      <c r="F45" s="12">
        <v>112</v>
      </c>
      <c r="G45" s="77">
        <v>9</v>
      </c>
      <c r="H45" s="13">
        <v>65</v>
      </c>
      <c r="I45" s="14">
        <v>85</v>
      </c>
      <c r="J45" s="10"/>
      <c r="K45" s="11"/>
      <c r="L45" s="45"/>
      <c r="M45" s="12" t="s">
        <v>121</v>
      </c>
    </row>
    <row r="46" spans="1:13" ht="13.5" customHeight="1">
      <c r="A46" s="10" t="s">
        <v>594</v>
      </c>
      <c r="B46" s="14">
        <f t="shared" si="0"/>
        <v>0.7704390754731094</v>
      </c>
      <c r="C46" s="77">
        <v>1</v>
      </c>
      <c r="D46" s="13">
        <f>$C$12</f>
        <v>97</v>
      </c>
      <c r="E46" s="14">
        <f>$D$12</f>
        <v>99</v>
      </c>
      <c r="F46" s="12">
        <v>103</v>
      </c>
      <c r="G46" s="77">
        <v>1</v>
      </c>
      <c r="H46" s="13">
        <f>$C$12</f>
        <v>97</v>
      </c>
      <c r="I46" s="14">
        <f>$D$12</f>
        <v>99</v>
      </c>
      <c r="J46" s="10"/>
      <c r="K46" s="11"/>
      <c r="L46" s="45" t="s">
        <v>411</v>
      </c>
      <c r="M46" s="12" t="s">
        <v>619</v>
      </c>
    </row>
    <row r="47" spans="1:13" ht="24" customHeight="1">
      <c r="A47" s="10" t="s">
        <v>595</v>
      </c>
      <c r="B47" s="14">
        <f t="shared" si="0"/>
        <v>0.7554790934250879</v>
      </c>
      <c r="C47" s="77">
        <f>IF($B$20-J47&gt;=$C$7,6,7)</f>
        <v>7</v>
      </c>
      <c r="D47" s="130">
        <f>MAX($C$13,MIN($C$11,($C$13+($C$11-$C$13)*($B$20-J47)/$C$8)))</f>
        <v>85.26666666666667</v>
      </c>
      <c r="E47" s="131">
        <f>MAX($D$13,MIN($D$11,($D$13+($D$11-$D$13)*($B$20-J47)/$C$8)))</f>
        <v>91.53333333333333</v>
      </c>
      <c r="F47" s="12">
        <v>101</v>
      </c>
      <c r="G47" s="77">
        <f>IF($F$20-J47&gt;=$C$7,6,7)</f>
        <v>7</v>
      </c>
      <c r="H47" s="130">
        <f>MAX($C$13,MIN($C$11,($C$13+($C$11-$C$13)*($F$20-J47)/$C$8)))</f>
        <v>97</v>
      </c>
      <c r="I47" s="131">
        <f>MAX($D$13,MIN($D$11,($D$13+($D$11-$D$13)*($F$20-J47)/$C$8)))</f>
        <v>99</v>
      </c>
      <c r="J47" s="10">
        <v>1920</v>
      </c>
      <c r="K47" s="11" t="s">
        <v>124</v>
      </c>
      <c r="L47" s="15" t="s">
        <v>408</v>
      </c>
      <c r="M47" s="12" t="s">
        <v>624</v>
      </c>
    </row>
    <row r="48" spans="1:13" ht="12.75" customHeight="1">
      <c r="A48" s="10" t="s">
        <v>596</v>
      </c>
      <c r="B48" s="14">
        <f t="shared" si="0"/>
        <v>0.718079138305034</v>
      </c>
      <c r="C48" s="77">
        <v>1</v>
      </c>
      <c r="D48" s="13">
        <f>$C$12</f>
        <v>97</v>
      </c>
      <c r="E48" s="14">
        <f>$D$12</f>
        <v>99</v>
      </c>
      <c r="F48" s="12">
        <v>96</v>
      </c>
      <c r="G48" s="77">
        <v>1</v>
      </c>
      <c r="H48" s="13">
        <f>$C$12</f>
        <v>97</v>
      </c>
      <c r="I48" s="14">
        <f>$D$12</f>
        <v>99</v>
      </c>
      <c r="J48" s="10"/>
      <c r="K48" s="11"/>
      <c r="L48" s="45" t="s">
        <v>411</v>
      </c>
      <c r="M48" s="12" t="s">
        <v>617</v>
      </c>
    </row>
    <row r="49" spans="1:13" ht="12.75" customHeight="1">
      <c r="A49" s="10" t="s">
        <v>616</v>
      </c>
      <c r="B49" s="14">
        <f t="shared" si="0"/>
        <v>0.6357992370409156</v>
      </c>
      <c r="C49" s="77">
        <v>1</v>
      </c>
      <c r="D49" s="13">
        <f>$C$12</f>
        <v>97</v>
      </c>
      <c r="E49" s="14">
        <f>$D$12</f>
        <v>99</v>
      </c>
      <c r="F49" s="12">
        <v>85</v>
      </c>
      <c r="G49" s="77">
        <v>1</v>
      </c>
      <c r="H49" s="13">
        <f>$C$12</f>
        <v>97</v>
      </c>
      <c r="I49" s="14">
        <f>$D$12</f>
        <v>99</v>
      </c>
      <c r="J49" s="10"/>
      <c r="K49" s="11"/>
      <c r="L49" s="45" t="s">
        <v>411</v>
      </c>
      <c r="M49" s="12" t="s">
        <v>614</v>
      </c>
    </row>
    <row r="50" spans="1:13" ht="24" customHeight="1">
      <c r="A50" s="10" t="s">
        <v>597</v>
      </c>
      <c r="B50" s="14">
        <f t="shared" si="0"/>
        <v>0.6133592639688832</v>
      </c>
      <c r="C50" s="77">
        <v>1</v>
      </c>
      <c r="D50" s="13">
        <f>$C$12</f>
        <v>97</v>
      </c>
      <c r="E50" s="14">
        <f>$D$12</f>
        <v>99</v>
      </c>
      <c r="F50" s="12">
        <v>82</v>
      </c>
      <c r="G50" s="77">
        <v>1</v>
      </c>
      <c r="H50" s="13">
        <f>$C$12</f>
        <v>97</v>
      </c>
      <c r="I50" s="14">
        <f>$D$12</f>
        <v>99</v>
      </c>
      <c r="J50" s="10"/>
      <c r="K50" s="11"/>
      <c r="L50" s="45" t="s">
        <v>411</v>
      </c>
      <c r="M50" s="12" t="s">
        <v>113</v>
      </c>
    </row>
    <row r="51" spans="1:13" ht="24.75" customHeight="1">
      <c r="A51" s="10" t="s">
        <v>598</v>
      </c>
      <c r="B51" s="14">
        <f t="shared" si="0"/>
        <v>0.5909192908968509</v>
      </c>
      <c r="C51" s="77">
        <f>IF($B$20-J51&gt;=$C$7,6,7)</f>
        <v>7</v>
      </c>
      <c r="D51" s="130">
        <f>MAX($C$13,MIN($C$11,($C$13+($C$11-$C$13)*($B$20-J51)/$C$8)))</f>
        <v>85.26666666666667</v>
      </c>
      <c r="E51" s="131">
        <f>MAX($D$13,MIN($D$11,($D$13+($D$11-$D$13)*($B$20-J51)/$C$8)))</f>
        <v>91.53333333333333</v>
      </c>
      <c r="F51" s="12">
        <v>79</v>
      </c>
      <c r="G51" s="77">
        <f>IF($F$20-J51&gt;=$C$7,6,7)</f>
        <v>7</v>
      </c>
      <c r="H51" s="130">
        <f>MAX($C$13,MIN($C$11,($C$13+($C$11-$C$13)*($F$20-J51)/$C$8)))</f>
        <v>97</v>
      </c>
      <c r="I51" s="131">
        <f>MAX($D$13,MIN($D$11,($D$13+($D$11-$D$13)*($F$20-J51)/$C$8)))</f>
        <v>99</v>
      </c>
      <c r="J51" s="10">
        <v>1920</v>
      </c>
      <c r="K51" s="11" t="s">
        <v>124</v>
      </c>
      <c r="L51" s="15" t="s">
        <v>408</v>
      </c>
      <c r="M51" s="12" t="s">
        <v>776</v>
      </c>
    </row>
    <row r="52" spans="1:13" ht="13.5" customHeight="1">
      <c r="A52" s="10" t="s">
        <v>599</v>
      </c>
      <c r="B52" s="14">
        <f t="shared" si="0"/>
        <v>0.4936794075847109</v>
      </c>
      <c r="C52" s="77">
        <v>1</v>
      </c>
      <c r="D52" s="13">
        <f>$C$12</f>
        <v>97</v>
      </c>
      <c r="E52" s="14">
        <f>$D$12</f>
        <v>99</v>
      </c>
      <c r="F52" s="12">
        <v>66</v>
      </c>
      <c r="G52" s="77">
        <v>1</v>
      </c>
      <c r="H52" s="13">
        <f>$C$12</f>
        <v>97</v>
      </c>
      <c r="I52" s="14">
        <f>$D$12</f>
        <v>99</v>
      </c>
      <c r="J52" s="10"/>
      <c r="K52" s="11"/>
      <c r="L52" s="45" t="s">
        <v>411</v>
      </c>
      <c r="M52" s="12" t="s">
        <v>617</v>
      </c>
    </row>
    <row r="53" spans="1:13" ht="24" customHeight="1">
      <c r="A53" s="10" t="s">
        <v>600</v>
      </c>
      <c r="B53" s="14">
        <f t="shared" si="0"/>
        <v>0.3440795871044955</v>
      </c>
      <c r="C53" s="77">
        <v>1</v>
      </c>
      <c r="D53" s="13">
        <f>$C$12</f>
        <v>97</v>
      </c>
      <c r="E53" s="14">
        <f>$D$12</f>
        <v>99</v>
      </c>
      <c r="F53" s="12">
        <v>46</v>
      </c>
      <c r="G53" s="77">
        <v>1</v>
      </c>
      <c r="H53" s="13">
        <f>$C$12</f>
        <v>97</v>
      </c>
      <c r="I53" s="14">
        <f>$D$12</f>
        <v>99</v>
      </c>
      <c r="J53" s="10"/>
      <c r="K53" s="11"/>
      <c r="L53" s="45" t="s">
        <v>411</v>
      </c>
      <c r="M53" s="12" t="s">
        <v>153</v>
      </c>
    </row>
    <row r="54" spans="1:13" ht="27" customHeight="1">
      <c r="A54" s="10" t="s">
        <v>601</v>
      </c>
      <c r="B54" s="14">
        <f t="shared" si="0"/>
        <v>0.2842396589124093</v>
      </c>
      <c r="C54" s="77">
        <v>1</v>
      </c>
      <c r="D54" s="13">
        <f>$C$12</f>
        <v>97</v>
      </c>
      <c r="E54" s="14">
        <f>$D$12</f>
        <v>99</v>
      </c>
      <c r="F54" s="12">
        <v>38</v>
      </c>
      <c r="G54" s="77">
        <v>1</v>
      </c>
      <c r="H54" s="13">
        <f>$C$12</f>
        <v>97</v>
      </c>
      <c r="I54" s="14">
        <f>$D$12</f>
        <v>99</v>
      </c>
      <c r="J54" s="10"/>
      <c r="K54" s="11"/>
      <c r="L54" s="45" t="s">
        <v>411</v>
      </c>
      <c r="M54" s="12" t="s">
        <v>201</v>
      </c>
    </row>
    <row r="55" spans="1:13" ht="24" customHeight="1">
      <c r="A55" s="10" t="s">
        <v>602</v>
      </c>
      <c r="B55" s="14">
        <f t="shared" si="0"/>
        <v>0.19447976662428004</v>
      </c>
      <c r="C55" s="77">
        <v>9</v>
      </c>
      <c r="D55" s="135">
        <f>($C$10+$C$12)/2</f>
        <v>48.5</v>
      </c>
      <c r="E55" s="133">
        <f>($D$10+$D$12)/2</f>
        <v>52</v>
      </c>
      <c r="F55" s="12">
        <v>26</v>
      </c>
      <c r="G55" s="77">
        <v>9</v>
      </c>
      <c r="H55" s="132">
        <f>($C$10+$C$12)/2</f>
        <v>48.5</v>
      </c>
      <c r="I55" s="133">
        <f>($D$10+$D$12)/2</f>
        <v>52</v>
      </c>
      <c r="J55" s="10"/>
      <c r="K55" s="11"/>
      <c r="L55" s="11"/>
      <c r="M55" s="12" t="s">
        <v>777</v>
      </c>
    </row>
    <row r="56" spans="1:13" ht="13.5" customHeight="1">
      <c r="A56" s="10" t="s">
        <v>376</v>
      </c>
      <c r="B56" s="14">
        <f t="shared" si="0"/>
        <v>0.13463983843219388</v>
      </c>
      <c r="C56" s="77">
        <f>IF($B$20-J56&gt;=$C$7,2,IF($B$20-J56&gt;=$C$7*2/3,3,IF($B$20-J56&gt;=$C$7*1/3,4,IF($B$20-J56&gt;=0,5,8))))</f>
        <v>4</v>
      </c>
      <c r="D56" s="130">
        <f>MAX($C$10,MIN($C$11,($C$14+($C$11-$C$14)*($B$20-J56)/$C$7)))</f>
        <v>40.955555555555556</v>
      </c>
      <c r="E56" s="131">
        <f>MAX($D$10,MIN($D$11,($D$14+($D$11-$D$14)*($B$20-J56)/$C$7)))</f>
        <v>53.355555555555554</v>
      </c>
      <c r="F56" s="12">
        <v>18</v>
      </c>
      <c r="G56" s="77">
        <f>IF($F$20-J56&gt;=$C$7,2,IF($F$20-J56&gt;=$C$7*2/3,3,IF($F$20-J56&gt;=$C$7*1/3,4,IF($F$20-J56&gt;=0,5,8))))</f>
        <v>3</v>
      </c>
      <c r="H56" s="130">
        <f>MAX($C$10,MIN($C$11,($C$14+($C$11-$C$14)*($F$20-J56)/$C$7)))</f>
        <v>81.91111111111111</v>
      </c>
      <c r="I56" s="131">
        <f>MAX($D$10,MIN($D$11,($D$14+($D$11-$D$14)*($F$20-J56)/$C$7)))</f>
        <v>86.71111111111111</v>
      </c>
      <c r="J56" s="10">
        <v>1915</v>
      </c>
      <c r="K56" s="11" t="s">
        <v>426</v>
      </c>
      <c r="L56" s="45" t="s">
        <v>303</v>
      </c>
      <c r="M56" s="12" t="s">
        <v>621</v>
      </c>
    </row>
    <row r="57" spans="1:13" ht="26.25" customHeight="1">
      <c r="A57" s="10" t="s">
        <v>603</v>
      </c>
      <c r="B57" s="14">
        <f t="shared" si="0"/>
        <v>0.09723988331214002</v>
      </c>
      <c r="C57" s="77">
        <f>IF($B$20-J57&gt;=$C$7,2,IF($B$20-J57&gt;=$C$7*2/3,3,IF($B$20-J57&gt;=$C$7*1/3,4,IF($B$20-J57&gt;=0,5,8))))</f>
        <v>3</v>
      </c>
      <c r="D57" s="130">
        <f>MAX($C$10,MIN($C$11,($C$14+($C$11-$C$14)*($B$20-J57)/$C$7)))</f>
        <v>77.6</v>
      </c>
      <c r="E57" s="131">
        <f>MAX($D$10,MIN($D$11,($D$14+($D$11-$D$14)*($B$20-J57)/$C$7)))</f>
        <v>83.2</v>
      </c>
      <c r="F57" s="12">
        <v>13</v>
      </c>
      <c r="G57" s="77">
        <f>IF($F$20-J57&gt;=$C$7,2,IF($F$20-J57&gt;=$C$7*2/3,3,IF($F$20-J57&gt;=$C$7*1/3,4,IF($F$20-J57&gt;=0,5,8))))</f>
        <v>2</v>
      </c>
      <c r="H57" s="130">
        <f>MAX($C$10,MIN($C$11,($C$14+($C$11-$C$14)*($F$20-J57)/$C$7)))</f>
        <v>97</v>
      </c>
      <c r="I57" s="131">
        <f>MAX($D$10,MIN($D$11,($D$14+($D$11-$D$14)*($F$20-J57)/$C$7)))</f>
        <v>99</v>
      </c>
      <c r="J57" s="10">
        <v>1898</v>
      </c>
      <c r="K57" s="11" t="s">
        <v>426</v>
      </c>
      <c r="L57" s="45" t="s">
        <v>303</v>
      </c>
      <c r="M57" s="16" t="s">
        <v>80</v>
      </c>
    </row>
    <row r="58" spans="1:13" ht="26.25" customHeight="1">
      <c r="A58" s="10" t="s">
        <v>358</v>
      </c>
      <c r="B58" s="14">
        <f t="shared" si="0"/>
        <v>0.07479991024010771</v>
      </c>
      <c r="C58" s="77">
        <f>IF($B$20-J58&gt;=$C$7,2,IF($B$20-J58&gt;=$C$7*2/3,3,IF($B$20-J58&gt;=$C$7*1/3,4,IF($B$20-J58&gt;=0,5,8))))</f>
        <v>4</v>
      </c>
      <c r="D58" s="130">
        <f>MAX($C$10,MIN($C$11,($C$14+($C$11-$C$14)*($B$20-J58)/$C$7)))</f>
        <v>40.955555555555556</v>
      </c>
      <c r="E58" s="131">
        <f>MAX($D$10,MIN($D$11,($D$14+($D$11-$D$14)*($B$20-J58)/$C$7)))</f>
        <v>53.355555555555554</v>
      </c>
      <c r="F58" s="12">
        <v>10</v>
      </c>
      <c r="G58" s="77">
        <f>IF($F$20-J58&gt;=$C$7,2,IF($F$20-J58&gt;=$C$7*2/3,3,IF($F$20-J58&gt;=$C$7*1/3,4,IF($F$20-J58&gt;=0,5,8))))</f>
        <v>3</v>
      </c>
      <c r="H58" s="130">
        <f>MAX($C$10,MIN($C$11,($C$14+($C$11-$C$14)*($F$20-J58)/$C$7)))</f>
        <v>81.91111111111111</v>
      </c>
      <c r="I58" s="131">
        <f>MAX($D$10,MIN($D$11,($D$14+($D$11-$D$14)*($F$20-J58)/$C$7)))</f>
        <v>86.71111111111111</v>
      </c>
      <c r="J58" s="10">
        <v>1915</v>
      </c>
      <c r="K58" s="11" t="s">
        <v>426</v>
      </c>
      <c r="L58" s="45" t="s">
        <v>303</v>
      </c>
      <c r="M58" s="16" t="s">
        <v>70</v>
      </c>
    </row>
    <row r="59" spans="1:13" ht="13.5" customHeight="1">
      <c r="A59" s="10" t="s">
        <v>604</v>
      </c>
      <c r="B59" s="14">
        <f t="shared" si="0"/>
        <v>0.06731991921609694</v>
      </c>
      <c r="C59" s="77">
        <f>IF($B$20-J59&gt;=$C$7,2,IF($B$20-J59&gt;=$C$7*2/3,3,IF($B$20-J59&gt;=$C$7*1/3,4,5)))</f>
        <v>5</v>
      </c>
      <c r="D59" s="130">
        <f>MAX($C$15,MIN($C$11,($C$15+($C$11-$C$15)*($B$20-J59)/$C$8)))</f>
        <v>66.6</v>
      </c>
      <c r="E59" s="131">
        <f>MAX($D$15,MIN($D$11,($D$15+($D$11-$D$15)*($B$20-J59)/$C$8)))</f>
        <v>78.2</v>
      </c>
      <c r="F59" s="12">
        <v>9</v>
      </c>
      <c r="G59" s="77">
        <f>IF($F$20-J59&gt;=$C$7,2,IF($F$20-J59&gt;=$C$7*2/3,3,IF($F$20-J59&gt;=$C$7*1/3,4,5)))</f>
        <v>3</v>
      </c>
      <c r="H59" s="130">
        <f>MAX($C$15,MIN($C$11,($C$15+($C$11-$C$15)*($F$20-J59)/$C$8)))</f>
        <v>97</v>
      </c>
      <c r="I59" s="131">
        <f>MAX($D$15,MIN($D$11,($D$15+($D$11-$D$15)*($F$20-J59)/$C$8)))</f>
        <v>99</v>
      </c>
      <c r="J59" s="10">
        <v>1920</v>
      </c>
      <c r="K59" s="11" t="s">
        <v>427</v>
      </c>
      <c r="L59" s="45" t="s">
        <v>412</v>
      </c>
      <c r="M59" s="12" t="s">
        <v>881</v>
      </c>
    </row>
    <row r="60" spans="1:13" ht="24.75" customHeight="1">
      <c r="A60" s="10" t="s">
        <v>605</v>
      </c>
      <c r="B60" s="14">
        <f t="shared" si="0"/>
        <v>0.06731991921609694</v>
      </c>
      <c r="C60" s="77">
        <f>IF($B$20-J60&gt;=$C$7,6,7)</f>
        <v>7</v>
      </c>
      <c r="D60" s="130">
        <f>MAX($C$13,MIN($C$11,($C$13+($C$11-$C$13)*($B$20-J60)/$C$8)))</f>
        <v>85.26666666666667</v>
      </c>
      <c r="E60" s="131">
        <f>MAX($D$13,MIN($D$11,($D$13+($D$11-$D$13)*($B$20-J60)/$C$8)))</f>
        <v>91.53333333333333</v>
      </c>
      <c r="F60" s="12">
        <v>9</v>
      </c>
      <c r="G60" s="77">
        <f>IF($F$20-J60&gt;=$C$7,6,7)</f>
        <v>7</v>
      </c>
      <c r="H60" s="130">
        <f>MAX($C$13,MIN($C$11,($C$13+($C$11-$C$13)*($F$20-J60)/$C$8)))</f>
        <v>97</v>
      </c>
      <c r="I60" s="131">
        <f>MAX($D$13,MIN($D$11,($D$13+($D$11-$D$13)*($F$20-J60)/$C$8)))</f>
        <v>99</v>
      </c>
      <c r="J60" s="10">
        <v>1920</v>
      </c>
      <c r="K60" s="11" t="s">
        <v>124</v>
      </c>
      <c r="L60" s="15" t="s">
        <v>408</v>
      </c>
      <c r="M60" s="12" t="s">
        <v>624</v>
      </c>
    </row>
    <row r="61" spans="1:13" ht="13.5" customHeight="1">
      <c r="A61" s="10" t="s">
        <v>606</v>
      </c>
      <c r="B61" s="14">
        <f t="shared" si="0"/>
        <v>0.06731991921609694</v>
      </c>
      <c r="C61" s="77">
        <v>1</v>
      </c>
      <c r="D61" s="13">
        <f>$C$12</f>
        <v>97</v>
      </c>
      <c r="E61" s="14">
        <f>$D$12</f>
        <v>99</v>
      </c>
      <c r="F61" s="12">
        <v>9</v>
      </c>
      <c r="G61" s="77">
        <v>1</v>
      </c>
      <c r="H61" s="13">
        <f>$C$12</f>
        <v>97</v>
      </c>
      <c r="I61" s="14">
        <f>$D$12</f>
        <v>99</v>
      </c>
      <c r="J61" s="10"/>
      <c r="K61" s="11"/>
      <c r="L61" s="45" t="s">
        <v>411</v>
      </c>
      <c r="M61" s="12" t="s">
        <v>617</v>
      </c>
    </row>
    <row r="62" spans="1:13" ht="14.25" customHeight="1">
      <c r="A62" s="10" t="s">
        <v>381</v>
      </c>
      <c r="B62" s="14">
        <f t="shared" si="0"/>
        <v>0.05983992819208617</v>
      </c>
      <c r="C62" s="77">
        <v>1</v>
      </c>
      <c r="D62" s="13">
        <f>$C$12</f>
        <v>97</v>
      </c>
      <c r="E62" s="14">
        <f>$D$12</f>
        <v>99</v>
      </c>
      <c r="F62" s="12">
        <v>8</v>
      </c>
      <c r="G62" s="77">
        <v>1</v>
      </c>
      <c r="H62" s="13">
        <f>$C$12</f>
        <v>97</v>
      </c>
      <c r="I62" s="14">
        <f>$D$12</f>
        <v>99</v>
      </c>
      <c r="J62" s="10"/>
      <c r="K62" s="11"/>
      <c r="L62" s="45" t="s">
        <v>411</v>
      </c>
      <c r="M62" s="12" t="s">
        <v>111</v>
      </c>
    </row>
    <row r="63" spans="1:13" ht="14.25" customHeight="1">
      <c r="A63" s="10" t="s">
        <v>607</v>
      </c>
      <c r="B63" s="14">
        <f t="shared" si="0"/>
        <v>0.037399955120053854</v>
      </c>
      <c r="C63" s="77">
        <v>1</v>
      </c>
      <c r="D63" s="13">
        <f>$C$12</f>
        <v>97</v>
      </c>
      <c r="E63" s="14">
        <f>$D$12</f>
        <v>99</v>
      </c>
      <c r="F63" s="12">
        <v>5</v>
      </c>
      <c r="G63" s="77">
        <v>1</v>
      </c>
      <c r="H63" s="13">
        <f>$C$12</f>
        <v>97</v>
      </c>
      <c r="I63" s="14">
        <f>$D$12</f>
        <v>99</v>
      </c>
      <c r="J63" s="10"/>
      <c r="K63" s="11"/>
      <c r="L63" s="45" t="s">
        <v>411</v>
      </c>
      <c r="M63" s="12" t="s">
        <v>617</v>
      </c>
    </row>
    <row r="64" spans="1:13" ht="13.5" customHeight="1">
      <c r="A64" s="10" t="s">
        <v>608</v>
      </c>
      <c r="B64" s="14">
        <f t="shared" si="0"/>
        <v>0.029919964096043083</v>
      </c>
      <c r="C64" s="77">
        <v>1</v>
      </c>
      <c r="D64" s="13">
        <f>$C$12</f>
        <v>97</v>
      </c>
      <c r="E64" s="14">
        <f>$D$12</f>
        <v>99</v>
      </c>
      <c r="F64" s="12">
        <v>4</v>
      </c>
      <c r="G64" s="77">
        <v>1</v>
      </c>
      <c r="H64" s="13">
        <f>$C$12</f>
        <v>97</v>
      </c>
      <c r="I64" s="14">
        <f>$D$12</f>
        <v>99</v>
      </c>
      <c r="J64" s="10"/>
      <c r="K64" s="11"/>
      <c r="L64" s="45" t="s">
        <v>411</v>
      </c>
      <c r="M64" s="12" t="s">
        <v>117</v>
      </c>
    </row>
    <row r="65" spans="1:13" ht="24" customHeight="1">
      <c r="A65" s="10" t="s">
        <v>192</v>
      </c>
      <c r="B65" s="14">
        <f t="shared" si="0"/>
        <v>0.029919964096043083</v>
      </c>
      <c r="C65" s="77">
        <f>IF($B$20-J65&gt;=$C$7,2,IF($B$20-J65&gt;=$C$7*2/3,3,IF($B$20-J65&gt;=$C$7*1/3,4,IF($B$20-J65&gt;=0,5,8))))</f>
        <v>4</v>
      </c>
      <c r="D65" s="130">
        <f>MAX($C$10,MIN($C$11,($C$14+($C$11-$C$14)*($B$20-J65)/$C$7)))</f>
        <v>40.955555555555556</v>
      </c>
      <c r="E65" s="131">
        <f>MAX($D$10,MIN($D$11,($D$14+($D$11-$D$14)*($B$20-J65)/$C$7)))</f>
        <v>53.355555555555554</v>
      </c>
      <c r="F65" s="12">
        <v>4</v>
      </c>
      <c r="G65" s="77">
        <f>IF($F$20-J65&gt;=$C$7,2,IF($F$20-J65&gt;=$C$7*2/3,3,IF($F$20-J65&gt;=$C$7*1/3,4,IF($F$20-J65&gt;=0,5,8))))</f>
        <v>3</v>
      </c>
      <c r="H65" s="130">
        <f>MAX($C$10,MIN($C$11,($C$14+($C$11-$C$14)*($F$20-J65)/$C$7)))</f>
        <v>81.91111111111111</v>
      </c>
      <c r="I65" s="131">
        <f>MAX($D$10,MIN($D$11,($D$14+($D$11-$D$14)*($F$20-J65)/$C$7)))</f>
        <v>86.71111111111111</v>
      </c>
      <c r="J65" s="10">
        <v>1915</v>
      </c>
      <c r="K65" s="11" t="s">
        <v>426</v>
      </c>
      <c r="L65" s="45" t="s">
        <v>303</v>
      </c>
      <c r="M65" s="12" t="s">
        <v>81</v>
      </c>
    </row>
    <row r="66" spans="1:13" ht="12.75" customHeight="1">
      <c r="A66" s="10" t="s">
        <v>609</v>
      </c>
      <c r="B66" s="14">
        <f t="shared" si="0"/>
        <v>0.029919964096043083</v>
      </c>
      <c r="C66" s="77">
        <v>1</v>
      </c>
      <c r="D66" s="13">
        <f>$C$12</f>
        <v>97</v>
      </c>
      <c r="E66" s="14">
        <f>$D$12</f>
        <v>99</v>
      </c>
      <c r="F66" s="12">
        <v>4</v>
      </c>
      <c r="G66" s="77">
        <v>1</v>
      </c>
      <c r="H66" s="13">
        <f>$C$12</f>
        <v>97</v>
      </c>
      <c r="I66" s="14">
        <f>$D$12</f>
        <v>99</v>
      </c>
      <c r="J66" s="10"/>
      <c r="K66" s="11"/>
      <c r="L66" s="45" t="s">
        <v>411</v>
      </c>
      <c r="M66" s="12" t="s">
        <v>617</v>
      </c>
    </row>
    <row r="67" spans="1:13" ht="12.75" customHeight="1">
      <c r="A67" s="10" t="s">
        <v>610</v>
      </c>
      <c r="B67" s="14">
        <f t="shared" si="0"/>
        <v>0.029919964096043083</v>
      </c>
      <c r="C67" s="77">
        <v>1</v>
      </c>
      <c r="D67" s="13">
        <f>$C$12</f>
        <v>97</v>
      </c>
      <c r="E67" s="14">
        <f>$D$12</f>
        <v>99</v>
      </c>
      <c r="F67" s="12">
        <v>4</v>
      </c>
      <c r="G67" s="77">
        <v>1</v>
      </c>
      <c r="H67" s="13">
        <f>$C$12</f>
        <v>97</v>
      </c>
      <c r="I67" s="14">
        <f>$D$12</f>
        <v>99</v>
      </c>
      <c r="J67" s="10"/>
      <c r="K67" s="11"/>
      <c r="L67" s="45" t="s">
        <v>411</v>
      </c>
      <c r="M67" s="12" t="s">
        <v>614</v>
      </c>
    </row>
    <row r="68" spans="1:13" ht="13.5" customHeight="1">
      <c r="A68" s="10" t="s">
        <v>611</v>
      </c>
      <c r="B68" s="14">
        <f t="shared" si="0"/>
        <v>0.029919964096043083</v>
      </c>
      <c r="C68" s="77">
        <v>1</v>
      </c>
      <c r="D68" s="13">
        <f>$C$12</f>
        <v>97</v>
      </c>
      <c r="E68" s="14">
        <f>$D$12</f>
        <v>99</v>
      </c>
      <c r="F68" s="12">
        <v>4</v>
      </c>
      <c r="G68" s="77">
        <v>1</v>
      </c>
      <c r="H68" s="13">
        <f>$C$12</f>
        <v>97</v>
      </c>
      <c r="I68" s="14">
        <f>$D$12</f>
        <v>99</v>
      </c>
      <c r="J68" s="10"/>
      <c r="K68" s="11"/>
      <c r="L68" s="45" t="s">
        <v>411</v>
      </c>
      <c r="M68" s="12" t="s">
        <v>626</v>
      </c>
    </row>
    <row r="69" spans="1:13" ht="24" customHeight="1">
      <c r="A69" s="10" t="s">
        <v>612</v>
      </c>
      <c r="B69" s="14">
        <f t="shared" si="0"/>
        <v>0.022439973072032313</v>
      </c>
      <c r="C69" s="77">
        <f>IF($B$20-J69&gt;=$C$7,6,7)</f>
        <v>7</v>
      </c>
      <c r="D69" s="130">
        <f>MAX($C$13,MIN($C$11,($C$13+($C$11-$C$13)*($B$20-J69)/$C$8)))</f>
        <v>85.26666666666667</v>
      </c>
      <c r="E69" s="131">
        <f>MAX($D$13,MIN($D$11,($D$13+($D$11-$D$13)*($B$20-J69)/$C$8)))</f>
        <v>91.53333333333333</v>
      </c>
      <c r="F69" s="12">
        <v>3</v>
      </c>
      <c r="G69" s="77">
        <f>IF($F$20-J69&gt;=$C$7,6,7)</f>
        <v>7</v>
      </c>
      <c r="H69" s="130">
        <f>MAX($C$13,MIN($C$11,($C$13+($C$11-$C$13)*($F$20-J69)/$C$8)))</f>
        <v>97</v>
      </c>
      <c r="I69" s="131">
        <f>MAX($D$13,MIN($D$11,($D$13+($D$11-$D$13)*($F$20-J69)/$C$8)))</f>
        <v>99</v>
      </c>
      <c r="J69" s="10">
        <v>1920</v>
      </c>
      <c r="K69" s="11" t="s">
        <v>124</v>
      </c>
      <c r="L69" s="15" t="s">
        <v>408</v>
      </c>
      <c r="M69" s="12" t="s">
        <v>625</v>
      </c>
    </row>
    <row r="70" spans="1:13" ht="13.5" customHeight="1">
      <c r="A70" s="10" t="s">
        <v>613</v>
      </c>
      <c r="B70" s="14">
        <f t="shared" si="0"/>
        <v>0.022439973072032313</v>
      </c>
      <c r="C70" s="77">
        <v>1</v>
      </c>
      <c r="D70" s="13">
        <f>$C$12</f>
        <v>97</v>
      </c>
      <c r="E70" s="14">
        <f>$D$12</f>
        <v>99</v>
      </c>
      <c r="F70" s="12">
        <v>3</v>
      </c>
      <c r="G70" s="77">
        <v>1</v>
      </c>
      <c r="H70" s="13">
        <f>$C$12</f>
        <v>97</v>
      </c>
      <c r="I70" s="14">
        <f>$D$12</f>
        <v>99</v>
      </c>
      <c r="J70" s="10"/>
      <c r="K70" s="11"/>
      <c r="L70" s="45" t="s">
        <v>411</v>
      </c>
      <c r="M70" s="12" t="s">
        <v>619</v>
      </c>
    </row>
    <row r="71" spans="1:13" ht="12.75">
      <c r="A71" s="10" t="s">
        <v>368</v>
      </c>
      <c r="B71" s="14">
        <f>SUM(B23:B70)</f>
        <v>100.00000000000004</v>
      </c>
      <c r="C71" s="77"/>
      <c r="D71" s="13">
        <f>SUMPRODUCT(B23:B70,D23:D70)/100</f>
        <v>92.75511340497502</v>
      </c>
      <c r="E71" s="14">
        <f>SUMPRODUCT(B23:B70,E23:E70)/100</f>
        <v>96.27552131381886</v>
      </c>
      <c r="F71" s="12">
        <f>SUM(F23:F70)</f>
        <v>13369</v>
      </c>
      <c r="G71" s="77"/>
      <c r="H71" s="97">
        <f>SUMPRODUCT(F23:F70,H23:H70)/100</f>
        <v>12829.421555555553</v>
      </c>
      <c r="I71" s="107">
        <f>SUMPRODUCT(F23:F70,I23:I70)/100</f>
        <v>13162.167555555554</v>
      </c>
      <c r="J71" s="10"/>
      <c r="K71" s="11"/>
      <c r="L71" s="45"/>
      <c r="M71" s="12"/>
    </row>
    <row r="72" spans="1:13" ht="22.5">
      <c r="A72" s="17" t="s">
        <v>369</v>
      </c>
      <c r="B72" s="9"/>
      <c r="C72" s="71"/>
      <c r="D72" s="18">
        <f>100*D71/B71</f>
        <v>92.75511340497498</v>
      </c>
      <c r="E72" s="19">
        <f>100*E71/B71</f>
        <v>96.27552131381883</v>
      </c>
      <c r="F72" s="9"/>
      <c r="G72" s="71"/>
      <c r="H72" s="18">
        <f>100*H71/F71</f>
        <v>95.96395807880585</v>
      </c>
      <c r="I72" s="19">
        <f>100*I71/F71</f>
        <v>98.45289517208134</v>
      </c>
      <c r="J72" s="7"/>
      <c r="K72" s="8"/>
      <c r="L72" s="49"/>
      <c r="M72" s="9"/>
    </row>
    <row r="73" spans="1:15" ht="12.75">
      <c r="A73" s="181" t="s">
        <v>907</v>
      </c>
      <c r="B73" s="5"/>
      <c r="C73" s="182" t="s">
        <v>908</v>
      </c>
      <c r="D73" s="183"/>
      <c r="E73" s="213"/>
      <c r="F73" s="83"/>
      <c r="G73" s="182" t="s">
        <v>908</v>
      </c>
      <c r="H73" s="183"/>
      <c r="I73" s="194"/>
      <c r="J73" s="11"/>
      <c r="K73" s="11"/>
      <c r="L73" s="11"/>
      <c r="M73" s="11"/>
      <c r="N73" s="45"/>
      <c r="O73" s="11"/>
    </row>
    <row r="74" spans="1:15" ht="12.75">
      <c r="A74" s="31" t="s">
        <v>898</v>
      </c>
      <c r="B74" s="30">
        <f>SUMIF($C$23:$C$70,"1",$B$23:$B$70)</f>
        <v>82.12282145261428</v>
      </c>
      <c r="C74" s="122">
        <v>1</v>
      </c>
      <c r="D74" s="216">
        <f>B74+B75+B79</f>
        <v>82.12282145261428</v>
      </c>
      <c r="E74" s="47"/>
      <c r="F74" s="30">
        <f>SUMIF($G$23:$G$70,"1",$F$23:$F$70)</f>
        <v>10979</v>
      </c>
      <c r="G74" s="122">
        <v>1</v>
      </c>
      <c r="H74" s="216">
        <f>F74+F75+F79</f>
        <v>10992</v>
      </c>
      <c r="I74" s="16"/>
      <c r="J74" s="11"/>
      <c r="K74" s="11"/>
      <c r="L74" s="11"/>
      <c r="M74" s="11"/>
      <c r="N74" s="45"/>
      <c r="O74" s="11"/>
    </row>
    <row r="75" spans="1:15" ht="13.5" customHeight="1">
      <c r="A75" s="31" t="s">
        <v>903</v>
      </c>
      <c r="B75" s="30">
        <f>SUMIF($C$23:$C$70,"2",$B$23:$B$70)</f>
        <v>0</v>
      </c>
      <c r="C75" s="122">
        <v>2</v>
      </c>
      <c r="D75" s="216">
        <f>B80</f>
        <v>3.3809559428528684</v>
      </c>
      <c r="E75" s="47"/>
      <c r="F75" s="30">
        <f>SUMIF($G$23:$G$70,"2",$F$23:$F$70)</f>
        <v>13</v>
      </c>
      <c r="G75" s="122">
        <v>2</v>
      </c>
      <c r="H75" s="216">
        <f>F80</f>
        <v>452</v>
      </c>
      <c r="I75" s="16"/>
      <c r="J75" s="11"/>
      <c r="K75" s="11"/>
      <c r="L75" s="11"/>
      <c r="M75" s="11"/>
      <c r="N75" s="45"/>
      <c r="O75" s="11"/>
    </row>
    <row r="76" spans="1:15" ht="13.5" customHeight="1">
      <c r="A76" s="31" t="s">
        <v>902</v>
      </c>
      <c r="B76" s="30">
        <f>SUMIF($C$23:$C$70,"3",$B$23:$B$70)</f>
        <v>0.09723988331214002</v>
      </c>
      <c r="C76" s="122">
        <v>3</v>
      </c>
      <c r="D76" s="216">
        <f>B76</f>
        <v>0.09723988331214002</v>
      </c>
      <c r="E76" s="47"/>
      <c r="F76" s="30">
        <f>SUMIF($G$23:$G$70,"3",$F$23:$F$70)</f>
        <v>1199</v>
      </c>
      <c r="G76" s="122">
        <v>3</v>
      </c>
      <c r="H76" s="216">
        <f>F76</f>
        <v>1199</v>
      </c>
      <c r="I76" s="16"/>
      <c r="J76" s="11"/>
      <c r="K76" s="11"/>
      <c r="L76" s="11"/>
      <c r="M76" s="11"/>
      <c r="N76" s="45"/>
      <c r="O76" s="11"/>
    </row>
    <row r="77" spans="1:15" ht="14.25" customHeight="1">
      <c r="A77" s="31" t="s">
        <v>904</v>
      </c>
      <c r="B77" s="30">
        <f>SUMIF($C$23:$C$70,"4",$B$23:$B$70)</f>
        <v>0.23935971276834467</v>
      </c>
      <c r="C77" s="122">
        <v>4</v>
      </c>
      <c r="D77" s="216">
        <f>B77</f>
        <v>0.23935971276834467</v>
      </c>
      <c r="E77" s="47"/>
      <c r="F77" s="30">
        <f>SUMIF($G$23:$G$70,"4",$F$23:$F$70)</f>
        <v>0</v>
      </c>
      <c r="G77" s="122">
        <v>4</v>
      </c>
      <c r="H77" s="216">
        <f>F77</f>
        <v>0</v>
      </c>
      <c r="I77" s="16"/>
      <c r="J77" s="11"/>
      <c r="K77" s="11"/>
      <c r="L77" s="11"/>
      <c r="M77" s="11"/>
      <c r="N77" s="45"/>
      <c r="O77" s="11"/>
    </row>
    <row r="78" spans="1:15" ht="12.75" customHeight="1">
      <c r="A78" s="31" t="s">
        <v>905</v>
      </c>
      <c r="B78" s="30">
        <f>SUMIF($C$23:$C$70,"5",$B$23:$B$70)</f>
        <v>8.729149525020569</v>
      </c>
      <c r="C78" s="122">
        <v>5</v>
      </c>
      <c r="D78" s="216">
        <f>B78</f>
        <v>8.729149525020569</v>
      </c>
      <c r="E78" s="47"/>
      <c r="F78" s="30">
        <f>SUMIF($G$23:$G$70,"5",$F$23:$F$70)</f>
        <v>0</v>
      </c>
      <c r="G78" s="122">
        <v>5</v>
      </c>
      <c r="H78" s="216">
        <f>F78</f>
        <v>0</v>
      </c>
      <c r="I78" s="16"/>
      <c r="J78" s="11"/>
      <c r="K78" s="11"/>
      <c r="L78" s="11"/>
      <c r="M78" s="11"/>
      <c r="N78" s="45"/>
      <c r="O78" s="11"/>
    </row>
    <row r="79" spans="1:15" ht="12.75">
      <c r="A79" s="31" t="s">
        <v>900</v>
      </c>
      <c r="B79" s="30">
        <f>SUMIF($C$23:$C$70,"6",$B$23:$B$70)</f>
        <v>0</v>
      </c>
      <c r="C79" s="122">
        <v>6</v>
      </c>
      <c r="D79" s="216">
        <f>B81</f>
        <v>0</v>
      </c>
      <c r="E79" s="47"/>
      <c r="F79" s="30">
        <f>SUMIF($G$23:$G$70,"6",$F$23:$F$70)</f>
        <v>0</v>
      </c>
      <c r="G79" s="122">
        <v>6</v>
      </c>
      <c r="H79" s="216">
        <f>F81</f>
        <v>0</v>
      </c>
      <c r="I79" s="16"/>
      <c r="J79" s="11"/>
      <c r="K79" s="11"/>
      <c r="L79" s="11"/>
      <c r="M79" s="11"/>
      <c r="N79" s="45"/>
      <c r="O79" s="11"/>
    </row>
    <row r="80" spans="1:15" ht="12.75">
      <c r="A80" s="31" t="s">
        <v>899</v>
      </c>
      <c r="B80" s="30">
        <f>SUMIF($C$23:$C$70,"7",$B$23:$B$70)</f>
        <v>3.3809559428528684</v>
      </c>
      <c r="C80" s="122">
        <v>7</v>
      </c>
      <c r="D80" s="216">
        <f>B82</f>
        <v>5.43047348343182</v>
      </c>
      <c r="E80" s="47"/>
      <c r="F80" s="30">
        <f>SUMIF($G$23:$G$70,"7",$F$23:$F$70)</f>
        <v>452</v>
      </c>
      <c r="G80" s="122">
        <v>7</v>
      </c>
      <c r="H80" s="216">
        <f>F82</f>
        <v>726</v>
      </c>
      <c r="I80" s="16"/>
      <c r="J80" s="11"/>
      <c r="K80" s="11"/>
      <c r="L80" s="11"/>
      <c r="M80" s="11"/>
      <c r="N80" s="45"/>
      <c r="O80" s="11"/>
    </row>
    <row r="81" spans="1:15" ht="12.75">
      <c r="A81" s="31" t="s">
        <v>901</v>
      </c>
      <c r="B81" s="30">
        <f>SUMIF($C$23:$C$70,"8",$B$23:$B$70)</f>
        <v>0</v>
      </c>
      <c r="C81" s="36"/>
      <c r="D81" s="221"/>
      <c r="E81" s="47"/>
      <c r="F81" s="30">
        <f>SUMIF($G$23:$G$70,"8",$F$23:$F$70)</f>
        <v>0</v>
      </c>
      <c r="G81" s="135"/>
      <c r="H81" s="217"/>
      <c r="I81" s="12"/>
      <c r="J81" s="11"/>
      <c r="K81" s="11"/>
      <c r="L81" s="11"/>
      <c r="M81" s="11"/>
      <c r="N81" s="45"/>
      <c r="O81" s="11"/>
    </row>
    <row r="82" spans="1:15" ht="12.75">
      <c r="A82" s="31" t="s">
        <v>906</v>
      </c>
      <c r="B82" s="30">
        <f>SUMIF($C$23:$C$70,"9",$B$23:$B$70)</f>
        <v>5.43047348343182</v>
      </c>
      <c r="C82" s="36"/>
      <c r="D82" s="217"/>
      <c r="E82" s="16"/>
      <c r="F82" s="30">
        <f>SUMIF($G$23:$G$70,"9",$F$23:$F$70)</f>
        <v>726</v>
      </c>
      <c r="G82" s="135"/>
      <c r="H82" s="217"/>
      <c r="I82" s="12"/>
      <c r="J82" s="11"/>
      <c r="K82" s="11"/>
      <c r="L82" s="11"/>
      <c r="M82" s="11"/>
      <c r="N82" s="45"/>
      <c r="O82" s="11"/>
    </row>
    <row r="83" spans="1:15" ht="12.75">
      <c r="A83" s="173" t="s">
        <v>368</v>
      </c>
      <c r="B83" s="215">
        <f>SUM(B74:B82)</f>
        <v>100.00000000000003</v>
      </c>
      <c r="C83" s="39"/>
      <c r="D83" s="215">
        <f>SUM(D74:D82)</f>
        <v>100.00000000000003</v>
      </c>
      <c r="E83" s="21"/>
      <c r="F83" s="215">
        <f>SUM(F74:F82)</f>
        <v>13369</v>
      </c>
      <c r="G83" s="180"/>
      <c r="H83" s="215">
        <f>SUM(H74:H82)</f>
        <v>13369</v>
      </c>
      <c r="I83" s="9"/>
      <c r="J83" s="11"/>
      <c r="K83" s="11"/>
      <c r="L83" s="11"/>
      <c r="M83" s="11"/>
      <c r="N83" s="45"/>
      <c r="O83" s="11"/>
    </row>
    <row r="84" spans="1:15" ht="12.75">
      <c r="A84" s="15"/>
      <c r="B84" s="15"/>
      <c r="C84" s="135"/>
      <c r="D84" s="135"/>
      <c r="E84" s="15"/>
      <c r="F84" s="15"/>
      <c r="G84" s="15"/>
      <c r="H84" s="135"/>
      <c r="I84" s="135"/>
      <c r="J84" s="11"/>
      <c r="K84" s="11"/>
      <c r="L84" s="11"/>
      <c r="M84" s="11"/>
      <c r="N84" s="45"/>
      <c r="O84" s="11"/>
    </row>
    <row r="85" spans="1:9" ht="85.5" customHeight="1">
      <c r="A85" s="301" t="s">
        <v>14</v>
      </c>
      <c r="B85" s="309"/>
      <c r="C85" s="309"/>
      <c r="D85" s="309"/>
      <c r="E85" s="309"/>
      <c r="F85" s="309"/>
      <c r="G85" s="309"/>
      <c r="H85" s="309"/>
      <c r="I85" s="310"/>
    </row>
  </sheetData>
  <mergeCells count="3">
    <mergeCell ref="A85:I85"/>
    <mergeCell ref="D21:E21"/>
    <mergeCell ref="H21:I21"/>
  </mergeCells>
  <printOptions/>
  <pageMargins left="0.75" right="0.75" top="1" bottom="1" header="0" footer="0"/>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dimension ref="A2:K159"/>
  <sheetViews>
    <sheetView workbookViewId="0" topLeftCell="A137">
      <selection activeCell="G108" sqref="G108"/>
    </sheetView>
  </sheetViews>
  <sheetFormatPr defaultColWidth="9.140625" defaultRowHeight="12.75"/>
  <cols>
    <col min="1" max="1" width="27.28125" style="0" customWidth="1"/>
    <col min="2" max="2" width="6.28125" style="0" customWidth="1"/>
    <col min="3" max="3" width="4.140625" style="0" customWidth="1"/>
    <col min="4" max="4" width="6.28125" style="0" customWidth="1"/>
    <col min="5" max="5" width="6.140625" style="0" customWidth="1"/>
    <col min="6" max="6" width="7.28125" style="0" customWidth="1"/>
    <col min="7" max="7" width="10.8515625" style="0" customWidth="1"/>
    <col min="8" max="8" width="9.7109375" style="0" customWidth="1"/>
    <col min="9" max="9" width="65.28125" style="0" customWidth="1"/>
    <col min="10" max="10" width="8.421875" style="0" customWidth="1"/>
  </cols>
  <sheetData>
    <row r="2" ht="20.25">
      <c r="A2" s="64" t="s">
        <v>627</v>
      </c>
    </row>
    <row r="3" ht="15">
      <c r="A3" s="65" t="s">
        <v>19</v>
      </c>
    </row>
    <row r="6" spans="3:6" ht="12.75">
      <c r="C6" s="67" t="s">
        <v>425</v>
      </c>
      <c r="D6" s="68"/>
      <c r="E6" s="68"/>
      <c r="F6" s="51"/>
    </row>
    <row r="7" spans="1:7" ht="12.75">
      <c r="A7" s="2"/>
      <c r="B7" s="2"/>
      <c r="C7" s="144">
        <f>Charts!$D$12</f>
        <v>45</v>
      </c>
      <c r="D7" s="75"/>
      <c r="E7" s="45" t="s">
        <v>890</v>
      </c>
      <c r="F7" s="42"/>
      <c r="G7" s="2"/>
    </row>
    <row r="8" spans="1:7" ht="12.75">
      <c r="A8" s="2"/>
      <c r="B8" s="2"/>
      <c r="C8" s="144">
        <f>Charts!$D$13</f>
        <v>30</v>
      </c>
      <c r="D8" s="45"/>
      <c r="E8" s="45" t="s">
        <v>889</v>
      </c>
      <c r="F8" s="42"/>
      <c r="G8" s="2"/>
    </row>
    <row r="9" spans="1:7" ht="12.75">
      <c r="A9" s="2"/>
      <c r="B9" s="2"/>
      <c r="C9" s="52" t="s">
        <v>305</v>
      </c>
      <c r="D9" s="49" t="s">
        <v>306</v>
      </c>
      <c r="E9" s="45"/>
      <c r="F9" s="42"/>
      <c r="G9" s="2"/>
    </row>
    <row r="10" spans="1:7" ht="12.75">
      <c r="A10" s="2"/>
      <c r="B10" s="2"/>
      <c r="C10" s="144">
        <f>Charts!$D$15</f>
        <v>0</v>
      </c>
      <c r="D10" s="143">
        <f>Charts!$E$15</f>
        <v>5</v>
      </c>
      <c r="E10" s="45" t="s">
        <v>303</v>
      </c>
      <c r="F10" s="42"/>
      <c r="G10" s="2"/>
    </row>
    <row r="11" spans="1:7" ht="12.75">
      <c r="A11" s="2"/>
      <c r="B11" s="2"/>
      <c r="C11" s="144">
        <f>Charts!$D$16</f>
        <v>97</v>
      </c>
      <c r="D11" s="143">
        <f>Charts!$E$16</f>
        <v>99</v>
      </c>
      <c r="E11" s="45" t="s">
        <v>410</v>
      </c>
      <c r="F11" s="42"/>
      <c r="G11" s="2"/>
    </row>
    <row r="12" spans="1:7" ht="12.75">
      <c r="A12" s="2"/>
      <c r="B12" s="2"/>
      <c r="C12" s="144">
        <f>Charts!$D$17</f>
        <v>97</v>
      </c>
      <c r="D12" s="143">
        <f>Charts!$E$17</f>
        <v>99</v>
      </c>
      <c r="E12" s="45" t="s">
        <v>411</v>
      </c>
      <c r="F12" s="69"/>
      <c r="G12" s="2"/>
    </row>
    <row r="13" spans="1:7" ht="12.75">
      <c r="A13" s="2"/>
      <c r="B13" s="2"/>
      <c r="C13" s="144">
        <f>Charts!$D$18</f>
        <v>75</v>
      </c>
      <c r="D13" s="143">
        <f>Charts!$E$18</f>
        <v>85</v>
      </c>
      <c r="E13" s="45" t="s">
        <v>408</v>
      </c>
      <c r="F13" s="42"/>
      <c r="G13" s="2"/>
    </row>
    <row r="14" spans="1:7" ht="12.75">
      <c r="A14" s="2"/>
      <c r="B14" s="2"/>
      <c r="C14" s="144">
        <f>Charts!$D$19</f>
        <v>0</v>
      </c>
      <c r="D14" s="143">
        <f>Charts!$E$19</f>
        <v>20</v>
      </c>
      <c r="E14" s="45" t="s">
        <v>409</v>
      </c>
      <c r="F14" s="42"/>
      <c r="G14" s="2"/>
    </row>
    <row r="15" spans="1:7" ht="12.75">
      <c r="A15" s="2"/>
      <c r="B15" s="2"/>
      <c r="C15" s="144">
        <f>Charts!$D$20</f>
        <v>40</v>
      </c>
      <c r="D15" s="143">
        <f>Charts!$E$20</f>
        <v>60</v>
      </c>
      <c r="E15" s="45" t="s">
        <v>412</v>
      </c>
      <c r="F15" s="42"/>
      <c r="G15" s="2"/>
    </row>
    <row r="16" spans="3:6" ht="12.75">
      <c r="C16" s="145">
        <f>Charts!$D$21</f>
        <v>65</v>
      </c>
      <c r="D16" s="59">
        <f>Charts!$E$21</f>
        <v>85</v>
      </c>
      <c r="E16" s="43" t="s">
        <v>873</v>
      </c>
      <c r="F16" s="48"/>
    </row>
    <row r="19" spans="1:10" ht="15.75">
      <c r="A19" s="90" t="s">
        <v>628</v>
      </c>
      <c r="B19" s="2"/>
      <c r="C19" s="2"/>
      <c r="D19" s="2"/>
      <c r="E19" s="33"/>
      <c r="F19" s="2"/>
      <c r="G19" s="2"/>
      <c r="H19" s="2"/>
      <c r="I19" s="2"/>
      <c r="J19" s="2"/>
    </row>
    <row r="20" spans="1:9" ht="15.75">
      <c r="A20" s="4" t="s">
        <v>629</v>
      </c>
      <c r="B20" s="63">
        <v>1965</v>
      </c>
      <c r="C20" s="75"/>
      <c r="D20" s="58"/>
      <c r="E20" s="27"/>
      <c r="F20" s="50"/>
      <c r="G20" s="27"/>
      <c r="H20" s="27"/>
      <c r="I20" s="38"/>
    </row>
    <row r="21" spans="1:9" ht="22.5" customHeight="1">
      <c r="A21" s="28" t="s">
        <v>430</v>
      </c>
      <c r="B21" s="5" t="s">
        <v>304</v>
      </c>
      <c r="C21" s="76" t="s">
        <v>897</v>
      </c>
      <c r="D21" s="304" t="s">
        <v>400</v>
      </c>
      <c r="E21" s="305"/>
      <c r="F21" s="57" t="s">
        <v>6</v>
      </c>
      <c r="G21" s="5"/>
      <c r="H21" s="5"/>
      <c r="I21" s="6"/>
    </row>
    <row r="22" spans="1:9" ht="22.5">
      <c r="A22" s="7"/>
      <c r="B22" s="8"/>
      <c r="C22" s="71"/>
      <c r="D22" s="7" t="s">
        <v>305</v>
      </c>
      <c r="E22" s="9" t="s">
        <v>306</v>
      </c>
      <c r="F22" s="7" t="s">
        <v>431</v>
      </c>
      <c r="G22" s="8" t="s">
        <v>423</v>
      </c>
      <c r="H22" s="8" t="s">
        <v>424</v>
      </c>
      <c r="I22" s="44" t="s">
        <v>428</v>
      </c>
    </row>
    <row r="23" spans="1:9" ht="24.75" customHeight="1">
      <c r="A23" s="28" t="s">
        <v>666</v>
      </c>
      <c r="B23" s="42">
        <v>18.9</v>
      </c>
      <c r="C23" s="76">
        <f>IF($B$20-F23&gt;=H19,2,IF($B$20-F23&gt;=$C$7*2/3,3,IF($B$20-F23&gt;=$C$7*1/3,4,5)))</f>
        <v>2</v>
      </c>
      <c r="D23" s="130">
        <f>MAX($C$16,MIN($C$11,($C$16+($C$11-$C$16)*($B$20-F23)/$C$8)))</f>
        <v>97</v>
      </c>
      <c r="E23" s="131">
        <f>MAX($D$16,MIN($D$11,($D$16+($D$11-$D$16)*($B$20-F23)/$C$8)))</f>
        <v>99</v>
      </c>
      <c r="F23" s="12">
        <v>1920</v>
      </c>
      <c r="G23" s="5" t="s">
        <v>427</v>
      </c>
      <c r="H23" s="5" t="s">
        <v>873</v>
      </c>
      <c r="I23" s="6" t="s">
        <v>879</v>
      </c>
    </row>
    <row r="24" spans="1:9" ht="24.75" customHeight="1">
      <c r="A24" s="10" t="s">
        <v>667</v>
      </c>
      <c r="B24" s="42">
        <v>5.5</v>
      </c>
      <c r="C24" s="70">
        <v>1</v>
      </c>
      <c r="D24" s="135">
        <f>$C$12</f>
        <v>97</v>
      </c>
      <c r="E24" s="133">
        <f>$D$12</f>
        <v>99</v>
      </c>
      <c r="F24" s="42"/>
      <c r="G24" s="45"/>
      <c r="H24" s="45" t="s">
        <v>411</v>
      </c>
      <c r="I24" s="12" t="s">
        <v>82</v>
      </c>
    </row>
    <row r="25" spans="1:9" ht="13.5" customHeight="1">
      <c r="A25" s="10" t="s">
        <v>668</v>
      </c>
      <c r="B25" s="42">
        <v>19.3</v>
      </c>
      <c r="C25" s="70">
        <v>1</v>
      </c>
      <c r="D25" s="135">
        <f>$C$12</f>
        <v>97</v>
      </c>
      <c r="E25" s="133">
        <f>$D$12</f>
        <v>99</v>
      </c>
      <c r="F25" s="42"/>
      <c r="G25" s="11"/>
      <c r="H25" s="45" t="s">
        <v>411</v>
      </c>
      <c r="I25" s="12" t="s">
        <v>83</v>
      </c>
    </row>
    <row r="26" spans="1:9" ht="24.75" customHeight="1">
      <c r="A26" s="10" t="s">
        <v>669</v>
      </c>
      <c r="B26" s="42">
        <v>8.2</v>
      </c>
      <c r="C26" s="77">
        <f>IF($B$20-F26&gt;=$C$7,6,7)</f>
        <v>6</v>
      </c>
      <c r="D26" s="130">
        <f>MAX($C$13,MIN($C$11,($C$13+($C$11-$C$13)*($B$20-F26)/$C$8)))</f>
        <v>97</v>
      </c>
      <c r="E26" s="131">
        <f>MAX($D$13,MIN($D$11,($D$13+($D$11-$D$13)*($B$20-F26)/$C$8)))</f>
        <v>99</v>
      </c>
      <c r="F26" s="42">
        <v>1920</v>
      </c>
      <c r="G26" s="11" t="s">
        <v>124</v>
      </c>
      <c r="H26" s="15" t="s">
        <v>408</v>
      </c>
      <c r="I26" s="12" t="s">
        <v>63</v>
      </c>
    </row>
    <row r="27" spans="1:9" ht="24" customHeight="1">
      <c r="A27" s="10" t="s">
        <v>670</v>
      </c>
      <c r="B27" s="42">
        <v>34.2</v>
      </c>
      <c r="C27" s="70">
        <f>IF($B$20-F27&gt;=$C$7,2,IF($B$20-F27&gt;=$C$7*2/3,3,IF($B$20-F27&gt;=$C$7*1/3,4,5)))</f>
        <v>2</v>
      </c>
      <c r="D27" s="130">
        <f>MAX($C$15,MIN($C$11,($C$15+($C$11-$C$15)*($B$20-F27)/$C$8)))</f>
        <v>97</v>
      </c>
      <c r="E27" s="131">
        <f>MAX($D$15,MIN($D$11,($D$15+($D$11-$D$15)*($B$20-F27)/$C$8)))</f>
        <v>99</v>
      </c>
      <c r="F27" s="42">
        <v>1900</v>
      </c>
      <c r="G27" s="11" t="s">
        <v>427</v>
      </c>
      <c r="H27" s="11" t="s">
        <v>412</v>
      </c>
      <c r="I27" s="12" t="s">
        <v>84</v>
      </c>
    </row>
    <row r="28" spans="1:9" ht="13.5" customHeight="1">
      <c r="A28" s="10" t="s">
        <v>643</v>
      </c>
      <c r="B28" s="42">
        <v>1.6</v>
      </c>
      <c r="C28" s="70">
        <f>IF($B$20-F28&gt;=$C$7,2,IF($B$20-F28&gt;=$C$7*2/3,3,IF($B$20-F28&gt;=$C$7*1/3,4,5)))</f>
        <v>2</v>
      </c>
      <c r="D28" s="130">
        <f>MAX($C$15,MIN($C$11,($C$15+($C$11-$C$15)*($B$20-F28)/$C$8)))</f>
        <v>97</v>
      </c>
      <c r="E28" s="131">
        <f>MAX($D$15,MIN($D$11,($D$15+($D$11-$D$15)*($B$20-F28)/$C$8)))</f>
        <v>99</v>
      </c>
      <c r="F28" s="42">
        <v>1900</v>
      </c>
      <c r="G28" s="11" t="s">
        <v>427</v>
      </c>
      <c r="H28" s="11" t="s">
        <v>412</v>
      </c>
      <c r="I28" s="12" t="s">
        <v>142</v>
      </c>
    </row>
    <row r="29" spans="1:9" ht="13.5" customHeight="1">
      <c r="A29" s="10" t="s">
        <v>671</v>
      </c>
      <c r="B29" s="42">
        <v>1.5</v>
      </c>
      <c r="C29" s="70">
        <v>1</v>
      </c>
      <c r="D29" s="135">
        <f>$C$12</f>
        <v>97</v>
      </c>
      <c r="E29" s="133">
        <f>$D$12</f>
        <v>99</v>
      </c>
      <c r="F29" s="42"/>
      <c r="G29" s="45"/>
      <c r="H29" s="45" t="s">
        <v>411</v>
      </c>
      <c r="I29" s="12" t="s">
        <v>660</v>
      </c>
    </row>
    <row r="30" spans="1:9" ht="24" customHeight="1">
      <c r="A30" s="10" t="s">
        <v>672</v>
      </c>
      <c r="B30" s="42">
        <v>4.2</v>
      </c>
      <c r="C30" s="70">
        <f>IF($B$20-F30&gt;=$C$7,2,IF($B$20-F30&gt;=$C$7*2/3,3,IF($B$20-F30&gt;=$C$7*1/3,4,IF($B$20-F30&gt;=0,5,8))))</f>
        <v>2</v>
      </c>
      <c r="D30" s="130">
        <f>MAX($C$10,MIN($C$11,($C$14+($C$11-$C$14)*($B$20-F30)/$C$7)))</f>
        <v>97</v>
      </c>
      <c r="E30" s="131">
        <f>MAX($D$10,MIN($D$11,($D$14+($D$11-$D$14)*($B$20-F30)/$C$7)))</f>
        <v>99</v>
      </c>
      <c r="F30" s="42">
        <v>1895</v>
      </c>
      <c r="G30" s="45" t="s">
        <v>426</v>
      </c>
      <c r="H30" s="11" t="s">
        <v>303</v>
      </c>
      <c r="I30" s="12" t="s">
        <v>2</v>
      </c>
    </row>
    <row r="31" spans="1:9" ht="23.25" customHeight="1">
      <c r="A31" s="10" t="s">
        <v>673</v>
      </c>
      <c r="B31" s="42">
        <v>4.3</v>
      </c>
      <c r="C31" s="70">
        <v>9</v>
      </c>
      <c r="D31" s="130">
        <v>75</v>
      </c>
      <c r="E31" s="131">
        <v>85</v>
      </c>
      <c r="F31" s="42"/>
      <c r="G31" s="45"/>
      <c r="H31" s="11"/>
      <c r="I31" s="12" t="s">
        <v>875</v>
      </c>
    </row>
    <row r="32" spans="1:9" ht="26.25" customHeight="1">
      <c r="A32" s="10" t="s">
        <v>640</v>
      </c>
      <c r="B32" s="42">
        <v>2.3</v>
      </c>
      <c r="C32" s="70">
        <v>9</v>
      </c>
      <c r="D32" s="60">
        <v>80</v>
      </c>
      <c r="E32" s="80">
        <v>90</v>
      </c>
      <c r="F32" s="42"/>
      <c r="G32" s="45"/>
      <c r="H32" s="11"/>
      <c r="I32" s="12" t="s">
        <v>674</v>
      </c>
    </row>
    <row r="33" spans="1:9" ht="12.75">
      <c r="A33" s="10" t="s">
        <v>368</v>
      </c>
      <c r="B33" s="42">
        <f>SUM(B23:B32)</f>
        <v>100</v>
      </c>
      <c r="C33" s="70"/>
      <c r="D33" s="13">
        <f>SUMPRODUCT(B23:B32,D23:D32)/100</f>
        <v>95.66300000000001</v>
      </c>
      <c r="E33" s="14">
        <f>SUMPRODUCT(B23:B32,E23:E32)/100</f>
        <v>98.191</v>
      </c>
      <c r="F33" s="42"/>
      <c r="G33" s="45"/>
      <c r="H33" s="11"/>
      <c r="I33" s="12"/>
    </row>
    <row r="34" spans="1:9" ht="22.5">
      <c r="A34" s="17" t="s">
        <v>369</v>
      </c>
      <c r="B34" s="44"/>
      <c r="C34" s="66"/>
      <c r="D34" s="105">
        <f>100*D33/B33</f>
        <v>95.66300000000001</v>
      </c>
      <c r="E34" s="175">
        <f>100*E33/B33</f>
        <v>98.191</v>
      </c>
      <c r="F34" s="44"/>
      <c r="G34" s="49"/>
      <c r="H34" s="8"/>
      <c r="I34" s="9"/>
    </row>
    <row r="35" spans="1:10" ht="12.75">
      <c r="A35" s="181" t="s">
        <v>907</v>
      </c>
      <c r="B35" s="5"/>
      <c r="C35" s="182" t="s">
        <v>908</v>
      </c>
      <c r="D35" s="183"/>
      <c r="E35" s="213"/>
      <c r="F35" s="45"/>
      <c r="G35" s="45"/>
      <c r="H35" s="45"/>
      <c r="I35" s="11"/>
      <c r="J35" s="11"/>
    </row>
    <row r="36" spans="1:10" ht="12.75">
      <c r="A36" s="31" t="s">
        <v>898</v>
      </c>
      <c r="B36" s="30">
        <f>SUMIF($C$23:$C$32,"1",$B$23:$B$32)</f>
        <v>26.3</v>
      </c>
      <c r="C36" s="122">
        <v>1</v>
      </c>
      <c r="D36" s="216">
        <f>B36+B37+B41</f>
        <v>93.4</v>
      </c>
      <c r="E36" s="47"/>
      <c r="F36" s="45"/>
      <c r="G36" s="45"/>
      <c r="H36" s="45"/>
      <c r="I36" s="11"/>
      <c r="J36" s="11"/>
    </row>
    <row r="37" spans="1:10" ht="12.75">
      <c r="A37" s="31" t="s">
        <v>903</v>
      </c>
      <c r="B37" s="30">
        <f>SUMIF($C$23:$C$32,"2",$B$23:$B$32)</f>
        <v>58.900000000000006</v>
      </c>
      <c r="C37" s="122">
        <v>2</v>
      </c>
      <c r="D37" s="216">
        <f>B42</f>
        <v>0</v>
      </c>
      <c r="E37" s="47"/>
      <c r="F37" s="45"/>
      <c r="G37" s="45"/>
      <c r="H37" s="45"/>
      <c r="I37" s="11"/>
      <c r="J37" s="11"/>
    </row>
    <row r="38" spans="1:10" ht="12.75" customHeight="1">
      <c r="A38" s="31" t="s">
        <v>902</v>
      </c>
      <c r="B38" s="30">
        <f>SUMIF($C$23:$C$32,"3",$B$23:$B$32)</f>
        <v>0</v>
      </c>
      <c r="C38" s="122">
        <v>3</v>
      </c>
      <c r="D38" s="216">
        <f>B38</f>
        <v>0</v>
      </c>
      <c r="E38" s="47"/>
      <c r="F38" s="45"/>
      <c r="G38" s="45"/>
      <c r="H38" s="45"/>
      <c r="I38" s="11"/>
      <c r="J38" s="11"/>
    </row>
    <row r="39" spans="1:10" ht="12" customHeight="1">
      <c r="A39" s="31" t="s">
        <v>904</v>
      </c>
      <c r="B39" s="30">
        <f>SUMIF($C$23:$C$32,"4",$B$23:$B$32)</f>
        <v>0</v>
      </c>
      <c r="C39" s="122">
        <v>4</v>
      </c>
      <c r="D39" s="216">
        <f>B39</f>
        <v>0</v>
      </c>
      <c r="E39" s="47"/>
      <c r="F39" s="45"/>
      <c r="G39" s="45"/>
      <c r="H39" s="45"/>
      <c r="I39" s="11"/>
      <c r="J39" s="11"/>
    </row>
    <row r="40" spans="1:10" ht="12.75">
      <c r="A40" s="31" t="s">
        <v>905</v>
      </c>
      <c r="B40" s="30">
        <f>SUMIF($C$23:$C$32,"5",$B$23:$B$32)</f>
        <v>0</v>
      </c>
      <c r="C40" s="122">
        <v>5</v>
      </c>
      <c r="D40" s="216">
        <f>B40</f>
        <v>0</v>
      </c>
      <c r="E40" s="47"/>
      <c r="F40" s="45"/>
      <c r="G40" s="45"/>
      <c r="H40" s="45"/>
      <c r="I40" s="11"/>
      <c r="J40" s="11"/>
    </row>
    <row r="41" spans="1:10" ht="12.75">
      <c r="A41" s="31" t="s">
        <v>900</v>
      </c>
      <c r="B41" s="30">
        <f>SUMIF($C$23:$C$32,"6",$B$23:$B$32)</f>
        <v>8.2</v>
      </c>
      <c r="C41" s="122">
        <v>6</v>
      </c>
      <c r="D41" s="216">
        <f>B43</f>
        <v>0</v>
      </c>
      <c r="E41" s="47"/>
      <c r="F41" s="45"/>
      <c r="G41" s="45"/>
      <c r="H41" s="45"/>
      <c r="I41" s="11"/>
      <c r="J41" s="11"/>
    </row>
    <row r="42" spans="1:10" ht="12.75">
      <c r="A42" s="31" t="s">
        <v>899</v>
      </c>
      <c r="B42" s="30">
        <f>SUMIF($C$23:$C$32,"7",$B$23:$B$32)</f>
        <v>0</v>
      </c>
      <c r="C42" s="122">
        <v>7</v>
      </c>
      <c r="D42" s="216">
        <f>B44</f>
        <v>6.6</v>
      </c>
      <c r="E42" s="47"/>
      <c r="F42" s="45"/>
      <c r="G42" s="45"/>
      <c r="H42" s="45"/>
      <c r="I42" s="11"/>
      <c r="J42" s="11"/>
    </row>
    <row r="43" spans="1:10" ht="12.75">
      <c r="A43" s="31" t="s">
        <v>901</v>
      </c>
      <c r="B43" s="30">
        <f>SUMIF($C$23:$C$32,"8",$B$23:$B$32)</f>
        <v>0</v>
      </c>
      <c r="C43" s="36"/>
      <c r="D43" s="221"/>
      <c r="E43" s="47"/>
      <c r="F43" s="45"/>
      <c r="G43" s="45"/>
      <c r="H43" s="45"/>
      <c r="I43" s="11"/>
      <c r="J43" s="11"/>
    </row>
    <row r="44" spans="1:10" ht="12.75">
      <c r="A44" s="31" t="s">
        <v>906</v>
      </c>
      <c r="B44" s="30">
        <f>SUMIF($C$23:$C$32,"9",$B$23:$B$32)</f>
        <v>6.6</v>
      </c>
      <c r="C44" s="36"/>
      <c r="D44" s="217"/>
      <c r="E44" s="16"/>
      <c r="F44" s="45"/>
      <c r="G44" s="45"/>
      <c r="H44" s="45"/>
      <c r="I44" s="11"/>
      <c r="J44" s="11"/>
    </row>
    <row r="45" spans="1:10" ht="12.75">
      <c r="A45" s="173" t="s">
        <v>368</v>
      </c>
      <c r="B45" s="215">
        <f>SUM(B36:B44)</f>
        <v>100</v>
      </c>
      <c r="C45" s="39"/>
      <c r="D45" s="215">
        <f>SUM(D36:D44)</f>
        <v>100</v>
      </c>
      <c r="E45" s="21"/>
      <c r="F45" s="45"/>
      <c r="G45" s="45"/>
      <c r="H45" s="45"/>
      <c r="I45" s="11"/>
      <c r="J45" s="11"/>
    </row>
    <row r="46" spans="1:10" ht="12.75">
      <c r="A46" s="15"/>
      <c r="B46" s="24"/>
      <c r="C46" s="130"/>
      <c r="D46" s="130"/>
      <c r="E46" s="45"/>
      <c r="F46" s="45"/>
      <c r="G46" s="45"/>
      <c r="H46" s="45"/>
      <c r="I46" s="11"/>
      <c r="J46" s="11"/>
    </row>
    <row r="47" spans="1:9" ht="44.25" customHeight="1">
      <c r="A47" s="301" t="s">
        <v>15</v>
      </c>
      <c r="B47" s="309"/>
      <c r="C47" s="309"/>
      <c r="D47" s="309"/>
      <c r="E47" s="309"/>
      <c r="F47" s="309"/>
      <c r="G47" s="309"/>
      <c r="H47" s="309"/>
      <c r="I47" s="310"/>
    </row>
    <row r="51" spans="1:10" ht="15.75">
      <c r="A51" s="90" t="s">
        <v>664</v>
      </c>
      <c r="B51" s="2"/>
      <c r="C51" s="2"/>
      <c r="D51" s="2"/>
      <c r="E51" s="33"/>
      <c r="F51" s="2"/>
      <c r="G51" s="2"/>
      <c r="H51" s="2"/>
      <c r="I51" s="2"/>
      <c r="J51" s="2"/>
    </row>
    <row r="52" spans="1:9" ht="15.75">
      <c r="A52" s="4" t="s">
        <v>629</v>
      </c>
      <c r="B52" s="63">
        <v>1935</v>
      </c>
      <c r="C52" s="75"/>
      <c r="D52" s="58"/>
      <c r="E52" s="27"/>
      <c r="F52" s="50"/>
      <c r="G52" s="27"/>
      <c r="H52" s="27"/>
      <c r="I52" s="38"/>
    </row>
    <row r="53" spans="1:9" ht="22.5" customHeight="1">
      <c r="A53" s="28" t="s">
        <v>430</v>
      </c>
      <c r="B53" s="5" t="s">
        <v>370</v>
      </c>
      <c r="C53" s="76" t="s">
        <v>897</v>
      </c>
      <c r="D53" s="304" t="s">
        <v>400</v>
      </c>
      <c r="E53" s="305"/>
      <c r="F53" s="57" t="s">
        <v>6</v>
      </c>
      <c r="G53" s="5"/>
      <c r="H53" s="5"/>
      <c r="I53" s="6"/>
    </row>
    <row r="54" spans="1:9" ht="22.5" customHeight="1">
      <c r="A54" s="7"/>
      <c r="B54" s="8"/>
      <c r="C54" s="71"/>
      <c r="D54" s="7" t="s">
        <v>305</v>
      </c>
      <c r="E54" s="9" t="s">
        <v>306</v>
      </c>
      <c r="F54" s="7" t="s">
        <v>431</v>
      </c>
      <c r="G54" s="8" t="s">
        <v>423</v>
      </c>
      <c r="H54" s="8" t="s">
        <v>424</v>
      </c>
      <c r="I54" s="44" t="s">
        <v>428</v>
      </c>
    </row>
    <row r="55" spans="1:9" ht="22.5">
      <c r="A55" s="40" t="s">
        <v>630</v>
      </c>
      <c r="B55" s="96">
        <v>19054</v>
      </c>
      <c r="C55" s="76">
        <f>IF($B$52-F55&gt;=$C$7,2,IF($B$52-F55&gt;=$C$7*2/3,3,IF($B$52-F55&gt;=$C$7*1/3,4,5)))</f>
        <v>4</v>
      </c>
      <c r="D55" s="130">
        <f>MAX($C$16,MIN($C$11,($C$16+($C$11-$C$16)*($B$52-F55)/$C$8)))</f>
        <v>81</v>
      </c>
      <c r="E55" s="131">
        <f>MAX($D$16,MIN($D$11,($D$16+($D$11-$D$16)*($B$52-F55)/$C$8)))</f>
        <v>92</v>
      </c>
      <c r="F55" s="28">
        <v>1920</v>
      </c>
      <c r="G55" s="5" t="s">
        <v>427</v>
      </c>
      <c r="H55" s="5" t="s">
        <v>873</v>
      </c>
      <c r="I55" s="6" t="s">
        <v>879</v>
      </c>
    </row>
    <row r="56" spans="1:9" ht="12.75">
      <c r="A56" s="40" t="s">
        <v>633</v>
      </c>
      <c r="B56" s="96">
        <v>1819</v>
      </c>
      <c r="C56" s="70">
        <v>1</v>
      </c>
      <c r="D56" s="135">
        <f>$C$12</f>
        <v>97</v>
      </c>
      <c r="E56" s="133">
        <f>$D$12</f>
        <v>99</v>
      </c>
      <c r="F56" s="10"/>
      <c r="G56" s="11"/>
      <c r="H56" s="45" t="s">
        <v>411</v>
      </c>
      <c r="I56" s="12" t="s">
        <v>138</v>
      </c>
    </row>
    <row r="57" spans="1:9" ht="12.75" customHeight="1">
      <c r="A57" s="40" t="s">
        <v>634</v>
      </c>
      <c r="B57" s="96">
        <v>4310</v>
      </c>
      <c r="C57" s="70">
        <v>1</v>
      </c>
      <c r="D57" s="135">
        <f>$C$12</f>
        <v>97</v>
      </c>
      <c r="E57" s="133">
        <f>$D$12</f>
        <v>99</v>
      </c>
      <c r="F57" s="10"/>
      <c r="G57" s="11"/>
      <c r="H57" s="45" t="s">
        <v>411</v>
      </c>
      <c r="I57" s="12" t="s">
        <v>87</v>
      </c>
    </row>
    <row r="58" spans="1:9" ht="12.75">
      <c r="A58" s="40" t="s">
        <v>641</v>
      </c>
      <c r="B58" s="96">
        <v>572</v>
      </c>
      <c r="C58" s="70">
        <v>1</v>
      </c>
      <c r="D58" s="135">
        <f>$C$12</f>
        <v>97</v>
      </c>
      <c r="E58" s="133">
        <f>$D$12</f>
        <v>99</v>
      </c>
      <c r="F58" s="10"/>
      <c r="G58" s="11"/>
      <c r="H58" s="45" t="s">
        <v>411</v>
      </c>
      <c r="I58" s="12" t="s">
        <v>654</v>
      </c>
    </row>
    <row r="59" spans="1:9" ht="12.75">
      <c r="A59" s="40" t="s">
        <v>642</v>
      </c>
      <c r="B59" s="96">
        <v>600</v>
      </c>
      <c r="C59" s="70">
        <f>IF($B$52-F59&gt;=$C$7,2,IF($B$52-F59&gt;=$C$7*2/3,3,IF($B$52-F59&gt;=$C$7*1/3,4,IF($B$52-F59&gt;=0,5,8))))</f>
        <v>3</v>
      </c>
      <c r="D59" s="130">
        <f>MAX($C$10,MIN($C$11,($C$14+($C$11-$C$14)*($B$52-F59)/$C$7)))</f>
        <v>75.44444444444444</v>
      </c>
      <c r="E59" s="131">
        <f>MAX($D$10,MIN($D$11,($D$14+($D$11-$D$14)*($B$52-F59)/$C$7)))</f>
        <v>81.44444444444444</v>
      </c>
      <c r="F59" s="10">
        <v>1900</v>
      </c>
      <c r="G59" s="11" t="s">
        <v>426</v>
      </c>
      <c r="H59" s="11" t="s">
        <v>303</v>
      </c>
      <c r="I59" s="12" t="s">
        <v>110</v>
      </c>
    </row>
    <row r="60" spans="1:9" ht="12.75" customHeight="1">
      <c r="A60" s="40" t="s">
        <v>637</v>
      </c>
      <c r="B60" s="96">
        <v>993</v>
      </c>
      <c r="C60" s="70">
        <f>IF($B$52-F60&gt;=$C$7,2,IF($B$52-F60&gt;=$C$7*2/3,3,IF($B$52-F60&gt;=$C$7*1/3,4,IF($B$52-F60&gt;=0,5,8))))</f>
        <v>2</v>
      </c>
      <c r="D60" s="130">
        <f>MAX($C$10,MIN($C$11,($C$14+($C$11-$C$14)*($B$52-F60)/$C$7)))</f>
        <v>97</v>
      </c>
      <c r="E60" s="131">
        <f>MAX($D$10,MIN($D$11,($D$14+($D$11-$D$14)*($B$52-F60)/$C$7)))</f>
        <v>99</v>
      </c>
      <c r="F60" s="10">
        <v>1890</v>
      </c>
      <c r="G60" s="11" t="s">
        <v>426</v>
      </c>
      <c r="H60" s="11" t="s">
        <v>303</v>
      </c>
      <c r="I60" s="12" t="s">
        <v>88</v>
      </c>
    </row>
    <row r="61" spans="1:9" ht="12.75" customHeight="1">
      <c r="A61" s="40" t="s">
        <v>643</v>
      </c>
      <c r="B61" s="96">
        <v>214</v>
      </c>
      <c r="C61" s="70">
        <f>IF($B$52-F61&gt;=$C$7,2,IF($B$52-F61&gt;=$C$7*2/3,3,IF($B$52-F61&gt;=$C$7*1/3,4,5)))</f>
        <v>3</v>
      </c>
      <c r="D61" s="130">
        <f>MAX($C$15,MIN($C$11,($C$15+($C$11-$C$15)*($B$52-F61)/$C$8)))</f>
        <v>97</v>
      </c>
      <c r="E61" s="131">
        <f>MAX($D$15,MIN($D$11,($D$15+($D$11-$D$15)*($B$52-F61)/$C$8)))</f>
        <v>99</v>
      </c>
      <c r="F61" s="10">
        <v>1900</v>
      </c>
      <c r="G61" s="11" t="s">
        <v>427</v>
      </c>
      <c r="H61" s="11" t="s">
        <v>412</v>
      </c>
      <c r="I61" s="12" t="s">
        <v>89</v>
      </c>
    </row>
    <row r="62" spans="1:9" ht="15" customHeight="1">
      <c r="A62" s="40" t="s">
        <v>644</v>
      </c>
      <c r="B62" s="96">
        <v>348</v>
      </c>
      <c r="C62" s="70">
        <f>IF($B$52-F62&gt;=$C$7,2,IF($B$52-F62&gt;=$C$7*2/3,3,IF($B$52-F62&gt;=$C$7*1/3,4,5)))</f>
        <v>4</v>
      </c>
      <c r="D62" s="130">
        <f>MAX($C$16,MIN($C$11,($C$16+($C$11-$C$16)*($B$52-F62)/$C$8)))</f>
        <v>81</v>
      </c>
      <c r="E62" s="131">
        <f>MAX($D$16,MIN($D$11,($D$16+($D$11-$D$16)*($B$52-F62)/$C$8)))</f>
        <v>92</v>
      </c>
      <c r="F62" s="10">
        <v>1920</v>
      </c>
      <c r="G62" s="11" t="s">
        <v>427</v>
      </c>
      <c r="H62" s="11" t="s">
        <v>873</v>
      </c>
      <c r="I62" s="12" t="s">
        <v>880</v>
      </c>
    </row>
    <row r="63" spans="1:9" ht="22.5">
      <c r="A63" s="40" t="s">
        <v>645</v>
      </c>
      <c r="B63" s="96">
        <v>520</v>
      </c>
      <c r="C63" s="70">
        <f>IF($B$52-F63&gt;=$C$7,6,7)</f>
        <v>7</v>
      </c>
      <c r="D63" s="130">
        <f>MAX($C$13,MIN($C$11,($C$13+($C$11-$C$13)*($B$52-F63)/$C$8)))</f>
        <v>86</v>
      </c>
      <c r="E63" s="131">
        <f>MAX($D$13,MIN($D$11,($D$13+($D$11-$D$13)*($B$52-F63)/$C$8)))</f>
        <v>92</v>
      </c>
      <c r="F63" s="10">
        <v>1920</v>
      </c>
      <c r="G63" s="11" t="s">
        <v>124</v>
      </c>
      <c r="H63" s="15" t="s">
        <v>408</v>
      </c>
      <c r="I63" s="12" t="s">
        <v>659</v>
      </c>
    </row>
    <row r="64" spans="1:9" ht="22.5">
      <c r="A64" s="40" t="s">
        <v>639</v>
      </c>
      <c r="B64" s="96">
        <v>3717</v>
      </c>
      <c r="C64" s="70">
        <f>IF($B$52-F64&gt;=$C$7,2,IF($B$52-F64&gt;=$C$7*2/3,3,IF($B$52-F64&gt;=$C$7*1/3,4,5)))</f>
        <v>3</v>
      </c>
      <c r="D64" s="130">
        <f>MAX($C$15,MIN($C$11,($C$15+($C$11-$C$15)*($B$52-F64)/$C$8)))</f>
        <v>97</v>
      </c>
      <c r="E64" s="131">
        <f>MAX($D$15,MIN($D$11,($D$15+($D$11-$D$15)*($B$52-F64)/$C$8)))</f>
        <v>99</v>
      </c>
      <c r="F64" s="10">
        <v>1900</v>
      </c>
      <c r="G64" s="11" t="s">
        <v>427</v>
      </c>
      <c r="H64" s="11" t="s">
        <v>412</v>
      </c>
      <c r="I64" s="12" t="s">
        <v>85</v>
      </c>
    </row>
    <row r="65" spans="1:9" ht="12.75">
      <c r="A65" s="40" t="s">
        <v>646</v>
      </c>
      <c r="B65" s="96">
        <v>1102</v>
      </c>
      <c r="C65" s="70">
        <v>1</v>
      </c>
      <c r="D65" s="135">
        <f>$C$12</f>
        <v>97</v>
      </c>
      <c r="E65" s="133">
        <f>$D$12</f>
        <v>99</v>
      </c>
      <c r="F65" s="10"/>
      <c r="G65" s="11"/>
      <c r="H65" s="45" t="s">
        <v>411</v>
      </c>
      <c r="I65" s="12" t="s">
        <v>660</v>
      </c>
    </row>
    <row r="66" spans="1:9" ht="12.75">
      <c r="A66" s="40" t="s">
        <v>647</v>
      </c>
      <c r="B66" s="96">
        <v>560</v>
      </c>
      <c r="C66" s="70">
        <v>1</v>
      </c>
      <c r="D66" s="135">
        <f>$C$12</f>
        <v>97</v>
      </c>
      <c r="E66" s="133">
        <f>$D$12</f>
        <v>99</v>
      </c>
      <c r="F66" s="10"/>
      <c r="G66" s="11"/>
      <c r="H66" s="45" t="s">
        <v>411</v>
      </c>
      <c r="I66" s="12" t="s">
        <v>90</v>
      </c>
    </row>
    <row r="67" spans="1:9" ht="12.75">
      <c r="A67" s="40" t="s">
        <v>648</v>
      </c>
      <c r="B67" s="96">
        <v>273</v>
      </c>
      <c r="C67" s="70">
        <v>1</v>
      </c>
      <c r="D67" s="135">
        <f>$C$12</f>
        <v>97</v>
      </c>
      <c r="E67" s="133">
        <f>$D$12</f>
        <v>99</v>
      </c>
      <c r="F67" s="10"/>
      <c r="G67" s="11"/>
      <c r="H67" s="45" t="s">
        <v>411</v>
      </c>
      <c r="I67" s="12" t="s">
        <v>913</v>
      </c>
    </row>
    <row r="68" spans="1:9" ht="12.75">
      <c r="A68" s="40" t="s">
        <v>649</v>
      </c>
      <c r="B68" s="96">
        <v>1200</v>
      </c>
      <c r="C68" s="70">
        <v>1</v>
      </c>
      <c r="D68" s="135">
        <f>$C$12</f>
        <v>97</v>
      </c>
      <c r="E68" s="133">
        <f>$D$12</f>
        <v>99</v>
      </c>
      <c r="F68" s="10"/>
      <c r="G68" s="11"/>
      <c r="H68" s="45" t="s">
        <v>411</v>
      </c>
      <c r="I68" s="12" t="s">
        <v>86</v>
      </c>
    </row>
    <row r="69" spans="1:9" ht="22.5">
      <c r="A69" s="40" t="s">
        <v>650</v>
      </c>
      <c r="B69" s="96">
        <v>600</v>
      </c>
      <c r="C69" s="70">
        <v>9</v>
      </c>
      <c r="D69" s="176">
        <v>60</v>
      </c>
      <c r="E69" s="14">
        <v>80</v>
      </c>
      <c r="F69" s="10"/>
      <c r="G69" s="11"/>
      <c r="H69" s="11"/>
      <c r="I69" s="12" t="s">
        <v>661</v>
      </c>
    </row>
    <row r="70" spans="1:9" ht="12.75">
      <c r="A70" s="40" t="s">
        <v>638</v>
      </c>
      <c r="B70" s="96">
        <v>2764</v>
      </c>
      <c r="C70" s="70">
        <f>IF($B$52-F70&gt;=$C$7,2,IF($B$52-F70&gt;=$C$7*2/3,3,IF($B$52-F70&gt;=$C$7*1/3,4,IF($B$52-F70&gt;=0,5,8))))</f>
        <v>2</v>
      </c>
      <c r="D70" s="130">
        <f>MAX($C$10,MIN($C$11,($C$14+($C$11-$C$14)*($B$52-F70)/$C$7)))</f>
        <v>97</v>
      </c>
      <c r="E70" s="131">
        <f>MAX($D$10,MIN($D$11,($D$14+($D$11-$D$14)*($B$52-F70)/$C$7)))</f>
        <v>99</v>
      </c>
      <c r="F70" s="10">
        <v>1880</v>
      </c>
      <c r="G70" s="11" t="s">
        <v>426</v>
      </c>
      <c r="H70" s="11" t="s">
        <v>303</v>
      </c>
      <c r="I70" s="12" t="s">
        <v>41</v>
      </c>
    </row>
    <row r="71" spans="1:9" ht="22.5">
      <c r="A71" s="40" t="s">
        <v>392</v>
      </c>
      <c r="B71" s="96">
        <v>4514</v>
      </c>
      <c r="C71" s="70">
        <f>IF($B$52-F71&gt;=$C$7,6,7)</f>
        <v>7</v>
      </c>
      <c r="D71" s="130">
        <f>MAX($C$13,MIN($C$11,($C$13+($C$11-$C$13)*($B$52-F71)/$C$8)))</f>
        <v>86</v>
      </c>
      <c r="E71" s="131">
        <f>MAX($D$13,MIN($D$11,($D$13+($D$11-$D$13)*($B$52-F71)/$C$8)))</f>
        <v>92</v>
      </c>
      <c r="F71" s="10">
        <v>1920</v>
      </c>
      <c r="G71" s="11" t="s">
        <v>124</v>
      </c>
      <c r="H71" s="15" t="s">
        <v>408</v>
      </c>
      <c r="I71" s="12" t="s">
        <v>63</v>
      </c>
    </row>
    <row r="72" spans="1:9" ht="12.75">
      <c r="A72" s="40" t="s">
        <v>651</v>
      </c>
      <c r="B72" s="96">
        <v>213</v>
      </c>
      <c r="C72" s="70">
        <v>9</v>
      </c>
      <c r="D72" s="176">
        <v>40</v>
      </c>
      <c r="E72" s="14">
        <v>60</v>
      </c>
      <c r="F72" s="10"/>
      <c r="G72" s="11"/>
      <c r="H72" s="11"/>
      <c r="I72" s="12" t="s">
        <v>663</v>
      </c>
    </row>
    <row r="73" spans="1:9" ht="27" customHeight="1">
      <c r="A73" s="40" t="s">
        <v>652</v>
      </c>
      <c r="B73" s="96">
        <v>489</v>
      </c>
      <c r="C73" s="70">
        <v>9</v>
      </c>
      <c r="D73" s="176">
        <v>80</v>
      </c>
      <c r="E73" s="14">
        <v>92</v>
      </c>
      <c r="F73" s="10"/>
      <c r="G73" s="11"/>
      <c r="H73" s="11"/>
      <c r="I73" s="12" t="s">
        <v>139</v>
      </c>
    </row>
    <row r="74" spans="1:9" ht="12.75">
      <c r="A74" s="40" t="s">
        <v>368</v>
      </c>
      <c r="B74" s="96">
        <f>SUM(B55:B73)</f>
        <v>43862</v>
      </c>
      <c r="C74" s="70"/>
      <c r="D74" s="97">
        <f>SUMPRODUCT(B55:B73,D55:D73)/100</f>
        <v>38332.206666666665</v>
      </c>
      <c r="E74" s="107">
        <f>SUMPRODUCT(B55:B73,E55:E73)/100</f>
        <v>41376.22666666666</v>
      </c>
      <c r="F74" s="10"/>
      <c r="G74" s="11"/>
      <c r="H74" s="11"/>
      <c r="I74" s="12"/>
    </row>
    <row r="75" spans="1:9" ht="22.5">
      <c r="A75" s="95" t="s">
        <v>369</v>
      </c>
      <c r="B75" s="9"/>
      <c r="C75" s="66"/>
      <c r="D75" s="18">
        <f>100*D74/B74</f>
        <v>87.39274694876354</v>
      </c>
      <c r="E75" s="19">
        <f>100*E74/B74</f>
        <v>94.3327405651057</v>
      </c>
      <c r="F75" s="7"/>
      <c r="G75" s="8"/>
      <c r="H75" s="8"/>
      <c r="I75" s="9"/>
    </row>
    <row r="76" spans="1:9" ht="12.75">
      <c r="A76" s="181" t="s">
        <v>907</v>
      </c>
      <c r="B76" s="5"/>
      <c r="C76" s="182" t="s">
        <v>908</v>
      </c>
      <c r="D76" s="183"/>
      <c r="E76" s="213"/>
      <c r="F76" s="11"/>
      <c r="G76" s="11"/>
      <c r="H76" s="11"/>
      <c r="I76" s="11"/>
    </row>
    <row r="77" spans="1:9" ht="12.75">
      <c r="A77" s="31" t="s">
        <v>898</v>
      </c>
      <c r="B77" s="30">
        <f>SUMIF($C$55:$C$73,"1",$B$55:$B$73)</f>
        <v>9836</v>
      </c>
      <c r="C77" s="122">
        <v>1</v>
      </c>
      <c r="D77" s="216">
        <f>B77+B78+B82</f>
        <v>13593</v>
      </c>
      <c r="E77" s="47"/>
      <c r="F77" s="11"/>
      <c r="G77" s="11"/>
      <c r="H77" s="11"/>
      <c r="I77" s="11"/>
    </row>
    <row r="78" spans="1:9" ht="12.75">
      <c r="A78" s="31" t="s">
        <v>903</v>
      </c>
      <c r="B78" s="30">
        <f>SUMIF($C$55:$C$73,"2",$B$55:$B$73)</f>
        <v>3757</v>
      </c>
      <c r="C78" s="122">
        <v>2</v>
      </c>
      <c r="D78" s="216">
        <f>B83</f>
        <v>5034</v>
      </c>
      <c r="E78" s="47"/>
      <c r="F78" s="11"/>
      <c r="G78" s="11"/>
      <c r="H78" s="11"/>
      <c r="I78" s="11"/>
    </row>
    <row r="79" spans="1:9" ht="12.75" customHeight="1">
      <c r="A79" s="31" t="s">
        <v>902</v>
      </c>
      <c r="B79" s="30">
        <f>SUMIF($C$55:$C$73,"3",$B$55:$B$73)</f>
        <v>4531</v>
      </c>
      <c r="C79" s="122">
        <v>3</v>
      </c>
      <c r="D79" s="216">
        <f>B79</f>
        <v>4531</v>
      </c>
      <c r="E79" s="47"/>
      <c r="F79" s="11"/>
      <c r="G79" s="11"/>
      <c r="H79" s="11"/>
      <c r="I79" s="11"/>
    </row>
    <row r="80" spans="1:9" ht="13.5" customHeight="1">
      <c r="A80" s="31" t="s">
        <v>904</v>
      </c>
      <c r="B80" s="30">
        <f>SUMIF($C$55:$C$73,"4",$B$55:$B$73)</f>
        <v>19402</v>
      </c>
      <c r="C80" s="122">
        <v>4</v>
      </c>
      <c r="D80" s="216">
        <f>B80</f>
        <v>19402</v>
      </c>
      <c r="E80" s="47"/>
      <c r="F80" s="11"/>
      <c r="G80" s="11"/>
      <c r="H80" s="11"/>
      <c r="I80" s="11"/>
    </row>
    <row r="81" spans="1:9" ht="12.75">
      <c r="A81" s="31" t="s">
        <v>905</v>
      </c>
      <c r="B81" s="30">
        <f>SUMIF($C$55:$C$73,"5",$B$55:$B$73)</f>
        <v>0</v>
      </c>
      <c r="C81" s="122">
        <v>5</v>
      </c>
      <c r="D81" s="216">
        <f>B81</f>
        <v>0</v>
      </c>
      <c r="E81" s="47"/>
      <c r="F81" s="11"/>
      <c r="G81" s="11"/>
      <c r="H81" s="11"/>
      <c r="I81" s="11"/>
    </row>
    <row r="82" spans="1:9" ht="12.75">
      <c r="A82" s="31" t="s">
        <v>900</v>
      </c>
      <c r="B82" s="30">
        <f>SUMIF($C$55:$C$73,"6",$B$55:$B$73)</f>
        <v>0</v>
      </c>
      <c r="C82" s="122">
        <v>6</v>
      </c>
      <c r="D82" s="216">
        <f>B84</f>
        <v>0</v>
      </c>
      <c r="E82" s="47"/>
      <c r="F82" s="11"/>
      <c r="G82" s="11"/>
      <c r="H82" s="11"/>
      <c r="I82" s="11"/>
    </row>
    <row r="83" spans="1:9" ht="12.75">
      <c r="A83" s="31" t="s">
        <v>899</v>
      </c>
      <c r="B83" s="30">
        <f>SUMIF($C$55:$C$73,"7",$B$55:$B$73)</f>
        <v>5034</v>
      </c>
      <c r="C83" s="122">
        <v>7</v>
      </c>
      <c r="D83" s="216">
        <f>B85</f>
        <v>1302</v>
      </c>
      <c r="E83" s="47"/>
      <c r="F83" s="11"/>
      <c r="G83" s="11"/>
      <c r="H83" s="11"/>
      <c r="I83" s="11"/>
    </row>
    <row r="84" spans="1:9" ht="12.75">
      <c r="A84" s="31" t="s">
        <v>901</v>
      </c>
      <c r="B84" s="30">
        <f>SUMIF($C$55:$C$73,"8",$B$55:$B$73)</f>
        <v>0</v>
      </c>
      <c r="C84" s="36"/>
      <c r="D84" s="221"/>
      <c r="E84" s="47"/>
      <c r="F84" s="11"/>
      <c r="G84" s="11"/>
      <c r="H84" s="11"/>
      <c r="I84" s="11"/>
    </row>
    <row r="85" spans="1:9" ht="12.75">
      <c r="A85" s="31" t="s">
        <v>906</v>
      </c>
      <c r="B85" s="30">
        <f>SUMIF($C$55:$C$73,"9",$B$55:$B$73)</f>
        <v>1302</v>
      </c>
      <c r="C85" s="36"/>
      <c r="D85" s="217"/>
      <c r="E85" s="16"/>
      <c r="F85" s="11"/>
      <c r="G85" s="11"/>
      <c r="H85" s="11"/>
      <c r="I85" s="11"/>
    </row>
    <row r="86" spans="1:9" ht="12.75">
      <c r="A86" s="173" t="s">
        <v>368</v>
      </c>
      <c r="B86" s="215">
        <f>SUM(B77:B85)</f>
        <v>43862</v>
      </c>
      <c r="C86" s="39"/>
      <c r="D86" s="215">
        <f>SUM(D77:D85)</f>
        <v>43862</v>
      </c>
      <c r="E86" s="21"/>
      <c r="F86" s="11"/>
      <c r="G86" s="11"/>
      <c r="H86" s="11"/>
      <c r="I86" s="11"/>
    </row>
    <row r="87" spans="1:9" ht="12.75">
      <c r="A87" s="15"/>
      <c r="B87" s="15"/>
      <c r="C87" s="15"/>
      <c r="D87" s="135"/>
      <c r="E87" s="135"/>
      <c r="F87" s="11"/>
      <c r="G87" s="11"/>
      <c r="H87" s="11"/>
      <c r="I87" s="11"/>
    </row>
    <row r="88" spans="1:9" ht="43.5" customHeight="1">
      <c r="A88" s="301" t="s">
        <v>16</v>
      </c>
      <c r="B88" s="309"/>
      <c r="C88" s="309"/>
      <c r="D88" s="309"/>
      <c r="E88" s="309"/>
      <c r="F88" s="309"/>
      <c r="G88" s="309"/>
      <c r="H88" s="309"/>
      <c r="I88" s="310"/>
    </row>
    <row r="92" spans="1:11" ht="15.75">
      <c r="A92" s="90" t="s">
        <v>665</v>
      </c>
      <c r="B92" s="2"/>
      <c r="C92" s="2"/>
      <c r="D92" s="2"/>
      <c r="E92" s="33"/>
      <c r="F92" s="2"/>
      <c r="G92" s="2"/>
      <c r="H92" s="2"/>
      <c r="I92" s="2"/>
      <c r="J92" s="2"/>
      <c r="K92" s="2"/>
    </row>
    <row r="93" spans="1:10" ht="15.75">
      <c r="A93" s="4" t="s">
        <v>629</v>
      </c>
      <c r="B93" s="63">
        <v>1925</v>
      </c>
      <c r="C93" s="75"/>
      <c r="D93" s="58"/>
      <c r="E93" s="27"/>
      <c r="F93" s="50"/>
      <c r="G93" s="27"/>
      <c r="H93" s="27"/>
      <c r="I93" s="27"/>
      <c r="J93" s="103"/>
    </row>
    <row r="94" spans="1:10" ht="22.5" customHeight="1">
      <c r="A94" s="28" t="s">
        <v>430</v>
      </c>
      <c r="B94" s="5" t="s">
        <v>304</v>
      </c>
      <c r="C94" s="76" t="s">
        <v>897</v>
      </c>
      <c r="D94" s="304" t="s">
        <v>400</v>
      </c>
      <c r="E94" s="305"/>
      <c r="F94" s="57" t="s">
        <v>6</v>
      </c>
      <c r="G94" s="5"/>
      <c r="H94" s="5"/>
      <c r="I94" s="5"/>
      <c r="J94" s="103"/>
    </row>
    <row r="95" spans="1:10" ht="22.5" customHeight="1">
      <c r="A95" s="7"/>
      <c r="B95" s="8"/>
      <c r="C95" s="71"/>
      <c r="D95" s="7" t="s">
        <v>305</v>
      </c>
      <c r="E95" s="9" t="s">
        <v>306</v>
      </c>
      <c r="F95" s="7" t="s">
        <v>431</v>
      </c>
      <c r="G95" s="8" t="s">
        <v>423</v>
      </c>
      <c r="H95" s="8" t="s">
        <v>424</v>
      </c>
      <c r="I95" s="49" t="s">
        <v>428</v>
      </c>
      <c r="J95" s="103"/>
    </row>
    <row r="96" spans="1:10" ht="22.5">
      <c r="A96" s="40" t="s">
        <v>630</v>
      </c>
      <c r="B96" s="6">
        <v>65.68805170239597</v>
      </c>
      <c r="C96" s="76">
        <f>IF($B$93-F96&gt;=$C$7,2,IF($B$93-F96&gt;=$C$7*2/3,3,IF($B$93-F96&gt;=$C$7*1/3,4,5)))</f>
        <v>5</v>
      </c>
      <c r="D96" s="130">
        <f>MAX($C$16,MIN($C$11,($C$16+($C$11-$C$16)*($B$93-F96)/$C$8)))</f>
        <v>70.33333333333333</v>
      </c>
      <c r="E96" s="131">
        <f>MAX($D$16,MIN($D$11,($D$16+($D$11-$D$16)*($B$93-F96)/$C$8)))</f>
        <v>87.33333333333333</v>
      </c>
      <c r="F96" s="28">
        <v>1920</v>
      </c>
      <c r="G96" s="5" t="s">
        <v>427</v>
      </c>
      <c r="H96" s="5" t="s">
        <v>873</v>
      </c>
      <c r="I96" s="6" t="s">
        <v>879</v>
      </c>
      <c r="J96" s="40"/>
    </row>
    <row r="97" spans="1:10" ht="12.75">
      <c r="A97" s="40" t="s">
        <v>633</v>
      </c>
      <c r="B97" s="12">
        <v>2.01765447667087</v>
      </c>
      <c r="C97" s="70">
        <v>1</v>
      </c>
      <c r="D97" s="135">
        <f>$C$12</f>
        <v>97</v>
      </c>
      <c r="E97" s="133">
        <f>$D$12</f>
        <v>99</v>
      </c>
      <c r="F97" s="10"/>
      <c r="G97" s="11"/>
      <c r="H97" s="45" t="s">
        <v>411</v>
      </c>
      <c r="I97" s="12" t="s">
        <v>138</v>
      </c>
      <c r="J97" s="40"/>
    </row>
    <row r="98" spans="1:10" ht="12.75" customHeight="1">
      <c r="A98" s="40" t="s">
        <v>634</v>
      </c>
      <c r="B98" s="12">
        <v>4.709174022698613</v>
      </c>
      <c r="C98" s="70">
        <v>1</v>
      </c>
      <c r="D98" s="135">
        <f>$C$12</f>
        <v>97</v>
      </c>
      <c r="E98" s="133">
        <f>$D$12</f>
        <v>99</v>
      </c>
      <c r="F98" s="10"/>
      <c r="G98" s="11"/>
      <c r="H98" s="45" t="s">
        <v>411</v>
      </c>
      <c r="I98" s="12" t="s">
        <v>87</v>
      </c>
      <c r="J98" s="40"/>
    </row>
    <row r="99" spans="1:10" ht="12.75">
      <c r="A99" s="40" t="s">
        <v>635</v>
      </c>
      <c r="B99" s="12">
        <v>27.58511979823455</v>
      </c>
      <c r="C99" s="70"/>
      <c r="D99" s="176"/>
      <c r="E99" s="14"/>
      <c r="F99" s="10"/>
      <c r="G99" s="11"/>
      <c r="H99" s="11"/>
      <c r="I99" s="12"/>
      <c r="J99" s="40"/>
    </row>
    <row r="100" spans="1:10" ht="12.75">
      <c r="A100" s="8" t="s">
        <v>636</v>
      </c>
      <c r="B100" s="12"/>
      <c r="C100" s="70"/>
      <c r="D100" s="176"/>
      <c r="E100" s="14"/>
      <c r="F100" s="10"/>
      <c r="G100" s="11"/>
      <c r="H100" s="11"/>
      <c r="I100" s="12"/>
      <c r="J100" s="40"/>
    </row>
    <row r="101" spans="1:10" ht="12.75">
      <c r="A101" s="40" t="s">
        <v>641</v>
      </c>
      <c r="B101" s="12">
        <v>0.8447287608860305</v>
      </c>
      <c r="C101" s="70">
        <v>1</v>
      </c>
      <c r="D101" s="135">
        <f>$C$12</f>
        <v>97</v>
      </c>
      <c r="E101" s="133">
        <f>$D$12</f>
        <v>99</v>
      </c>
      <c r="F101" s="10"/>
      <c r="G101" s="11"/>
      <c r="H101" s="45" t="s">
        <v>411</v>
      </c>
      <c r="I101" s="12" t="s">
        <v>654</v>
      </c>
      <c r="J101" s="40"/>
    </row>
    <row r="102" spans="1:10" ht="12.75">
      <c r="A102" s="40" t="s">
        <v>642</v>
      </c>
      <c r="B102" s="12">
        <v>0.8860791198105216</v>
      </c>
      <c r="C102" s="70">
        <f>IF($B$93-F102&gt;=$C$7,2,IF($B$93-F102&gt;=$C$7*2/3,3,IF($B$93-F102&gt;=$C$7*1/3,4,IF($B$93-F102&gt;=0,5,8))))</f>
        <v>4</v>
      </c>
      <c r="D102" s="130">
        <f>MAX($C$10,MIN($C$11,($C$14+($C$11-$C$14)*($B$93-F102)/$C$7)))</f>
        <v>53.888888888888886</v>
      </c>
      <c r="E102" s="131">
        <f>MAX($D$10,MIN($D$11,($D$14+($D$11-$D$14)*($B$93-F102)/$C$7)))</f>
        <v>63.888888888888886</v>
      </c>
      <c r="F102" s="10">
        <v>1900</v>
      </c>
      <c r="G102" s="11" t="s">
        <v>426</v>
      </c>
      <c r="H102" s="11" t="s">
        <v>303</v>
      </c>
      <c r="I102" s="12" t="s">
        <v>110</v>
      </c>
      <c r="J102" s="40"/>
    </row>
    <row r="103" spans="1:10" ht="15" customHeight="1">
      <c r="A103" s="40" t="s">
        <v>637</v>
      </c>
      <c r="B103" s="12">
        <v>1.466460943286413</v>
      </c>
      <c r="C103" s="70">
        <f>IF($B$93-F103&gt;=$C$7,2,IF($B$93-F103&gt;=$C$7*2/3,3,IF($B$93-F103&gt;=$C$7*1/3,4,IF($B$93-F103&gt;=0,5,8))))</f>
        <v>3</v>
      </c>
      <c r="D103" s="130">
        <f>MAX($C$10,MIN($C$11,($C$14+($C$11-$C$14)*($B$93-F103)/$C$7)))</f>
        <v>75.44444444444444</v>
      </c>
      <c r="E103" s="131">
        <f>MAX($D$10,MIN($D$11,($D$14+($D$11-$D$14)*($B$93-F103)/$C$7)))</f>
        <v>81.44444444444444</v>
      </c>
      <c r="F103" s="10">
        <v>1890</v>
      </c>
      <c r="G103" s="11" t="s">
        <v>426</v>
      </c>
      <c r="H103" s="11" t="s">
        <v>303</v>
      </c>
      <c r="I103" s="12" t="s">
        <v>88</v>
      </c>
      <c r="J103" s="40"/>
    </row>
    <row r="104" spans="1:10" ht="12.75" customHeight="1">
      <c r="A104" s="40" t="s">
        <v>643</v>
      </c>
      <c r="B104" s="12">
        <v>0.31603488606575264</v>
      </c>
      <c r="C104" s="70">
        <f>IF($B$93-F104&gt;=$C$7,2,IF($B$93-F104&gt;=$C$7*2/3,3,IF($B$93-F104&gt;=$C$7*1/3,4,5)))</f>
        <v>4</v>
      </c>
      <c r="D104" s="130">
        <f>MAX($C$15,MIN($C$11,($C$15+($C$11-$C$15)*($B$93-F104)/$C$8)))</f>
        <v>87.5</v>
      </c>
      <c r="E104" s="131">
        <f>MAX($D$15,MIN($D$11,($D$15+($D$11-$D$15)*($B$93-F104)/$C$8)))</f>
        <v>92.5</v>
      </c>
      <c r="F104" s="10">
        <v>1900</v>
      </c>
      <c r="G104" s="11" t="s">
        <v>427</v>
      </c>
      <c r="H104" s="11" t="s">
        <v>412</v>
      </c>
      <c r="I104" s="12" t="s">
        <v>89</v>
      </c>
      <c r="J104" s="40"/>
    </row>
    <row r="105" spans="1:10" ht="12.75" customHeight="1">
      <c r="A105" s="40" t="s">
        <v>644</v>
      </c>
      <c r="B105" s="12">
        <v>0.5139258894901025</v>
      </c>
      <c r="C105" s="70">
        <f>IF($B$93-F105&gt;=$C$7,2,IF($B$93-F105&gt;=$C$7*2/3,3,IF($B$93-F105&gt;=$C$7*1/3,4,5)))</f>
        <v>5</v>
      </c>
      <c r="D105" s="130">
        <f>MAX($C$16,MIN($C$11,($C$16+($C$11-$C$16)*($B$93-F105)/$C$8)))</f>
        <v>70.33333333333333</v>
      </c>
      <c r="E105" s="131">
        <f>MAX($D$16,MIN($D$11,($D$16+($D$11-$D$16)*($B$93-F105)/$C$8)))</f>
        <v>87.33333333333333</v>
      </c>
      <c r="F105" s="10">
        <v>1920</v>
      </c>
      <c r="G105" s="11" t="s">
        <v>427</v>
      </c>
      <c r="H105" s="11" t="s">
        <v>873</v>
      </c>
      <c r="I105" s="12" t="s">
        <v>880</v>
      </c>
      <c r="J105" s="40"/>
    </row>
    <row r="106" spans="1:10" ht="22.5">
      <c r="A106" s="40" t="s">
        <v>645</v>
      </c>
      <c r="B106" s="12">
        <v>0.7679352371691186</v>
      </c>
      <c r="C106" s="70">
        <f>IF($B$93-F106&gt;=$C$7,6,7)</f>
        <v>7</v>
      </c>
      <c r="D106" s="130">
        <f>MAX($C$13,MIN($C$11,($C$13+($C$11-$C$13)*($B$93-F106)/$C$8)))</f>
        <v>78.66666666666667</v>
      </c>
      <c r="E106" s="131">
        <f>MAX($D$13,MIN($D$11,($D$13+($D$11-$D$13)*($B$93-F106)/$C$8)))</f>
        <v>87.33333333333333</v>
      </c>
      <c r="F106" s="10">
        <v>1920</v>
      </c>
      <c r="G106" s="11" t="s">
        <v>124</v>
      </c>
      <c r="H106" s="15" t="s">
        <v>408</v>
      </c>
      <c r="I106" s="12" t="s">
        <v>659</v>
      </c>
      <c r="J106" s="40"/>
    </row>
    <row r="107" spans="1:10" ht="22.5">
      <c r="A107" s="40" t="s">
        <v>639</v>
      </c>
      <c r="B107" s="12">
        <v>5.48926014722618</v>
      </c>
      <c r="C107" s="70">
        <f>IF($B$93-F107&gt;=$C$7,2,IF($B$93-F107&gt;=$C$7*2/3,3,IF($B$93-F107&gt;=$C$7*1/3,4,5)))</f>
        <v>4</v>
      </c>
      <c r="D107" s="130">
        <f>MAX($C$15,MIN($C$11,($C$15+($C$11-$C$15)*($B$93-F107)/$C$8)))</f>
        <v>87.5</v>
      </c>
      <c r="E107" s="131">
        <f>MAX($D$15,MIN($D$11,($D$15+($D$11-$D$15)*($B$93-F107)/$C$8)))</f>
        <v>92.5</v>
      </c>
      <c r="F107" s="10">
        <v>1900</v>
      </c>
      <c r="G107" s="11" t="s">
        <v>427</v>
      </c>
      <c r="H107" s="11" t="s">
        <v>412</v>
      </c>
      <c r="I107" s="12" t="s">
        <v>85</v>
      </c>
      <c r="J107" s="40"/>
    </row>
    <row r="108" spans="1:10" ht="12.75">
      <c r="A108" s="40" t="s">
        <v>646</v>
      </c>
      <c r="B108" s="12">
        <v>1.6274319833853246</v>
      </c>
      <c r="C108" s="70">
        <v>1</v>
      </c>
      <c r="D108" s="135">
        <f>$C$12</f>
        <v>97</v>
      </c>
      <c r="E108" s="133">
        <f>$D$12</f>
        <v>99</v>
      </c>
      <c r="F108" s="10"/>
      <c r="G108" s="11"/>
      <c r="H108" s="45" t="s">
        <v>411</v>
      </c>
      <c r="I108" s="12" t="s">
        <v>660</v>
      </c>
      <c r="J108" s="40"/>
    </row>
    <row r="109" spans="1:10" ht="12.75">
      <c r="A109" s="40" t="s">
        <v>647</v>
      </c>
      <c r="B109" s="12">
        <v>0.8270071784898202</v>
      </c>
      <c r="C109" s="70">
        <v>1</v>
      </c>
      <c r="D109" s="135">
        <f>$C$12</f>
        <v>97</v>
      </c>
      <c r="E109" s="133">
        <f>$D$12</f>
        <v>99</v>
      </c>
      <c r="F109" s="10"/>
      <c r="G109" s="11"/>
      <c r="H109" s="45" t="s">
        <v>411</v>
      </c>
      <c r="I109" s="12" t="s">
        <v>90</v>
      </c>
      <c r="J109" s="40"/>
    </row>
    <row r="110" spans="1:10" ht="12.75">
      <c r="A110" s="40" t="s">
        <v>648</v>
      </c>
      <c r="B110" s="12">
        <v>0.4031659995137873</v>
      </c>
      <c r="C110" s="70">
        <v>1</v>
      </c>
      <c r="D110" s="135">
        <f>$C$12</f>
        <v>97</v>
      </c>
      <c r="E110" s="133">
        <f>$D$12</f>
        <v>99</v>
      </c>
      <c r="F110" s="10"/>
      <c r="G110" s="11"/>
      <c r="H110" s="45" t="s">
        <v>411</v>
      </c>
      <c r="I110" s="12" t="s">
        <v>913</v>
      </c>
      <c r="J110" s="40"/>
    </row>
    <row r="111" spans="1:10" ht="12.75">
      <c r="A111" s="40" t="s">
        <v>649</v>
      </c>
      <c r="B111" s="12">
        <v>1.7721582396210431</v>
      </c>
      <c r="C111" s="70">
        <v>1</v>
      </c>
      <c r="D111" s="135">
        <f>$C$12</f>
        <v>97</v>
      </c>
      <c r="E111" s="133">
        <f>$D$12</f>
        <v>99</v>
      </c>
      <c r="F111" s="10"/>
      <c r="G111" s="11"/>
      <c r="H111" s="45" t="s">
        <v>411</v>
      </c>
      <c r="I111" s="12" t="s">
        <v>86</v>
      </c>
      <c r="J111" s="40"/>
    </row>
    <row r="112" spans="1:10" ht="22.5">
      <c r="A112" s="40" t="s">
        <v>650</v>
      </c>
      <c r="B112" s="12">
        <v>0.8860791198105216</v>
      </c>
      <c r="C112" s="70">
        <v>9</v>
      </c>
      <c r="D112" s="176">
        <v>60</v>
      </c>
      <c r="E112" s="14">
        <v>80</v>
      </c>
      <c r="F112" s="10"/>
      <c r="G112" s="11"/>
      <c r="H112" s="11"/>
      <c r="I112" s="12" t="s">
        <v>661</v>
      </c>
      <c r="J112" s="40"/>
    </row>
    <row r="113" spans="1:10" ht="12.75">
      <c r="A113" s="40" t="s">
        <v>638</v>
      </c>
      <c r="B113" s="12">
        <v>4.081871145260469</v>
      </c>
      <c r="C113" s="70">
        <f>IF($B$93-F113&gt;=$C$7,2,IF($B$93-F113&gt;=$C$7*2/3,3,IF($B$93-F113&gt;=$C$7*1/3,4,IF($B$93-F113&gt;=0,5,8))))</f>
        <v>2</v>
      </c>
      <c r="D113" s="130">
        <f>MAX($C$10,MIN($C$11,($C$14+($C$11-$C$14)*($B$93-F113)/$C$7)))</f>
        <v>97</v>
      </c>
      <c r="E113" s="131">
        <f>MAX($D$10,MIN($D$11,($D$14+($D$11-$D$14)*($B$93-F113)/$C$7)))</f>
        <v>99</v>
      </c>
      <c r="F113" s="10">
        <v>1880</v>
      </c>
      <c r="G113" s="11" t="s">
        <v>426</v>
      </c>
      <c r="H113" s="11" t="s">
        <v>303</v>
      </c>
      <c r="I113" s="12" t="s">
        <v>41</v>
      </c>
      <c r="J113" s="40"/>
    </row>
    <row r="114" spans="1:10" ht="22.5">
      <c r="A114" s="40" t="s">
        <v>392</v>
      </c>
      <c r="B114" s="12">
        <v>6.666268578041157</v>
      </c>
      <c r="C114" s="70">
        <f>IF($B$93-F114&gt;=$C$7,6,7)</f>
        <v>7</v>
      </c>
      <c r="D114" s="130">
        <f>MAX($C$13,MIN($C$11,($C$13+($C$11-$C$13)*($B$93-F114)/$C$8)))</f>
        <v>78.66666666666667</v>
      </c>
      <c r="E114" s="131">
        <f>MAX($D$13,MIN($D$11,($D$13+($D$11-$D$13)*($B$93-F114)/$C$8)))</f>
        <v>87.33333333333333</v>
      </c>
      <c r="F114" s="10">
        <v>1920</v>
      </c>
      <c r="G114" s="11" t="s">
        <v>124</v>
      </c>
      <c r="H114" s="15" t="s">
        <v>408</v>
      </c>
      <c r="I114" s="12" t="s">
        <v>63</v>
      </c>
      <c r="J114" s="40"/>
    </row>
    <row r="115" spans="1:10" ht="12.75">
      <c r="A115" s="40" t="s">
        <v>651</v>
      </c>
      <c r="B115" s="12">
        <v>0.3145580875327351</v>
      </c>
      <c r="C115" s="70">
        <v>9</v>
      </c>
      <c r="D115" s="176">
        <v>40</v>
      </c>
      <c r="E115" s="14">
        <v>60</v>
      </c>
      <c r="F115" s="10"/>
      <c r="G115" s="11"/>
      <c r="H115" s="11"/>
      <c r="I115" s="12" t="s">
        <v>663</v>
      </c>
      <c r="J115" s="40"/>
    </row>
    <row r="116" spans="1:10" ht="24" customHeight="1">
      <c r="A116" s="40" t="s">
        <v>652</v>
      </c>
      <c r="B116" s="12">
        <v>0.722154482645575</v>
      </c>
      <c r="C116" s="70">
        <v>9</v>
      </c>
      <c r="D116" s="176">
        <v>80</v>
      </c>
      <c r="E116" s="14">
        <v>92</v>
      </c>
      <c r="F116" s="10"/>
      <c r="G116" s="11"/>
      <c r="H116" s="11"/>
      <c r="I116" s="12" t="s">
        <v>139</v>
      </c>
      <c r="J116" s="40"/>
    </row>
    <row r="117" spans="1:10" ht="12.75">
      <c r="A117" s="40" t="s">
        <v>653</v>
      </c>
      <c r="B117" s="12">
        <f>SUM(B101:B116)</f>
        <v>27.58511979823455</v>
      </c>
      <c r="C117" s="70"/>
      <c r="D117" s="176"/>
      <c r="E117" s="14"/>
      <c r="F117" s="10"/>
      <c r="G117" s="11"/>
      <c r="H117" s="11"/>
      <c r="I117" s="12"/>
      <c r="J117" s="40"/>
    </row>
    <row r="118" spans="1:10" ht="22.5" customHeight="1">
      <c r="A118" s="40" t="s">
        <v>368</v>
      </c>
      <c r="B118" s="12">
        <f>SUM(B96:B99)</f>
        <v>100</v>
      </c>
      <c r="C118" s="70"/>
      <c r="D118" s="13">
        <f>SUMPRODUCT(B96:B117,D96:D117)/100</f>
        <v>76.10368291106798</v>
      </c>
      <c r="E118" s="14">
        <f>SUMPRODUCT(B96:B117,E96:E117)/100</f>
        <v>89.12162690143298</v>
      </c>
      <c r="F118" s="10"/>
      <c r="G118" s="11"/>
      <c r="H118" s="11"/>
      <c r="I118" s="12"/>
      <c r="J118" s="40"/>
    </row>
    <row r="119" spans="1:10" ht="22.5">
      <c r="A119" s="95" t="s">
        <v>369</v>
      </c>
      <c r="B119" s="9"/>
      <c r="C119" s="66"/>
      <c r="D119" s="18">
        <f>100*D118/B118</f>
        <v>76.10368291106798</v>
      </c>
      <c r="E119" s="19">
        <f>100*E118/B118</f>
        <v>89.12162690143298</v>
      </c>
      <c r="F119" s="7"/>
      <c r="G119" s="8"/>
      <c r="H119" s="8"/>
      <c r="I119" s="9"/>
      <c r="J119" s="40"/>
    </row>
    <row r="120" spans="1:10" ht="12.75">
      <c r="A120" s="181" t="s">
        <v>907</v>
      </c>
      <c r="B120" s="5"/>
      <c r="C120" s="182" t="s">
        <v>908</v>
      </c>
      <c r="D120" s="183"/>
      <c r="E120" s="213"/>
      <c r="F120" s="11"/>
      <c r="G120" s="11"/>
      <c r="H120" s="11"/>
      <c r="I120" s="11"/>
      <c r="J120" s="40"/>
    </row>
    <row r="121" spans="1:10" ht="12.75">
      <c r="A121" s="31" t="s">
        <v>898</v>
      </c>
      <c r="B121" s="30">
        <f>SUMIF($C$96:$C$117,"1",$B$96:$B$117)</f>
        <v>12.201320661265488</v>
      </c>
      <c r="C121" s="122">
        <v>1</v>
      </c>
      <c r="D121" s="216">
        <f>B121+B122+B126</f>
        <v>16.283191806525956</v>
      </c>
      <c r="E121" s="47"/>
      <c r="F121" s="11"/>
      <c r="G121" s="11"/>
      <c r="H121" s="11"/>
      <c r="I121" s="11"/>
      <c r="J121" s="40"/>
    </row>
    <row r="122" spans="1:10" ht="12.75">
      <c r="A122" s="31" t="s">
        <v>903</v>
      </c>
      <c r="B122" s="30">
        <f>SUMIF($C$96:$C$117,"2",$B$96:$B$117)</f>
        <v>4.081871145260469</v>
      </c>
      <c r="C122" s="122">
        <v>2</v>
      </c>
      <c r="D122" s="216">
        <f>B127</f>
        <v>7.434203815210275</v>
      </c>
      <c r="E122" s="47"/>
      <c r="F122" s="11"/>
      <c r="G122" s="11"/>
      <c r="H122" s="11"/>
      <c r="I122" s="11"/>
      <c r="J122" s="40"/>
    </row>
    <row r="123" spans="1:10" ht="12.75">
      <c r="A123" s="31" t="s">
        <v>902</v>
      </c>
      <c r="B123" s="30">
        <f>SUMIF($C$96:$C$117,"3",$B$96:$B$117)</f>
        <v>1.466460943286413</v>
      </c>
      <c r="C123" s="122">
        <v>3</v>
      </c>
      <c r="D123" s="216">
        <f>B123</f>
        <v>1.466460943286413</v>
      </c>
      <c r="E123" s="47"/>
      <c r="F123" s="11"/>
      <c r="G123" s="11"/>
      <c r="H123" s="11"/>
      <c r="I123" s="11"/>
      <c r="J123" s="40"/>
    </row>
    <row r="124" spans="1:10" ht="22.5">
      <c r="A124" s="31" t="s">
        <v>904</v>
      </c>
      <c r="B124" s="30">
        <f>SUMIF($C$96:$C$117,"4",$B$96:$B$117)</f>
        <v>6.691374153102455</v>
      </c>
      <c r="C124" s="122">
        <v>4</v>
      </c>
      <c r="D124" s="216">
        <f>B124</f>
        <v>6.691374153102455</v>
      </c>
      <c r="E124" s="47"/>
      <c r="F124" s="11"/>
      <c r="G124" s="11"/>
      <c r="H124" s="11"/>
      <c r="I124" s="11"/>
      <c r="J124" s="40"/>
    </row>
    <row r="125" spans="1:10" ht="12.75">
      <c r="A125" s="31" t="s">
        <v>905</v>
      </c>
      <c r="B125" s="30">
        <f>SUMIF($C$96:$C$117,"5",$B$96:$B$117)</f>
        <v>66.20197759188606</v>
      </c>
      <c r="C125" s="122">
        <v>5</v>
      </c>
      <c r="D125" s="216">
        <f>B125</f>
        <v>66.20197759188606</v>
      </c>
      <c r="E125" s="47"/>
      <c r="F125" s="11"/>
      <c r="G125" s="11"/>
      <c r="H125" s="11"/>
      <c r="I125" s="11"/>
      <c r="J125" s="40"/>
    </row>
    <row r="126" spans="1:10" ht="12.75">
      <c r="A126" s="31" t="s">
        <v>900</v>
      </c>
      <c r="B126" s="30">
        <f>SUMIF($C$96:$C$117,"6",$B$96:$B$117)</f>
        <v>0</v>
      </c>
      <c r="C126" s="122">
        <v>6</v>
      </c>
      <c r="D126" s="216">
        <f>B128</f>
        <v>0</v>
      </c>
      <c r="E126" s="47"/>
      <c r="F126" s="11"/>
      <c r="G126" s="11"/>
      <c r="H126" s="11"/>
      <c r="I126" s="11"/>
      <c r="J126" s="40"/>
    </row>
    <row r="127" spans="1:10" ht="12.75">
      <c r="A127" s="31" t="s">
        <v>899</v>
      </c>
      <c r="B127" s="30">
        <f>SUMIF($C$96:$C$117,"7",$B$96:$B$117)</f>
        <v>7.434203815210275</v>
      </c>
      <c r="C127" s="122">
        <v>7</v>
      </c>
      <c r="D127" s="216">
        <f>B129</f>
        <v>1.9227916899888318</v>
      </c>
      <c r="E127" s="47"/>
      <c r="F127" s="11"/>
      <c r="G127" s="11"/>
      <c r="H127" s="11"/>
      <c r="I127" s="11"/>
      <c r="J127" s="40"/>
    </row>
    <row r="128" spans="1:10" ht="12.75">
      <c r="A128" s="31" t="s">
        <v>901</v>
      </c>
      <c r="B128" s="30">
        <f>SUMIF($C$96:$C$117,"8",$B$96:$B$117)</f>
        <v>0</v>
      </c>
      <c r="C128" s="36"/>
      <c r="D128" s="221"/>
      <c r="E128" s="47"/>
      <c r="F128" s="11"/>
      <c r="G128" s="11"/>
      <c r="H128" s="11"/>
      <c r="I128" s="11"/>
      <c r="J128" s="40"/>
    </row>
    <row r="129" spans="1:10" ht="12.75">
      <c r="A129" s="31" t="s">
        <v>906</v>
      </c>
      <c r="B129" s="30">
        <f>SUMIF($C$96:$C$117,"9",$B$96:$B$117)</f>
        <v>1.9227916899888318</v>
      </c>
      <c r="C129" s="36"/>
      <c r="D129" s="217"/>
      <c r="E129" s="16"/>
      <c r="F129" s="11"/>
      <c r="G129" s="11"/>
      <c r="H129" s="11"/>
      <c r="I129" s="11"/>
      <c r="J129" s="40"/>
    </row>
    <row r="130" spans="1:10" ht="12.75">
      <c r="A130" s="173" t="s">
        <v>368</v>
      </c>
      <c r="B130" s="215">
        <f>SUM(B121:B129)</f>
        <v>100</v>
      </c>
      <c r="C130" s="39"/>
      <c r="D130" s="215">
        <f>SUM(D121:D129)</f>
        <v>99.99999999999999</v>
      </c>
      <c r="E130" s="21"/>
      <c r="F130" s="11"/>
      <c r="G130" s="11"/>
      <c r="H130" s="11"/>
      <c r="I130" s="11"/>
      <c r="J130" s="40"/>
    </row>
    <row r="131" spans="1:10" ht="12.75">
      <c r="A131" s="15"/>
      <c r="B131" s="15"/>
      <c r="C131" s="15"/>
      <c r="D131" s="135"/>
      <c r="E131" s="135"/>
      <c r="F131" s="11"/>
      <c r="G131" s="11"/>
      <c r="H131" s="11"/>
      <c r="I131" s="11"/>
      <c r="J131" s="40"/>
    </row>
    <row r="132" spans="1:9" ht="75.75" customHeight="1">
      <c r="A132" s="301" t="s">
        <v>17</v>
      </c>
      <c r="B132" s="309"/>
      <c r="C132" s="309"/>
      <c r="D132" s="309"/>
      <c r="E132" s="309"/>
      <c r="F132" s="309"/>
      <c r="G132" s="309"/>
      <c r="H132" s="309"/>
      <c r="I132" s="310"/>
    </row>
    <row r="136" spans="1:10" ht="15.75">
      <c r="A136" s="90" t="s">
        <v>675</v>
      </c>
      <c r="B136" s="2"/>
      <c r="C136" s="2"/>
      <c r="D136" s="2"/>
      <c r="E136" s="33"/>
      <c r="F136" s="2"/>
      <c r="G136" s="2"/>
      <c r="H136" s="2"/>
      <c r="I136" s="2"/>
      <c r="J136" s="2"/>
    </row>
    <row r="137" spans="1:9" ht="15.75">
      <c r="A137" s="4" t="s">
        <v>676</v>
      </c>
      <c r="B137" s="63">
        <v>1957</v>
      </c>
      <c r="C137" s="75"/>
      <c r="D137" s="58"/>
      <c r="E137" s="27"/>
      <c r="F137" s="50"/>
      <c r="G137" s="27"/>
      <c r="H137" s="27"/>
      <c r="I137" s="38"/>
    </row>
    <row r="138" spans="1:9" ht="22.5" customHeight="1">
      <c r="A138" s="28" t="s">
        <v>430</v>
      </c>
      <c r="B138" s="5" t="s">
        <v>304</v>
      </c>
      <c r="C138" s="76" t="s">
        <v>897</v>
      </c>
      <c r="D138" s="304" t="s">
        <v>400</v>
      </c>
      <c r="E138" s="305"/>
      <c r="F138" s="57" t="s">
        <v>6</v>
      </c>
      <c r="G138" s="5"/>
      <c r="H138" s="5"/>
      <c r="I138" s="6"/>
    </row>
    <row r="139" spans="1:9" ht="22.5" customHeight="1">
      <c r="A139" s="7"/>
      <c r="B139" s="8"/>
      <c r="C139" s="71"/>
      <c r="D139" s="7" t="s">
        <v>305</v>
      </c>
      <c r="E139" s="9" t="s">
        <v>306</v>
      </c>
      <c r="F139" s="7" t="s">
        <v>431</v>
      </c>
      <c r="G139" s="8" t="s">
        <v>423</v>
      </c>
      <c r="H139" s="8" t="s">
        <v>424</v>
      </c>
      <c r="I139" s="44" t="s">
        <v>428</v>
      </c>
    </row>
    <row r="140" spans="1:9" ht="22.5">
      <c r="A140" s="10" t="s">
        <v>677</v>
      </c>
      <c r="B140" s="12">
        <v>31600</v>
      </c>
      <c r="C140" s="76">
        <f>IF($B$137-F140&gt;=$C$7,6,7)</f>
        <v>7</v>
      </c>
      <c r="D140" s="130">
        <f>MAX($C$13,MIN($C$11,($C$13+($C$11-$C$13)*($B$137-F140)/$C$8)))</f>
        <v>97</v>
      </c>
      <c r="E140" s="131">
        <f>MAX($D$13,MIN($D$11,($D$13+($D$11-$D$13)*($B$137-F140)/$C$8)))</f>
        <v>99</v>
      </c>
      <c r="F140" s="28">
        <v>1920</v>
      </c>
      <c r="G140" s="11" t="s">
        <v>124</v>
      </c>
      <c r="H140" s="15" t="s">
        <v>408</v>
      </c>
      <c r="I140" s="12" t="s">
        <v>63</v>
      </c>
    </row>
    <row r="141" spans="1:9" ht="12.75" customHeight="1">
      <c r="A141" s="10" t="s">
        <v>668</v>
      </c>
      <c r="B141" s="12">
        <v>4100</v>
      </c>
      <c r="C141" s="70">
        <v>1</v>
      </c>
      <c r="D141" s="135">
        <f>$C$12</f>
        <v>97</v>
      </c>
      <c r="E141" s="133">
        <f>$D$12</f>
        <v>99</v>
      </c>
      <c r="F141" s="10"/>
      <c r="G141" s="11"/>
      <c r="H141" s="45" t="s">
        <v>411</v>
      </c>
      <c r="I141" s="12" t="s">
        <v>91</v>
      </c>
    </row>
    <row r="142" spans="1:9" ht="12.75" customHeight="1">
      <c r="A142" s="10" t="s">
        <v>670</v>
      </c>
      <c r="B142" s="12">
        <v>9600</v>
      </c>
      <c r="C142" s="70">
        <f>IF($B$137-F142&gt;=$C$7,2,IF($B$137-F142&gt;=$C$7*2/3,3,IF($B$137-F142&gt;=$C$7*1/3,4,5)))</f>
        <v>2</v>
      </c>
      <c r="D142" s="130">
        <f>MAX($C$15,MIN($C$11,($C$15+($C$11-$C$15)*($B$137-F142)/$C$8)))</f>
        <v>97</v>
      </c>
      <c r="E142" s="131">
        <f>MAX($D$15,MIN($D$11,($D$15+($D$11-$D$15)*($B$137-F142)/$C$8)))</f>
        <v>99</v>
      </c>
      <c r="F142" s="10">
        <v>1900</v>
      </c>
      <c r="G142" s="11" t="s">
        <v>427</v>
      </c>
      <c r="H142" s="11" t="s">
        <v>412</v>
      </c>
      <c r="I142" s="12" t="s">
        <v>84</v>
      </c>
    </row>
    <row r="143" spans="1:9" ht="22.5">
      <c r="A143" s="10" t="s">
        <v>678</v>
      </c>
      <c r="B143" s="12">
        <v>3200</v>
      </c>
      <c r="C143" s="70">
        <f>IF($B$137-F143&gt;=$C$7,2,IF($B$137-F143&gt;=$C$7*2/3,3,IF($B$137-F143&gt;=$C$7*1/3,4,IF($B$137-F143&gt;=0,5,8))))</f>
        <v>2</v>
      </c>
      <c r="D143" s="130">
        <f>MAX($C$10,MIN($C$11,($C$14+($C$11-$C$14)*($B$137-F143)/$C$7)))</f>
        <v>97</v>
      </c>
      <c r="E143" s="131">
        <f>MAX($D$10,MIN($D$11,($D$14+($D$11-$D$14)*($B$137-F143)/$C$7)))</f>
        <v>99</v>
      </c>
      <c r="F143" s="41">
        <v>1895</v>
      </c>
      <c r="G143" s="45" t="s">
        <v>426</v>
      </c>
      <c r="H143" s="11" t="s">
        <v>303</v>
      </c>
      <c r="I143" s="12" t="s">
        <v>92</v>
      </c>
    </row>
    <row r="144" spans="1:9" ht="33.75">
      <c r="A144" s="10" t="s">
        <v>635</v>
      </c>
      <c r="B144" s="12">
        <v>4200</v>
      </c>
      <c r="C144" s="70">
        <v>9</v>
      </c>
      <c r="D144" s="13">
        <v>80</v>
      </c>
      <c r="E144" s="14">
        <v>90</v>
      </c>
      <c r="F144" s="10"/>
      <c r="G144" s="40"/>
      <c r="H144" s="40"/>
      <c r="I144" s="12" t="s">
        <v>874</v>
      </c>
    </row>
    <row r="145" spans="1:9" ht="12.75">
      <c r="A145" s="10" t="s">
        <v>368</v>
      </c>
      <c r="B145" s="12">
        <f>SUM(B140:B144)</f>
        <v>52700</v>
      </c>
      <c r="C145" s="70"/>
      <c r="D145" s="97">
        <f>SUMPRODUCT(B140:B144,D140:D144)/100</f>
        <v>50405</v>
      </c>
      <c r="E145" s="107">
        <f>SUMPRODUCT(B140:B144,E140:E144)/100</f>
        <v>51795</v>
      </c>
      <c r="F145" s="10"/>
      <c r="G145" s="11"/>
      <c r="H145" s="11"/>
      <c r="I145" s="12"/>
    </row>
    <row r="146" spans="1:9" ht="22.5">
      <c r="A146" s="17" t="s">
        <v>369</v>
      </c>
      <c r="B146" s="9"/>
      <c r="C146" s="66"/>
      <c r="D146" s="18">
        <f>100*D145/B145</f>
        <v>95.64516129032258</v>
      </c>
      <c r="E146" s="19">
        <f>100*E145/B145</f>
        <v>98.28273244781784</v>
      </c>
      <c r="F146" s="7"/>
      <c r="G146" s="8"/>
      <c r="H146" s="8"/>
      <c r="I146" s="9"/>
    </row>
    <row r="147" spans="1:9" ht="12.75">
      <c r="A147" s="181" t="s">
        <v>907</v>
      </c>
      <c r="B147" s="5"/>
      <c r="C147" s="182" t="s">
        <v>908</v>
      </c>
      <c r="D147" s="183"/>
      <c r="E147" s="213"/>
      <c r="F147" s="11"/>
      <c r="G147" s="11"/>
      <c r="H147" s="11"/>
      <c r="I147" s="11"/>
    </row>
    <row r="148" spans="1:9" ht="12.75">
      <c r="A148" s="31" t="s">
        <v>898</v>
      </c>
      <c r="B148" s="30">
        <f>SUMIF($C$140:$C$144,"1",$B$140:$B$144)</f>
        <v>4100</v>
      </c>
      <c r="C148" s="122">
        <v>1</v>
      </c>
      <c r="D148" s="216">
        <f>B148+B149+B153</f>
        <v>16900</v>
      </c>
      <c r="E148" s="47"/>
      <c r="F148" s="11"/>
      <c r="G148" s="11"/>
      <c r="H148" s="11"/>
      <c r="I148" s="11"/>
    </row>
    <row r="149" spans="1:9" ht="12.75">
      <c r="A149" s="31" t="s">
        <v>903</v>
      </c>
      <c r="B149" s="30">
        <f>SUMIF($C$140:$C$144,"2",$B$140:$B$144)</f>
        <v>12800</v>
      </c>
      <c r="C149" s="122">
        <v>2</v>
      </c>
      <c r="D149" s="216">
        <f>B154</f>
        <v>31600</v>
      </c>
      <c r="E149" s="47"/>
      <c r="F149" s="11"/>
      <c r="G149" s="11"/>
      <c r="H149" s="11"/>
      <c r="I149" s="11"/>
    </row>
    <row r="150" spans="1:9" ht="12.75">
      <c r="A150" s="31" t="s">
        <v>902</v>
      </c>
      <c r="B150" s="30">
        <f>SUMIF($C$140:$C$144,"3",$B$140:$B$144)</f>
        <v>0</v>
      </c>
      <c r="C150" s="122">
        <v>3</v>
      </c>
      <c r="D150" s="216">
        <f>B150</f>
        <v>0</v>
      </c>
      <c r="E150" s="47"/>
      <c r="F150" s="11"/>
      <c r="G150" s="11"/>
      <c r="H150" s="11"/>
      <c r="I150" s="11"/>
    </row>
    <row r="151" spans="1:9" ht="22.5">
      <c r="A151" s="31" t="s">
        <v>904</v>
      </c>
      <c r="B151" s="30">
        <f>SUMIF($C$140:$C$144,"4",$B$140:$B$144)</f>
        <v>0</v>
      </c>
      <c r="C151" s="122">
        <v>4</v>
      </c>
      <c r="D151" s="216">
        <f>B151</f>
        <v>0</v>
      </c>
      <c r="E151" s="47"/>
      <c r="F151" s="11"/>
      <c r="G151" s="11"/>
      <c r="H151" s="11"/>
      <c r="I151" s="11"/>
    </row>
    <row r="152" spans="1:9" ht="12.75">
      <c r="A152" s="31" t="s">
        <v>905</v>
      </c>
      <c r="B152" s="30">
        <f>SUMIF($C$140:$C$144,"5",$B$140:$B$144)</f>
        <v>0</v>
      </c>
      <c r="C152" s="122">
        <v>5</v>
      </c>
      <c r="D152" s="216">
        <f>B152</f>
        <v>0</v>
      </c>
      <c r="E152" s="47"/>
      <c r="F152" s="11"/>
      <c r="G152" s="11"/>
      <c r="H152" s="11"/>
      <c r="I152" s="11"/>
    </row>
    <row r="153" spans="1:9" ht="12.75">
      <c r="A153" s="31" t="s">
        <v>900</v>
      </c>
      <c r="B153" s="30">
        <f>SUMIF($C$140:$C$144,"6",$B$140:$B$144)</f>
        <v>0</v>
      </c>
      <c r="C153" s="122">
        <v>6</v>
      </c>
      <c r="D153" s="216">
        <f>B155</f>
        <v>0</v>
      </c>
      <c r="E153" s="47"/>
      <c r="F153" s="11"/>
      <c r="G153" s="11"/>
      <c r="H153" s="11"/>
      <c r="I153" s="11"/>
    </row>
    <row r="154" spans="1:9" ht="12.75">
      <c r="A154" s="31" t="s">
        <v>899</v>
      </c>
      <c r="B154" s="30">
        <f>SUMIF($C$140:$C$144,"7",$B$140:$B$144)</f>
        <v>31600</v>
      </c>
      <c r="C154" s="122">
        <v>7</v>
      </c>
      <c r="D154" s="216">
        <f>B156</f>
        <v>4200</v>
      </c>
      <c r="E154" s="47"/>
      <c r="F154" s="11"/>
      <c r="G154" s="11"/>
      <c r="H154" s="11"/>
      <c r="I154" s="11"/>
    </row>
    <row r="155" spans="1:9" ht="12.75">
      <c r="A155" s="31" t="s">
        <v>901</v>
      </c>
      <c r="B155" s="30">
        <f>SUMIF($C$140:$C$144,"8",$B$140:$B$144)</f>
        <v>0</v>
      </c>
      <c r="C155" s="36"/>
      <c r="D155" s="221"/>
      <c r="E155" s="47"/>
      <c r="F155" s="11"/>
      <c r="G155" s="11"/>
      <c r="H155" s="11"/>
      <c r="I155" s="11"/>
    </row>
    <row r="156" spans="1:9" ht="12.75">
      <c r="A156" s="31" t="s">
        <v>906</v>
      </c>
      <c r="B156" s="30">
        <f>SUMIF($C$140:$C$144,"9",$B$140:$B$144)</f>
        <v>4200</v>
      </c>
      <c r="C156" s="36"/>
      <c r="D156" s="217"/>
      <c r="E156" s="16"/>
      <c r="F156" s="11"/>
      <c r="G156" s="11"/>
      <c r="H156" s="11"/>
      <c r="I156" s="11"/>
    </row>
    <row r="157" spans="1:9" ht="12.75">
      <c r="A157" s="173" t="s">
        <v>368</v>
      </c>
      <c r="B157" s="215">
        <f>SUM(B148:B156)</f>
        <v>52700</v>
      </c>
      <c r="C157" s="39"/>
      <c r="D157" s="215">
        <f>SUM(D148:D156)</f>
        <v>52700</v>
      </c>
      <c r="E157" s="21"/>
      <c r="F157" s="11"/>
      <c r="G157" s="11"/>
      <c r="H157" s="11"/>
      <c r="I157" s="11"/>
    </row>
    <row r="159" spans="1:9" ht="40.5" customHeight="1">
      <c r="A159" s="301" t="s">
        <v>18</v>
      </c>
      <c r="B159" s="309"/>
      <c r="C159" s="309"/>
      <c r="D159" s="309"/>
      <c r="E159" s="309"/>
      <c r="F159" s="309"/>
      <c r="G159" s="309"/>
      <c r="H159" s="309"/>
      <c r="I159" s="310"/>
    </row>
  </sheetData>
  <mergeCells count="8">
    <mergeCell ref="A159:I159"/>
    <mergeCell ref="A47:I47"/>
    <mergeCell ref="A132:I132"/>
    <mergeCell ref="D21:E21"/>
    <mergeCell ref="A88:I88"/>
    <mergeCell ref="D138:E138"/>
    <mergeCell ref="D94:E94"/>
    <mergeCell ref="D53:E53"/>
  </mergeCells>
  <printOptions/>
  <pageMargins left="0.75" right="0.75" top="1" bottom="1" header="0" footer="0"/>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O74"/>
  <sheetViews>
    <sheetView workbookViewId="0" topLeftCell="A11">
      <selection activeCell="J34" sqref="J34"/>
    </sheetView>
  </sheetViews>
  <sheetFormatPr defaultColWidth="9.140625" defaultRowHeight="12.75"/>
  <cols>
    <col min="1" max="1" width="27.00390625" style="0" customWidth="1"/>
    <col min="2" max="2" width="6.28125" style="0" customWidth="1"/>
    <col min="3" max="3" width="6.140625" style="0" customWidth="1"/>
    <col min="4" max="4" width="6.28125" style="0" customWidth="1"/>
    <col min="5" max="5" width="5.7109375" style="0" customWidth="1"/>
    <col min="6" max="6" width="6.7109375" style="0" customWidth="1"/>
    <col min="7" max="7" width="6.8515625" style="0" customWidth="1"/>
    <col min="8" max="8" width="9.28125" style="0" customWidth="1"/>
    <col min="9" max="9" width="7.28125" style="0" customWidth="1"/>
    <col min="10" max="10" width="10.00390625" style="0" customWidth="1"/>
    <col min="11" max="11" width="53.28125" style="0" customWidth="1"/>
    <col min="12" max="12" width="5.421875" style="0" customWidth="1"/>
    <col min="13" max="13" width="6.8515625" style="0" customWidth="1"/>
    <col min="14" max="14" width="10.7109375" style="0" customWidth="1"/>
    <col min="15" max="15" width="9.57421875" style="0" customWidth="1"/>
    <col min="16" max="16" width="11.57421875" style="0" customWidth="1"/>
  </cols>
  <sheetData>
    <row r="2" ht="20.25">
      <c r="A2" s="64" t="s">
        <v>679</v>
      </c>
    </row>
    <row r="3" ht="15">
      <c r="A3" s="65" t="s">
        <v>19</v>
      </c>
    </row>
    <row r="6" spans="3:6" ht="12.75">
      <c r="C6" s="67" t="s">
        <v>425</v>
      </c>
      <c r="D6" s="68"/>
      <c r="E6" s="68"/>
      <c r="F6" s="51"/>
    </row>
    <row r="7" spans="1:7" ht="12.75">
      <c r="A7" s="2"/>
      <c r="B7" s="2"/>
      <c r="C7" s="144">
        <f>Charts!$D$12</f>
        <v>45</v>
      </c>
      <c r="D7" s="75"/>
      <c r="E7" s="45" t="s">
        <v>890</v>
      </c>
      <c r="F7" s="42"/>
      <c r="G7" s="2"/>
    </row>
    <row r="8" spans="1:7" ht="12.75">
      <c r="A8" s="2"/>
      <c r="B8" s="2"/>
      <c r="C8" s="144">
        <f>Charts!$D$13</f>
        <v>30</v>
      </c>
      <c r="D8" s="45"/>
      <c r="E8" s="45" t="s">
        <v>889</v>
      </c>
      <c r="F8" s="42"/>
      <c r="G8" s="2"/>
    </row>
    <row r="9" spans="1:7" ht="12.75">
      <c r="A9" s="2"/>
      <c r="B9" s="2"/>
      <c r="C9" s="52" t="s">
        <v>305</v>
      </c>
      <c r="D9" s="49" t="s">
        <v>306</v>
      </c>
      <c r="E9" s="45"/>
      <c r="F9" s="42"/>
      <c r="G9" s="2"/>
    </row>
    <row r="10" spans="1:7" ht="12.75">
      <c r="A10" s="2"/>
      <c r="B10" s="2"/>
      <c r="C10" s="144">
        <f>Charts!$D$15</f>
        <v>0</v>
      </c>
      <c r="D10" s="143">
        <f>Charts!$E$15</f>
        <v>5</v>
      </c>
      <c r="E10" s="45" t="s">
        <v>303</v>
      </c>
      <c r="F10" s="42"/>
      <c r="G10" s="2"/>
    </row>
    <row r="11" spans="1:7" ht="12.75">
      <c r="A11" s="2"/>
      <c r="B11" s="2"/>
      <c r="C11" s="144">
        <f>Charts!$D$16</f>
        <v>97</v>
      </c>
      <c r="D11" s="143">
        <f>Charts!$E$16</f>
        <v>99</v>
      </c>
      <c r="E11" s="45" t="s">
        <v>410</v>
      </c>
      <c r="F11" s="42"/>
      <c r="G11" s="2"/>
    </row>
    <row r="12" spans="1:7" ht="12.75">
      <c r="A12" s="2"/>
      <c r="B12" s="2"/>
      <c r="C12" s="144">
        <f>Charts!$D$17</f>
        <v>97</v>
      </c>
      <c r="D12" s="143">
        <f>Charts!$E$17</f>
        <v>99</v>
      </c>
      <c r="E12" s="45" t="s">
        <v>411</v>
      </c>
      <c r="F12" s="69"/>
      <c r="G12" s="2"/>
    </row>
    <row r="13" spans="1:7" ht="12.75">
      <c r="A13" s="2"/>
      <c r="B13" s="2"/>
      <c r="C13" s="144">
        <f>Charts!$D$18</f>
        <v>75</v>
      </c>
      <c r="D13" s="143">
        <f>Charts!$E$18</f>
        <v>85</v>
      </c>
      <c r="E13" s="45" t="s">
        <v>408</v>
      </c>
      <c r="F13" s="42"/>
      <c r="G13" s="2"/>
    </row>
    <row r="14" spans="1:7" ht="12.75">
      <c r="A14" s="2"/>
      <c r="B14" s="2"/>
      <c r="C14" s="144">
        <f>Charts!$D$19</f>
        <v>0</v>
      </c>
      <c r="D14" s="143">
        <f>Charts!$E$19</f>
        <v>20</v>
      </c>
      <c r="E14" s="45" t="s">
        <v>409</v>
      </c>
      <c r="F14" s="42"/>
      <c r="G14" s="2"/>
    </row>
    <row r="15" spans="1:7" ht="12.75">
      <c r="A15" s="2"/>
      <c r="B15" s="2"/>
      <c r="C15" s="144">
        <f>Charts!$D$20</f>
        <v>40</v>
      </c>
      <c r="D15" s="143">
        <f>Charts!$E$20</f>
        <v>60</v>
      </c>
      <c r="E15" s="45" t="s">
        <v>412</v>
      </c>
      <c r="F15" s="42"/>
      <c r="G15" s="2"/>
    </row>
    <row r="16" spans="3:6" ht="12.75">
      <c r="C16" s="145">
        <f>Charts!$D$21</f>
        <v>65</v>
      </c>
      <c r="D16" s="59">
        <f>Charts!$E$21</f>
        <v>85</v>
      </c>
      <c r="E16" s="43" t="s">
        <v>873</v>
      </c>
      <c r="F16" s="48"/>
    </row>
    <row r="19" spans="1:10" ht="15.75">
      <c r="A19" s="90" t="s">
        <v>680</v>
      </c>
      <c r="B19" s="2"/>
      <c r="C19" s="2"/>
      <c r="D19" s="2"/>
      <c r="E19" s="33"/>
      <c r="F19" s="2"/>
      <c r="G19" s="2"/>
      <c r="H19" s="2"/>
      <c r="I19" s="2"/>
      <c r="J19" s="2"/>
    </row>
    <row r="20" spans="1:15" ht="15.75">
      <c r="A20" s="4" t="s">
        <v>681</v>
      </c>
      <c r="B20" s="63">
        <v>1950</v>
      </c>
      <c r="C20" s="75"/>
      <c r="D20" s="58"/>
      <c r="E20" s="27"/>
      <c r="F20" s="50"/>
      <c r="G20" s="27"/>
      <c r="H20" s="27"/>
      <c r="I20" s="27"/>
      <c r="J20" s="37"/>
      <c r="K20" s="37"/>
      <c r="L20" s="37"/>
      <c r="M20" s="46"/>
      <c r="N20" s="36"/>
      <c r="O20" s="36"/>
    </row>
    <row r="21" spans="1:15" ht="22.5" customHeight="1">
      <c r="A21" s="28" t="s">
        <v>430</v>
      </c>
      <c r="B21" s="5" t="s">
        <v>370</v>
      </c>
      <c r="C21" s="76" t="s">
        <v>897</v>
      </c>
      <c r="D21" s="304" t="s">
        <v>400</v>
      </c>
      <c r="E21" s="305"/>
      <c r="F21" s="57" t="s">
        <v>6</v>
      </c>
      <c r="G21" s="5"/>
      <c r="H21" s="5"/>
      <c r="I21" s="5"/>
      <c r="J21" s="37"/>
      <c r="K21" s="37"/>
      <c r="L21" s="37"/>
      <c r="M21" s="46"/>
      <c r="N21" s="36"/>
      <c r="O21" s="36"/>
    </row>
    <row r="22" spans="1:15" ht="22.5">
      <c r="A22" s="7"/>
      <c r="B22" s="8"/>
      <c r="C22" s="71"/>
      <c r="D22" s="7" t="s">
        <v>305</v>
      </c>
      <c r="E22" s="9" t="s">
        <v>306</v>
      </c>
      <c r="F22" s="7" t="s">
        <v>431</v>
      </c>
      <c r="G22" s="8" t="s">
        <v>423</v>
      </c>
      <c r="H22" s="8" t="s">
        <v>424</v>
      </c>
      <c r="I22" s="49" t="s">
        <v>428</v>
      </c>
      <c r="J22" s="39"/>
      <c r="K22" s="39"/>
      <c r="L22" s="39"/>
      <c r="M22" s="48"/>
      <c r="N22" s="36"/>
      <c r="O22" s="36"/>
    </row>
    <row r="23" spans="1:15" ht="24" customHeight="1">
      <c r="A23" s="28" t="s">
        <v>888</v>
      </c>
      <c r="B23" s="12">
        <v>2658</v>
      </c>
      <c r="C23" s="76">
        <v>5</v>
      </c>
      <c r="D23" s="130">
        <f>$C$15</f>
        <v>40</v>
      </c>
      <c r="E23" s="131">
        <f>$D$15</f>
        <v>60</v>
      </c>
      <c r="F23" s="28"/>
      <c r="G23" s="40"/>
      <c r="H23" s="40" t="s">
        <v>412</v>
      </c>
      <c r="I23" s="75" t="s">
        <v>878</v>
      </c>
      <c r="J23" s="36"/>
      <c r="K23" s="36"/>
      <c r="L23" s="36"/>
      <c r="M23" s="47"/>
      <c r="N23" s="36"/>
      <c r="O23" s="36"/>
    </row>
    <row r="24" spans="1:15" ht="21.75" customHeight="1">
      <c r="A24" s="10" t="s">
        <v>682</v>
      </c>
      <c r="B24" s="12">
        <v>8858</v>
      </c>
      <c r="C24" s="70">
        <v>4</v>
      </c>
      <c r="D24" s="130">
        <v>60</v>
      </c>
      <c r="E24" s="131">
        <v>80</v>
      </c>
      <c r="F24" s="10"/>
      <c r="G24" s="40"/>
      <c r="H24" s="40" t="s">
        <v>411</v>
      </c>
      <c r="I24" s="45" t="s">
        <v>494</v>
      </c>
      <c r="J24" s="36"/>
      <c r="K24" s="36"/>
      <c r="L24" s="36"/>
      <c r="M24" s="47"/>
      <c r="N24" s="36"/>
      <c r="O24" s="36"/>
    </row>
    <row r="25" spans="1:15" ht="12.75">
      <c r="A25" s="10" t="s">
        <v>683</v>
      </c>
      <c r="B25" s="12">
        <v>2961</v>
      </c>
      <c r="C25" s="70">
        <v>8</v>
      </c>
      <c r="D25" s="135">
        <v>25</v>
      </c>
      <c r="E25" s="133">
        <v>35</v>
      </c>
      <c r="F25" s="10"/>
      <c r="G25" s="40"/>
      <c r="H25" s="40" t="s">
        <v>537</v>
      </c>
      <c r="I25" s="45" t="s">
        <v>493</v>
      </c>
      <c r="J25" s="36"/>
      <c r="K25" s="36"/>
      <c r="L25" s="36"/>
      <c r="M25" s="47"/>
      <c r="N25" s="36"/>
      <c r="O25" s="36"/>
    </row>
    <row r="26" spans="1:15" ht="22.5" customHeight="1">
      <c r="A26" s="10" t="s">
        <v>684</v>
      </c>
      <c r="B26" s="12">
        <v>1608</v>
      </c>
      <c r="C26" s="70">
        <v>1</v>
      </c>
      <c r="D26" s="13">
        <f>$C$12</f>
        <v>97</v>
      </c>
      <c r="E26" s="14">
        <f>$D$12</f>
        <v>99</v>
      </c>
      <c r="F26" s="10"/>
      <c r="G26" s="40"/>
      <c r="H26" s="45" t="s">
        <v>411</v>
      </c>
      <c r="I26" s="45" t="s">
        <v>492</v>
      </c>
      <c r="J26" s="36"/>
      <c r="K26" s="36"/>
      <c r="L26" s="36"/>
      <c r="M26" s="47"/>
      <c r="N26" s="36"/>
      <c r="O26" s="36"/>
    </row>
    <row r="27" spans="1:15" ht="12.75">
      <c r="A27" s="10" t="s">
        <v>685</v>
      </c>
      <c r="B27" s="12">
        <v>1862</v>
      </c>
      <c r="C27" s="70">
        <v>1</v>
      </c>
      <c r="D27" s="13">
        <f>$C$12</f>
        <v>97</v>
      </c>
      <c r="E27" s="14">
        <f>$D$12</f>
        <v>99</v>
      </c>
      <c r="F27" s="10"/>
      <c r="G27" s="40"/>
      <c r="H27" s="45" t="s">
        <v>411</v>
      </c>
      <c r="I27" s="45" t="s">
        <v>491</v>
      </c>
      <c r="J27" s="36"/>
      <c r="K27" s="36"/>
      <c r="L27" s="36"/>
      <c r="M27" s="47"/>
      <c r="N27" s="36"/>
      <c r="O27" s="36"/>
    </row>
    <row r="28" spans="1:15" ht="12.75">
      <c r="A28" s="10" t="s">
        <v>686</v>
      </c>
      <c r="B28" s="12">
        <v>1099</v>
      </c>
      <c r="C28" s="70">
        <v>1</v>
      </c>
      <c r="D28" s="13">
        <f>$C$12</f>
        <v>97</v>
      </c>
      <c r="E28" s="14">
        <f>$D$12</f>
        <v>99</v>
      </c>
      <c r="F28" s="10"/>
      <c r="G28" s="40"/>
      <c r="H28" s="45" t="s">
        <v>411</v>
      </c>
      <c r="I28" s="42" t="s">
        <v>4</v>
      </c>
      <c r="J28" s="36"/>
      <c r="K28" s="36"/>
      <c r="L28" s="36"/>
      <c r="M28" s="47"/>
      <c r="N28" s="36"/>
      <c r="O28" s="36"/>
    </row>
    <row r="29" spans="1:15" ht="12.75">
      <c r="A29" s="10" t="s">
        <v>368</v>
      </c>
      <c r="B29" s="12">
        <f>SUM(B23:B28)</f>
        <v>19046</v>
      </c>
      <c r="C29" s="70"/>
      <c r="D29" s="97">
        <f>SUMPRODUCT(B23:B28,D23:D28)/100</f>
        <v>11550.18</v>
      </c>
      <c r="E29" s="107">
        <f>SUMPRODUCT(B23:B28,E23:E28)/100</f>
        <v>14240.86</v>
      </c>
      <c r="F29" s="10"/>
      <c r="G29" s="40"/>
      <c r="H29" s="40"/>
      <c r="I29" s="45"/>
      <c r="J29" s="36"/>
      <c r="K29" s="36"/>
      <c r="L29" s="36"/>
      <c r="M29" s="47"/>
      <c r="N29" s="36"/>
      <c r="O29" s="36"/>
    </row>
    <row r="30" spans="1:15" ht="22.5">
      <c r="A30" s="17" t="s">
        <v>369</v>
      </c>
      <c r="B30" s="9"/>
      <c r="C30" s="66"/>
      <c r="D30" s="18">
        <f>100*D29/B29</f>
        <v>60.64359970597501</v>
      </c>
      <c r="E30" s="19">
        <f>100*E29/B29</f>
        <v>74.77087052399455</v>
      </c>
      <c r="F30" s="7"/>
      <c r="G30" s="8"/>
      <c r="H30" s="8"/>
      <c r="I30" s="49"/>
      <c r="J30" s="39"/>
      <c r="K30" s="39"/>
      <c r="L30" s="39"/>
      <c r="M30" s="48"/>
      <c r="N30" s="36"/>
      <c r="O30" s="36"/>
    </row>
    <row r="31" spans="1:15" ht="12.75">
      <c r="A31" s="181" t="s">
        <v>907</v>
      </c>
      <c r="B31" s="5"/>
      <c r="C31" s="182" t="s">
        <v>908</v>
      </c>
      <c r="D31" s="183"/>
      <c r="E31" s="213"/>
      <c r="F31" s="15"/>
      <c r="G31" s="11"/>
      <c r="H31" s="11"/>
      <c r="I31" s="45"/>
      <c r="J31" s="36"/>
      <c r="K31" s="36"/>
      <c r="L31" s="36"/>
      <c r="M31" s="36"/>
      <c r="N31" s="36"/>
      <c r="O31" s="36"/>
    </row>
    <row r="32" spans="1:15" ht="12.75">
      <c r="A32" s="31" t="s">
        <v>898</v>
      </c>
      <c r="B32" s="30">
        <f>SUMIF($C$23:$C$28,"1",$B$23:$B$28)</f>
        <v>4569</v>
      </c>
      <c r="C32" s="122">
        <v>1</v>
      </c>
      <c r="D32" s="216">
        <f>B32+B33+B37</f>
        <v>4569</v>
      </c>
      <c r="E32" s="47"/>
      <c r="F32" s="15"/>
      <c r="G32" s="11"/>
      <c r="H32" s="11"/>
      <c r="I32" s="45"/>
      <c r="J32" s="36"/>
      <c r="K32" s="36"/>
      <c r="L32" s="36"/>
      <c r="M32" s="36"/>
      <c r="N32" s="36"/>
      <c r="O32" s="36"/>
    </row>
    <row r="33" spans="1:15" ht="12.75">
      <c r="A33" s="31" t="s">
        <v>903</v>
      </c>
      <c r="B33" s="30">
        <f>SUMIF($C$23:$C$28,"2",$B$23:$B$28)</f>
        <v>0</v>
      </c>
      <c r="C33" s="122">
        <v>2</v>
      </c>
      <c r="D33" s="216">
        <f>B38</f>
        <v>0</v>
      </c>
      <c r="E33" s="47"/>
      <c r="F33" s="15"/>
      <c r="G33" s="11"/>
      <c r="H33" s="11"/>
      <c r="I33" s="45"/>
      <c r="J33" s="36"/>
      <c r="K33" s="36"/>
      <c r="L33" s="36"/>
      <c r="M33" s="36"/>
      <c r="N33" s="36"/>
      <c r="O33" s="36"/>
    </row>
    <row r="34" spans="1:15" ht="12.75" customHeight="1">
      <c r="A34" s="31" t="s">
        <v>902</v>
      </c>
      <c r="B34" s="30">
        <f>SUMIF($C$23:$C$28,"3",$B$23:$B$28)</f>
        <v>0</v>
      </c>
      <c r="C34" s="122">
        <v>3</v>
      </c>
      <c r="D34" s="216">
        <f>B34</f>
        <v>0</v>
      </c>
      <c r="E34" s="47"/>
      <c r="F34" s="15"/>
      <c r="G34" s="11"/>
      <c r="H34" s="11"/>
      <c r="I34" s="45"/>
      <c r="J34" s="36"/>
      <c r="K34" s="36"/>
      <c r="L34" s="36"/>
      <c r="M34" s="36"/>
      <c r="N34" s="36"/>
      <c r="O34" s="36"/>
    </row>
    <row r="35" spans="1:15" ht="12.75" customHeight="1">
      <c r="A35" s="31" t="s">
        <v>904</v>
      </c>
      <c r="B35" s="30">
        <f>SUMIF($C$23:$C$28,"4",$B$23:$B$28)</f>
        <v>8858</v>
      </c>
      <c r="C35" s="122">
        <v>4</v>
      </c>
      <c r="D35" s="216">
        <f>B35</f>
        <v>8858</v>
      </c>
      <c r="E35" s="47"/>
      <c r="F35" s="15"/>
      <c r="G35" s="11"/>
      <c r="H35" s="11"/>
      <c r="I35" s="45"/>
      <c r="J35" s="36"/>
      <c r="K35" s="36"/>
      <c r="L35" s="36"/>
      <c r="M35" s="36"/>
      <c r="N35" s="36"/>
      <c r="O35" s="36"/>
    </row>
    <row r="36" spans="1:15" ht="12.75" customHeight="1">
      <c r="A36" s="31" t="s">
        <v>905</v>
      </c>
      <c r="B36" s="30">
        <f>SUMIF($C$23:$C$28,"5",$B$23:$B$28)</f>
        <v>2658</v>
      </c>
      <c r="C36" s="122">
        <v>5</v>
      </c>
      <c r="D36" s="216">
        <f>B36</f>
        <v>2658</v>
      </c>
      <c r="E36" s="47"/>
      <c r="F36" s="15"/>
      <c r="G36" s="11"/>
      <c r="H36" s="11"/>
      <c r="I36" s="45"/>
      <c r="J36" s="36"/>
      <c r="K36" s="36"/>
      <c r="L36" s="36"/>
      <c r="M36" s="36"/>
      <c r="N36" s="36"/>
      <c r="O36" s="36"/>
    </row>
    <row r="37" spans="1:15" ht="12.75">
      <c r="A37" s="31" t="s">
        <v>900</v>
      </c>
      <c r="B37" s="30">
        <f>SUMIF($C$23:$C$28,"6",$B$23:$B$28)</f>
        <v>0</v>
      </c>
      <c r="C37" s="122">
        <v>6</v>
      </c>
      <c r="D37" s="216">
        <f>B39</f>
        <v>2961</v>
      </c>
      <c r="E37" s="47"/>
      <c r="F37" s="15"/>
      <c r="G37" s="11"/>
      <c r="H37" s="11"/>
      <c r="I37" s="45"/>
      <c r="J37" s="36"/>
      <c r="K37" s="36"/>
      <c r="L37" s="36"/>
      <c r="M37" s="36"/>
      <c r="N37" s="36"/>
      <c r="O37" s="36"/>
    </row>
    <row r="38" spans="1:15" ht="12" customHeight="1">
      <c r="A38" s="31" t="s">
        <v>899</v>
      </c>
      <c r="B38" s="30">
        <f>SUMIF($C$23:$C$28,"7",$B$23:$B$28)</f>
        <v>0</v>
      </c>
      <c r="C38" s="122">
        <v>7</v>
      </c>
      <c r="D38" s="216">
        <f>B40</f>
        <v>0</v>
      </c>
      <c r="E38" s="47"/>
      <c r="F38" s="15"/>
      <c r="G38" s="11"/>
      <c r="H38" s="11"/>
      <c r="I38" s="45"/>
      <c r="J38" s="36"/>
      <c r="K38" s="36"/>
      <c r="L38" s="36"/>
      <c r="M38" s="36"/>
      <c r="N38" s="36"/>
      <c r="O38" s="36"/>
    </row>
    <row r="39" spans="1:15" ht="12.75">
      <c r="A39" s="31" t="s">
        <v>901</v>
      </c>
      <c r="B39" s="30">
        <f>SUMIF($C$23:$C$28,"8",$B$23:$B$28)</f>
        <v>2961</v>
      </c>
      <c r="C39" s="36"/>
      <c r="D39" s="221"/>
      <c r="E39" s="47"/>
      <c r="F39" s="15"/>
      <c r="G39" s="11"/>
      <c r="H39" s="11"/>
      <c r="I39" s="45"/>
      <c r="J39" s="36"/>
      <c r="K39" s="36"/>
      <c r="L39" s="36"/>
      <c r="M39" s="36"/>
      <c r="N39" s="36"/>
      <c r="O39" s="36"/>
    </row>
    <row r="40" spans="1:15" ht="12.75">
      <c r="A40" s="31" t="s">
        <v>906</v>
      </c>
      <c r="B40" s="30">
        <f>SUMIF($C$23:$C$28,"9",$B$23:$B$28)</f>
        <v>0</v>
      </c>
      <c r="C40" s="36"/>
      <c r="D40" s="217"/>
      <c r="E40" s="16"/>
      <c r="F40" s="15"/>
      <c r="G40" s="11"/>
      <c r="H40" s="11"/>
      <c r="I40" s="45"/>
      <c r="J40" s="36"/>
      <c r="K40" s="36"/>
      <c r="L40" s="36"/>
      <c r="M40" s="36"/>
      <c r="N40" s="36"/>
      <c r="O40" s="36"/>
    </row>
    <row r="41" spans="1:5" ht="12.75">
      <c r="A41" s="173" t="s">
        <v>368</v>
      </c>
      <c r="B41" s="215">
        <f>SUM(B32:B40)</f>
        <v>19046</v>
      </c>
      <c r="C41" s="39"/>
      <c r="D41" s="215">
        <f>SUM(D32:D40)</f>
        <v>19046</v>
      </c>
      <c r="E41" s="21"/>
    </row>
    <row r="42" spans="1:5" ht="12.75">
      <c r="A42" s="173"/>
      <c r="B42" s="215"/>
      <c r="C42" s="39"/>
      <c r="D42" s="215"/>
      <c r="E42" s="20"/>
    </row>
    <row r="43" spans="1:9" ht="68.25" customHeight="1">
      <c r="A43" s="301" t="s">
        <v>23</v>
      </c>
      <c r="B43" s="309"/>
      <c r="C43" s="309"/>
      <c r="D43" s="309"/>
      <c r="E43" s="309"/>
      <c r="F43" s="309"/>
      <c r="G43" s="309"/>
      <c r="H43" s="309"/>
      <c r="I43" s="310"/>
    </row>
    <row r="47" spans="1:2" ht="15.75">
      <c r="A47" s="90" t="s">
        <v>687</v>
      </c>
      <c r="B47" s="2"/>
    </row>
    <row r="48" spans="1:13" ht="15.75">
      <c r="A48" s="4" t="s">
        <v>681</v>
      </c>
      <c r="B48" s="121">
        <v>1940</v>
      </c>
      <c r="C48" s="172"/>
      <c r="D48" s="50"/>
      <c r="E48" s="75"/>
      <c r="F48" s="50"/>
      <c r="G48" s="50"/>
      <c r="H48" s="50"/>
      <c r="I48" s="50"/>
      <c r="J48" s="50"/>
      <c r="K48" s="110"/>
      <c r="M48" s="36"/>
    </row>
    <row r="49" spans="1:13" ht="25.5" customHeight="1">
      <c r="A49" s="28" t="s">
        <v>430</v>
      </c>
      <c r="B49" s="304" t="s">
        <v>910</v>
      </c>
      <c r="C49" s="311"/>
      <c r="D49" s="312"/>
      <c r="E49" s="76" t="s">
        <v>897</v>
      </c>
      <c r="F49" s="304" t="s">
        <v>400</v>
      </c>
      <c r="G49" s="305"/>
      <c r="H49" s="75" t="s">
        <v>6</v>
      </c>
      <c r="I49" s="5"/>
      <c r="J49" s="5"/>
      <c r="K49" s="46"/>
      <c r="M49" s="232"/>
    </row>
    <row r="50" spans="1:13" ht="22.5">
      <c r="A50" s="7"/>
      <c r="B50" s="7" t="s">
        <v>789</v>
      </c>
      <c r="C50" s="8" t="s">
        <v>790</v>
      </c>
      <c r="D50" s="9" t="s">
        <v>791</v>
      </c>
      <c r="E50" s="71"/>
      <c r="F50" s="7" t="s">
        <v>305</v>
      </c>
      <c r="G50" s="9" t="s">
        <v>306</v>
      </c>
      <c r="H50" s="8" t="s">
        <v>431</v>
      </c>
      <c r="I50" s="8" t="s">
        <v>423</v>
      </c>
      <c r="J50" s="8" t="s">
        <v>424</v>
      </c>
      <c r="K50" s="44" t="s">
        <v>428</v>
      </c>
      <c r="M50" s="15"/>
    </row>
    <row r="51" spans="1:13" ht="23.25" customHeight="1">
      <c r="A51" s="28" t="s">
        <v>885</v>
      </c>
      <c r="B51" s="136">
        <v>51.65</v>
      </c>
      <c r="C51" s="100">
        <v>51.65</v>
      </c>
      <c r="D51" s="100">
        <v>51.65</v>
      </c>
      <c r="E51" s="224">
        <v>5</v>
      </c>
      <c r="F51" s="130">
        <f>$C$15</f>
        <v>40</v>
      </c>
      <c r="G51" s="131">
        <f>$D$15</f>
        <v>60</v>
      </c>
      <c r="H51" s="5"/>
      <c r="I51" s="40"/>
      <c r="J51" s="40" t="s">
        <v>412</v>
      </c>
      <c r="K51" s="6" t="s">
        <v>878</v>
      </c>
      <c r="M51" s="135"/>
    </row>
    <row r="52" spans="1:13" ht="25.5" customHeight="1">
      <c r="A52" s="10" t="s">
        <v>682</v>
      </c>
      <c r="B52" s="94">
        <v>26.13</v>
      </c>
      <c r="C52" s="13">
        <v>20</v>
      </c>
      <c r="D52" s="13">
        <v>26.13</v>
      </c>
      <c r="E52" s="120">
        <v>4</v>
      </c>
      <c r="F52" s="130">
        <v>60</v>
      </c>
      <c r="G52" s="131">
        <v>80</v>
      </c>
      <c r="H52" s="11"/>
      <c r="I52" s="40"/>
      <c r="J52" s="40" t="s">
        <v>411</v>
      </c>
      <c r="K52" s="12" t="s">
        <v>494</v>
      </c>
      <c r="M52" s="135"/>
    </row>
    <row r="53" spans="1:13" ht="24" customHeight="1">
      <c r="A53" s="10" t="s">
        <v>683</v>
      </c>
      <c r="B53" s="132">
        <v>8.74</v>
      </c>
      <c r="C53" s="135">
        <v>15</v>
      </c>
      <c r="D53" s="135">
        <v>6</v>
      </c>
      <c r="E53" s="228">
        <v>8</v>
      </c>
      <c r="F53" s="135">
        <v>25</v>
      </c>
      <c r="G53" s="133">
        <v>35</v>
      </c>
      <c r="H53" s="11"/>
      <c r="I53" s="40"/>
      <c r="J53" s="40" t="s">
        <v>537</v>
      </c>
      <c r="K53" s="12" t="s">
        <v>493</v>
      </c>
      <c r="M53" s="135"/>
    </row>
    <row r="54" spans="1:13" ht="24" customHeight="1">
      <c r="A54" s="10" t="s">
        <v>684</v>
      </c>
      <c r="B54" s="132">
        <v>4.74</v>
      </c>
      <c r="C54" s="135">
        <v>4.61</v>
      </c>
      <c r="D54" s="135">
        <v>5</v>
      </c>
      <c r="E54" s="120">
        <v>1</v>
      </c>
      <c r="F54" s="13">
        <f>$C$12</f>
        <v>97</v>
      </c>
      <c r="G54" s="14">
        <f>$D$12</f>
        <v>99</v>
      </c>
      <c r="H54" s="11"/>
      <c r="I54" s="40"/>
      <c r="J54" s="45" t="s">
        <v>411</v>
      </c>
      <c r="K54" s="12" t="s">
        <v>492</v>
      </c>
      <c r="M54" s="135"/>
    </row>
    <row r="55" spans="1:13" ht="15" customHeight="1">
      <c r="A55" s="10" t="s">
        <v>685</v>
      </c>
      <c r="B55" s="132">
        <v>5.5</v>
      </c>
      <c r="C55" s="135">
        <v>5.5</v>
      </c>
      <c r="D55" s="135">
        <v>5.5</v>
      </c>
      <c r="E55" s="228">
        <v>1</v>
      </c>
      <c r="F55" s="13">
        <f>$C$12</f>
        <v>97</v>
      </c>
      <c r="G55" s="14">
        <f>$D$12</f>
        <v>99</v>
      </c>
      <c r="H55" s="11"/>
      <c r="I55" s="40"/>
      <c r="J55" s="45" t="s">
        <v>411</v>
      </c>
      <c r="K55" s="12" t="s">
        <v>491</v>
      </c>
      <c r="M55" s="135"/>
    </row>
    <row r="56" spans="1:13" ht="24" customHeight="1">
      <c r="A56" s="10" t="s">
        <v>686</v>
      </c>
      <c r="B56" s="132">
        <v>3.24</v>
      </c>
      <c r="C56" s="135">
        <v>3.24</v>
      </c>
      <c r="D56" s="135">
        <v>5.72</v>
      </c>
      <c r="E56" s="228">
        <v>1</v>
      </c>
      <c r="F56" s="13">
        <f>$C$12</f>
        <v>97</v>
      </c>
      <c r="G56" s="14">
        <f>$D$12</f>
        <v>99</v>
      </c>
      <c r="H56" s="11"/>
      <c r="I56" s="40"/>
      <c r="J56" s="45" t="s">
        <v>411</v>
      </c>
      <c r="K56" s="12" t="s">
        <v>5</v>
      </c>
      <c r="M56" s="135"/>
    </row>
    <row r="57" spans="1:13" ht="12.75">
      <c r="A57" s="10" t="s">
        <v>368</v>
      </c>
      <c r="B57" s="94">
        <f>SUM(B51:B56)</f>
        <v>99.99999999999999</v>
      </c>
      <c r="C57" s="13">
        <f>SUM(C51:C56)</f>
        <v>100</v>
      </c>
      <c r="D57" s="13">
        <f>SUM(D51:D56)</f>
        <v>100</v>
      </c>
      <c r="E57" s="120"/>
      <c r="F57" s="13"/>
      <c r="G57" s="14"/>
      <c r="H57" s="11"/>
      <c r="I57" s="11"/>
      <c r="J57" s="11"/>
      <c r="K57" s="12"/>
      <c r="M57" s="135"/>
    </row>
    <row r="58" spans="1:13" ht="22.5">
      <c r="A58" s="231" t="s">
        <v>20</v>
      </c>
      <c r="B58" s="13"/>
      <c r="C58" s="13"/>
      <c r="D58" s="13"/>
      <c r="E58" s="120"/>
      <c r="F58" s="207">
        <f>SUMPRODUCT(B51:B56,F51:F56)/100</f>
        <v>51.5986</v>
      </c>
      <c r="G58" s="230">
        <f>SUMPRODUCT(B51:B56,G51:G56)/100</f>
        <v>68.2982</v>
      </c>
      <c r="H58" s="11"/>
      <c r="I58" s="11"/>
      <c r="J58" s="11"/>
      <c r="K58" s="12"/>
      <c r="M58" s="135"/>
    </row>
    <row r="59" spans="1:13" ht="12.75">
      <c r="A59" s="231" t="s">
        <v>21</v>
      </c>
      <c r="B59" s="13"/>
      <c r="C59" s="13"/>
      <c r="D59" s="13"/>
      <c r="E59" s="120"/>
      <c r="F59" s="207">
        <f>SUMPRODUCT(C51:C56,F51:F56)/100</f>
        <v>49.3595</v>
      </c>
      <c r="G59" s="230">
        <f>SUMPRODUCT(C51:C56,G51:G56)/100</f>
        <v>65.4565</v>
      </c>
      <c r="H59" s="11"/>
      <c r="I59" s="11"/>
      <c r="J59" s="11"/>
      <c r="K59" s="12"/>
      <c r="M59" s="135"/>
    </row>
    <row r="60" spans="1:13" ht="12.75">
      <c r="A60" s="123" t="s">
        <v>22</v>
      </c>
      <c r="B60" s="13"/>
      <c r="C60" s="13"/>
      <c r="D60" s="13"/>
      <c r="E60" s="120"/>
      <c r="F60" s="207">
        <f>SUMPRODUCT(D51:D56,F51:F56)/100</f>
        <v>53.571400000000004</v>
      </c>
      <c r="G60" s="230">
        <f>SUMPRODUCT(D51:D56,G51:G56)/100</f>
        <v>70.0518</v>
      </c>
      <c r="H60" s="11"/>
      <c r="I60" s="11"/>
      <c r="J60" s="11"/>
      <c r="K60" s="12"/>
      <c r="M60" s="135"/>
    </row>
    <row r="61" spans="1:13" ht="12.75">
      <c r="A61" s="125" t="s">
        <v>796</v>
      </c>
      <c r="B61" s="177"/>
      <c r="C61" s="177"/>
      <c r="D61" s="177"/>
      <c r="E61" s="225"/>
      <c r="F61" s="124">
        <f>MIN(F58:F60)</f>
        <v>49.3595</v>
      </c>
      <c r="G61" s="115">
        <f>MAX(G58:G60)</f>
        <v>70.0518</v>
      </c>
      <c r="H61" s="8"/>
      <c r="I61" s="8"/>
      <c r="J61" s="8"/>
      <c r="K61" s="9"/>
      <c r="M61" s="135"/>
    </row>
    <row r="62" spans="1:5" ht="12.75">
      <c r="A62" s="181" t="s">
        <v>907</v>
      </c>
      <c r="B62" s="5"/>
      <c r="C62" s="182" t="s">
        <v>908</v>
      </c>
      <c r="D62" s="183"/>
      <c r="E62" s="213"/>
    </row>
    <row r="63" spans="1:5" ht="12.75">
      <c r="A63" s="31" t="s">
        <v>898</v>
      </c>
      <c r="B63" s="30">
        <f>SUMIF($E$51:$E$56,"1",$B$51:$B$56)</f>
        <v>13.48</v>
      </c>
      <c r="C63" s="122">
        <v>1</v>
      </c>
      <c r="D63" s="216">
        <f>B63+B64+B68</f>
        <v>13.48</v>
      </c>
      <c r="E63" s="47"/>
    </row>
    <row r="64" spans="1:5" ht="12.75">
      <c r="A64" s="31" t="s">
        <v>903</v>
      </c>
      <c r="B64" s="30">
        <f>SUMIF($E$51:$E$56,"2",$B$51:$B$56)</f>
        <v>0</v>
      </c>
      <c r="C64" s="122">
        <v>2</v>
      </c>
      <c r="D64" s="216">
        <f>B69</f>
        <v>0</v>
      </c>
      <c r="E64" s="47"/>
    </row>
    <row r="65" spans="1:5" ht="12.75">
      <c r="A65" s="31" t="s">
        <v>902</v>
      </c>
      <c r="B65" s="30">
        <f>SUMIF($E$51:$E$56,"3",$B$51:$B$56)</f>
        <v>0</v>
      </c>
      <c r="C65" s="122">
        <v>3</v>
      </c>
      <c r="D65" s="216">
        <f>B65</f>
        <v>0</v>
      </c>
      <c r="E65" s="47"/>
    </row>
    <row r="66" spans="1:5" ht="12" customHeight="1">
      <c r="A66" s="31" t="s">
        <v>904</v>
      </c>
      <c r="B66" s="30">
        <f>SUMIF($E$51:$E$56,"4",$B$51:$B$56)</f>
        <v>26.13</v>
      </c>
      <c r="C66" s="122">
        <v>4</v>
      </c>
      <c r="D66" s="216">
        <f>B66</f>
        <v>26.13</v>
      </c>
      <c r="E66" s="47"/>
    </row>
    <row r="67" spans="1:5" ht="12" customHeight="1">
      <c r="A67" s="31" t="s">
        <v>905</v>
      </c>
      <c r="B67" s="30">
        <f>SUMIF($E$51:$E$56,"5",$B$51:$B$56)</f>
        <v>51.65</v>
      </c>
      <c r="C67" s="122">
        <v>5</v>
      </c>
      <c r="D67" s="216">
        <f>B67</f>
        <v>51.65</v>
      </c>
      <c r="E67" s="47"/>
    </row>
    <row r="68" spans="1:5" ht="12.75">
      <c r="A68" s="31" t="s">
        <v>900</v>
      </c>
      <c r="B68" s="30">
        <f>SUMIF($E$51:$E$56,"6",$B$51:$B$56)</f>
        <v>0</v>
      </c>
      <c r="C68" s="122">
        <v>6</v>
      </c>
      <c r="D68" s="216">
        <f>B70</f>
        <v>8.74</v>
      </c>
      <c r="E68" s="47"/>
    </row>
    <row r="69" spans="1:5" ht="12.75">
      <c r="A69" s="31" t="s">
        <v>899</v>
      </c>
      <c r="B69" s="30">
        <f>SUMIF($E$51:$E$56,"7",$B$51:$B$56)</f>
        <v>0</v>
      </c>
      <c r="C69" s="122">
        <v>7</v>
      </c>
      <c r="D69" s="216">
        <f>B71</f>
        <v>0</v>
      </c>
      <c r="E69" s="47"/>
    </row>
    <row r="70" spans="1:5" ht="12.75">
      <c r="A70" s="31" t="s">
        <v>901</v>
      </c>
      <c r="B70" s="30">
        <f>SUMIF($E$51:$E$56,"8",$B$51:$B$56)</f>
        <v>8.74</v>
      </c>
      <c r="C70" s="36"/>
      <c r="D70" s="221"/>
      <c r="E70" s="47"/>
    </row>
    <row r="71" spans="1:5" ht="12.75">
      <c r="A71" s="31" t="s">
        <v>906</v>
      </c>
      <c r="B71" s="30">
        <f>SUMIF($E$51:$E$56,"9",$B$51:$B$56)</f>
        <v>0</v>
      </c>
      <c r="C71" s="36"/>
      <c r="D71" s="217"/>
      <c r="E71" s="16"/>
    </row>
    <row r="72" spans="1:5" ht="12.75">
      <c r="A72" s="173" t="s">
        <v>368</v>
      </c>
      <c r="B72" s="215">
        <f>SUM(B63:B71)</f>
        <v>99.99999999999999</v>
      </c>
      <c r="C72" s="39"/>
      <c r="D72" s="215">
        <f>SUM(D63:D71)</f>
        <v>99.99999999999999</v>
      </c>
      <c r="E72" s="21"/>
    </row>
    <row r="74" spans="1:9" ht="117.75" customHeight="1">
      <c r="A74" s="301" t="s">
        <v>26</v>
      </c>
      <c r="B74" s="309"/>
      <c r="C74" s="309"/>
      <c r="D74" s="309"/>
      <c r="E74" s="309"/>
      <c r="F74" s="309"/>
      <c r="G74" s="309"/>
      <c r="H74" s="309"/>
      <c r="I74" s="310"/>
    </row>
  </sheetData>
  <mergeCells count="5">
    <mergeCell ref="D21:E21"/>
    <mergeCell ref="F49:G49"/>
    <mergeCell ref="A74:I74"/>
    <mergeCell ref="B49:D49"/>
    <mergeCell ref="A43:I43"/>
  </mergeCells>
  <printOptions/>
  <pageMargins left="0.75" right="0.75" top="1" bottom="1" header="0" footer="0"/>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2:O104"/>
  <sheetViews>
    <sheetView workbookViewId="0" topLeftCell="A16">
      <selection activeCell="I98" sqref="I98"/>
    </sheetView>
  </sheetViews>
  <sheetFormatPr defaultColWidth="9.140625" defaultRowHeight="12.75"/>
  <cols>
    <col min="1" max="1" width="27.00390625" style="0" customWidth="1"/>
    <col min="2" max="2" width="6.421875" style="0" customWidth="1"/>
    <col min="3" max="3" width="6.140625" style="0" customWidth="1"/>
    <col min="4" max="4" width="6.421875" style="0" customWidth="1"/>
    <col min="5" max="5" width="5.8515625" style="0" customWidth="1"/>
    <col min="6" max="6" width="6.8515625" style="0" customWidth="1"/>
    <col min="7" max="8" width="9.00390625" style="0" customWidth="1"/>
    <col min="9" max="9" width="11.140625" style="0" customWidth="1"/>
    <col min="10" max="10" width="9.57421875" style="0" customWidth="1"/>
    <col min="11" max="11" width="57.421875" style="0" customWidth="1"/>
    <col min="12" max="12" width="6.7109375" style="0" customWidth="1"/>
    <col min="13" max="13" width="6.8515625" style="0" customWidth="1"/>
    <col min="14" max="14" width="10.57421875" style="0" customWidth="1"/>
    <col min="15" max="15" width="9.57421875" style="0" customWidth="1"/>
    <col min="16" max="16" width="47.8515625" style="0" customWidth="1"/>
  </cols>
  <sheetData>
    <row r="2" ht="20.25">
      <c r="A2" s="64" t="s">
        <v>689</v>
      </c>
    </row>
    <row r="3" ht="15">
      <c r="A3" s="65" t="s">
        <v>19</v>
      </c>
    </row>
    <row r="6" spans="3:6" ht="12.75">
      <c r="C6" s="67" t="s">
        <v>425</v>
      </c>
      <c r="D6" s="68"/>
      <c r="E6" s="68"/>
      <c r="F6" s="51"/>
    </row>
    <row r="7" spans="1:7" ht="12.75">
      <c r="A7" s="2"/>
      <c r="B7" s="2"/>
      <c r="C7" s="144">
        <f>Charts!$D$12</f>
        <v>45</v>
      </c>
      <c r="D7" s="75"/>
      <c r="E7" s="45" t="s">
        <v>890</v>
      </c>
      <c r="F7" s="42"/>
      <c r="G7" s="2"/>
    </row>
    <row r="8" spans="1:7" ht="12.75">
      <c r="A8" s="2"/>
      <c r="B8" s="2"/>
      <c r="C8" s="144">
        <f>Charts!$D$13</f>
        <v>30</v>
      </c>
      <c r="D8" s="45"/>
      <c r="E8" s="45" t="s">
        <v>889</v>
      </c>
      <c r="F8" s="42"/>
      <c r="G8" s="2"/>
    </row>
    <row r="9" spans="1:7" ht="12.75">
      <c r="A9" s="2"/>
      <c r="B9" s="2"/>
      <c r="C9" s="52" t="s">
        <v>305</v>
      </c>
      <c r="D9" s="49" t="s">
        <v>306</v>
      </c>
      <c r="E9" s="45"/>
      <c r="F9" s="42"/>
      <c r="G9" s="2"/>
    </row>
    <row r="10" spans="1:7" ht="12.75">
      <c r="A10" s="2"/>
      <c r="B10" s="2"/>
      <c r="C10" s="144">
        <f>Charts!$D$15</f>
        <v>0</v>
      </c>
      <c r="D10" s="143">
        <f>Charts!$E$15</f>
        <v>5</v>
      </c>
      <c r="E10" s="45" t="s">
        <v>303</v>
      </c>
      <c r="F10" s="42"/>
      <c r="G10" s="2"/>
    </row>
    <row r="11" spans="1:7" ht="12.75">
      <c r="A11" s="2"/>
      <c r="B11" s="2"/>
      <c r="C11" s="144">
        <f>Charts!$D$16</f>
        <v>97</v>
      </c>
      <c r="D11" s="143">
        <f>Charts!$E$16</f>
        <v>99</v>
      </c>
      <c r="E11" s="45" t="s">
        <v>410</v>
      </c>
      <c r="F11" s="42"/>
      <c r="G11" s="2"/>
    </row>
    <row r="12" spans="1:7" ht="12.75">
      <c r="A12" s="2"/>
      <c r="B12" s="2"/>
      <c r="C12" s="144">
        <f>Charts!$D$17</f>
        <v>97</v>
      </c>
      <c r="D12" s="143">
        <f>Charts!$E$17</f>
        <v>99</v>
      </c>
      <c r="E12" s="45" t="s">
        <v>411</v>
      </c>
      <c r="F12" s="69"/>
      <c r="G12" s="2"/>
    </row>
    <row r="13" spans="1:7" ht="12.75">
      <c r="A13" s="2"/>
      <c r="B13" s="2"/>
      <c r="C13" s="144">
        <f>Charts!$D$18</f>
        <v>75</v>
      </c>
      <c r="D13" s="143">
        <f>Charts!$E$18</f>
        <v>85</v>
      </c>
      <c r="E13" s="45" t="s">
        <v>408</v>
      </c>
      <c r="F13" s="42"/>
      <c r="G13" s="2"/>
    </row>
    <row r="14" spans="1:7" ht="12.75">
      <c r="A14" s="2"/>
      <c r="B14" s="2"/>
      <c r="C14" s="144">
        <f>Charts!$D$19</f>
        <v>0</v>
      </c>
      <c r="D14" s="143">
        <f>Charts!$E$19</f>
        <v>20</v>
      </c>
      <c r="E14" s="45" t="s">
        <v>409</v>
      </c>
      <c r="F14" s="42"/>
      <c r="G14" s="2"/>
    </row>
    <row r="15" spans="1:7" ht="12.75">
      <c r="A15" s="2"/>
      <c r="B15" s="2"/>
      <c r="C15" s="144">
        <f>Charts!$D$20</f>
        <v>40</v>
      </c>
      <c r="D15" s="143">
        <f>Charts!$E$20</f>
        <v>60</v>
      </c>
      <c r="E15" s="45" t="s">
        <v>412</v>
      </c>
      <c r="F15" s="42"/>
      <c r="G15" s="2"/>
    </row>
    <row r="16" spans="3:6" ht="12.75">
      <c r="C16" s="145">
        <f>Charts!$D$21</f>
        <v>65</v>
      </c>
      <c r="D16" s="59">
        <f>Charts!$E$21</f>
        <v>85</v>
      </c>
      <c r="E16" s="43" t="s">
        <v>873</v>
      </c>
      <c r="F16" s="48"/>
    </row>
    <row r="19" spans="1:10" ht="15.75">
      <c r="A19" s="90" t="s">
        <v>690</v>
      </c>
      <c r="B19" s="2"/>
      <c r="C19" s="2"/>
      <c r="D19" s="2"/>
      <c r="E19" s="33"/>
      <c r="F19" s="2"/>
      <c r="G19" s="2"/>
      <c r="H19" s="2"/>
      <c r="I19" s="2"/>
      <c r="J19" s="2"/>
    </row>
    <row r="20" spans="1:15" ht="15.75">
      <c r="A20" s="4" t="s">
        <v>691</v>
      </c>
      <c r="B20" s="63">
        <v>1950</v>
      </c>
      <c r="C20" s="75"/>
      <c r="D20" s="58"/>
      <c r="E20" s="27"/>
      <c r="F20" s="50"/>
      <c r="G20" s="27"/>
      <c r="H20" s="27"/>
      <c r="I20" s="27"/>
      <c r="J20" s="37"/>
      <c r="K20" s="37"/>
      <c r="L20" s="37"/>
      <c r="M20" s="37"/>
      <c r="N20" s="171"/>
      <c r="O20" s="36"/>
    </row>
    <row r="21" spans="1:15" ht="22.5" customHeight="1">
      <c r="A21" s="28" t="s">
        <v>430</v>
      </c>
      <c r="B21" s="5" t="s">
        <v>370</v>
      </c>
      <c r="C21" s="76" t="s">
        <v>897</v>
      </c>
      <c r="D21" s="304" t="s">
        <v>400</v>
      </c>
      <c r="E21" s="305"/>
      <c r="F21" s="57" t="s">
        <v>6</v>
      </c>
      <c r="G21" s="5"/>
      <c r="H21" s="5"/>
      <c r="I21" s="5"/>
      <c r="J21" s="37"/>
      <c r="K21" s="37"/>
      <c r="L21" s="37"/>
      <c r="M21" s="37"/>
      <c r="N21" s="171"/>
      <c r="O21" s="36"/>
    </row>
    <row r="22" spans="1:15" ht="22.5">
      <c r="A22" s="7"/>
      <c r="B22" s="8"/>
      <c r="C22" s="71"/>
      <c r="D22" s="7" t="s">
        <v>305</v>
      </c>
      <c r="E22" s="9" t="s">
        <v>306</v>
      </c>
      <c r="F22" s="7" t="s">
        <v>431</v>
      </c>
      <c r="G22" s="8" t="s">
        <v>423</v>
      </c>
      <c r="H22" s="8" t="s">
        <v>424</v>
      </c>
      <c r="I22" s="49" t="s">
        <v>428</v>
      </c>
      <c r="J22" s="39"/>
      <c r="K22" s="39"/>
      <c r="L22" s="39"/>
      <c r="M22" s="39"/>
      <c r="N22" s="171"/>
      <c r="O22" s="36"/>
    </row>
    <row r="23" spans="1:15" ht="24" customHeight="1">
      <c r="A23" s="28" t="s">
        <v>692</v>
      </c>
      <c r="B23" s="6">
        <v>20000</v>
      </c>
      <c r="C23" s="76">
        <f>IF($B$20-F23&gt;=$C$7,6,7)</f>
        <v>7</v>
      </c>
      <c r="D23" s="130">
        <f>MAX($C$13,MIN($C$11,($C$13+($C$11-$C$13)*($B$20-F23)/$C$8)))</f>
        <v>97</v>
      </c>
      <c r="E23" s="131">
        <f>MAX($D$13,MIN($D$11,($D$13+($D$11-$D$13)*($B$20-F23)/$C$8)))</f>
        <v>99</v>
      </c>
      <c r="F23" s="108">
        <v>1920</v>
      </c>
      <c r="G23" s="5" t="s">
        <v>124</v>
      </c>
      <c r="H23" s="5" t="s">
        <v>408</v>
      </c>
      <c r="I23" s="75" t="s">
        <v>697</v>
      </c>
      <c r="J23" s="36"/>
      <c r="K23" s="36"/>
      <c r="L23" s="36"/>
      <c r="M23" s="36"/>
      <c r="N23" s="171"/>
      <c r="O23" s="36"/>
    </row>
    <row r="24" spans="1:15" ht="12.75">
      <c r="A24" s="10" t="s">
        <v>693</v>
      </c>
      <c r="B24" s="12">
        <v>8500</v>
      </c>
      <c r="C24" s="70">
        <v>1</v>
      </c>
      <c r="D24" s="135">
        <f>$C$12</f>
        <v>97</v>
      </c>
      <c r="E24" s="133">
        <f>$D$12</f>
        <v>99</v>
      </c>
      <c r="F24" s="109"/>
      <c r="G24" s="11"/>
      <c r="H24" s="45" t="s">
        <v>411</v>
      </c>
      <c r="I24" s="45" t="s">
        <v>696</v>
      </c>
      <c r="J24" s="36"/>
      <c r="K24" s="36"/>
      <c r="L24" s="36"/>
      <c r="M24" s="36"/>
      <c r="N24" s="171"/>
      <c r="O24" s="36"/>
    </row>
    <row r="25" spans="1:15" ht="12.75">
      <c r="A25" s="10" t="s">
        <v>694</v>
      </c>
      <c r="B25" s="12">
        <v>8500</v>
      </c>
      <c r="C25" s="70">
        <v>1</v>
      </c>
      <c r="D25" s="135">
        <f>$C$12</f>
        <v>97</v>
      </c>
      <c r="E25" s="133">
        <f>$D$12</f>
        <v>99</v>
      </c>
      <c r="F25" s="109"/>
      <c r="G25" s="11"/>
      <c r="H25" s="45" t="s">
        <v>411</v>
      </c>
      <c r="I25" s="45" t="s">
        <v>178</v>
      </c>
      <c r="J25" s="36"/>
      <c r="K25" s="36"/>
      <c r="L25" s="36"/>
      <c r="M25" s="36"/>
      <c r="N25" s="171"/>
      <c r="O25" s="36"/>
    </row>
    <row r="26" spans="1:15" ht="12.75">
      <c r="A26" s="10" t="s">
        <v>700</v>
      </c>
      <c r="B26" s="12">
        <v>1000</v>
      </c>
      <c r="C26" s="70">
        <v>1</v>
      </c>
      <c r="D26" s="135">
        <f>$C$12</f>
        <v>97</v>
      </c>
      <c r="E26" s="133">
        <f>$D$12</f>
        <v>99</v>
      </c>
      <c r="F26" s="11"/>
      <c r="G26" s="11"/>
      <c r="H26" s="45" t="s">
        <v>411</v>
      </c>
      <c r="I26" s="45" t="s">
        <v>143</v>
      </c>
      <c r="J26" s="36"/>
      <c r="K26" s="36"/>
      <c r="L26" s="36"/>
      <c r="M26" s="36"/>
      <c r="N26" s="171"/>
      <c r="O26" s="36"/>
    </row>
    <row r="27" spans="1:15" ht="12.75">
      <c r="A27" s="10" t="s">
        <v>701</v>
      </c>
      <c r="B27" s="12">
        <v>700</v>
      </c>
      <c r="C27" s="70">
        <v>1</v>
      </c>
      <c r="D27" s="135">
        <f>$C$12</f>
        <v>97</v>
      </c>
      <c r="E27" s="133">
        <f>$D$12</f>
        <v>99</v>
      </c>
      <c r="F27" s="11"/>
      <c r="G27" s="11"/>
      <c r="H27" s="45" t="s">
        <v>411</v>
      </c>
      <c r="I27" s="45" t="s">
        <v>696</v>
      </c>
      <c r="J27" s="36"/>
      <c r="K27" s="36"/>
      <c r="L27" s="36"/>
      <c r="M27" s="36"/>
      <c r="N27" s="171"/>
      <c r="O27" s="36"/>
    </row>
    <row r="28" spans="1:15" ht="22.5">
      <c r="A28" s="10" t="s">
        <v>702</v>
      </c>
      <c r="B28" s="12">
        <v>7300</v>
      </c>
      <c r="C28" s="70">
        <v>9</v>
      </c>
      <c r="D28" s="13">
        <v>85</v>
      </c>
      <c r="E28" s="14">
        <v>95</v>
      </c>
      <c r="F28" s="11"/>
      <c r="G28" s="11"/>
      <c r="H28" s="11"/>
      <c r="I28" s="45" t="s">
        <v>862</v>
      </c>
      <c r="J28" s="36"/>
      <c r="K28" s="36"/>
      <c r="L28" s="36"/>
      <c r="M28" s="36"/>
      <c r="N28" s="171"/>
      <c r="O28" s="36"/>
    </row>
    <row r="29" spans="1:15" ht="12.75">
      <c r="A29" s="10" t="s">
        <v>368</v>
      </c>
      <c r="B29" s="12">
        <f>SUM(B23:B28)</f>
        <v>46000</v>
      </c>
      <c r="C29" s="70"/>
      <c r="D29" s="97">
        <f>SUMPRODUCT(B23:B28,D23:D28)/100</f>
        <v>43744</v>
      </c>
      <c r="E29" s="107">
        <f>SUMPRODUCT(B23:B28,E23:E28)/100</f>
        <v>45248</v>
      </c>
      <c r="F29" s="11"/>
      <c r="G29" s="11"/>
      <c r="H29" s="11"/>
      <c r="I29" s="45"/>
      <c r="J29" s="36"/>
      <c r="K29" s="36"/>
      <c r="L29" s="36"/>
      <c r="M29" s="36"/>
      <c r="N29" s="171"/>
      <c r="O29" s="36"/>
    </row>
    <row r="30" spans="1:15" ht="22.5">
      <c r="A30" s="17" t="s">
        <v>369</v>
      </c>
      <c r="B30" s="9"/>
      <c r="C30" s="66"/>
      <c r="D30" s="18">
        <f>100*D29/B29</f>
        <v>95.09565217391304</v>
      </c>
      <c r="E30" s="19">
        <f>100*E29/B29</f>
        <v>98.36521739130434</v>
      </c>
      <c r="F30" s="7"/>
      <c r="G30" s="8"/>
      <c r="H30" s="8"/>
      <c r="I30" s="49"/>
      <c r="J30" s="39"/>
      <c r="K30" s="39"/>
      <c r="L30" s="39"/>
      <c r="M30" s="39"/>
      <c r="N30" s="171"/>
      <c r="O30" s="36"/>
    </row>
    <row r="31" spans="1:15" ht="12" customHeight="1">
      <c r="A31" s="181" t="s">
        <v>907</v>
      </c>
      <c r="B31" s="5"/>
      <c r="C31" s="182" t="s">
        <v>908</v>
      </c>
      <c r="D31" s="183"/>
      <c r="E31" s="213"/>
      <c r="F31" s="15"/>
      <c r="G31" s="11"/>
      <c r="H31" s="11"/>
      <c r="I31" s="45"/>
      <c r="J31" s="36"/>
      <c r="K31" s="36"/>
      <c r="L31" s="36"/>
      <c r="M31" s="36"/>
      <c r="N31" s="36"/>
      <c r="O31" s="36"/>
    </row>
    <row r="32" spans="1:15" ht="12.75">
      <c r="A32" s="31" t="s">
        <v>898</v>
      </c>
      <c r="B32" s="30">
        <f>SUMIF($C$23:$C$28,"1",$B$23:$B$28)</f>
        <v>18700</v>
      </c>
      <c r="C32" s="122">
        <v>1</v>
      </c>
      <c r="D32" s="216">
        <f>B32+B33+B37</f>
        <v>18700</v>
      </c>
      <c r="E32" s="47"/>
      <c r="F32" s="15"/>
      <c r="G32" s="11"/>
      <c r="H32" s="11"/>
      <c r="I32" s="45"/>
      <c r="J32" s="36"/>
      <c r="K32" s="36"/>
      <c r="L32" s="36"/>
      <c r="M32" s="36"/>
      <c r="N32" s="36"/>
      <c r="O32" s="36"/>
    </row>
    <row r="33" spans="1:15" ht="11.25" customHeight="1">
      <c r="A33" s="31" t="s">
        <v>903</v>
      </c>
      <c r="B33" s="30">
        <f>SUMIF($C$23:$C$28,"2",$B$23:$B$28)</f>
        <v>0</v>
      </c>
      <c r="C33" s="122">
        <v>2</v>
      </c>
      <c r="D33" s="216">
        <f>B38</f>
        <v>20000</v>
      </c>
      <c r="E33" s="47"/>
      <c r="F33" s="15"/>
      <c r="G33" s="11"/>
      <c r="H33" s="11"/>
      <c r="I33" s="45"/>
      <c r="J33" s="36"/>
      <c r="K33" s="36"/>
      <c r="L33" s="36"/>
      <c r="M33" s="36"/>
      <c r="N33" s="36"/>
      <c r="O33" s="36"/>
    </row>
    <row r="34" spans="1:15" ht="12" customHeight="1">
      <c r="A34" s="31" t="s">
        <v>902</v>
      </c>
      <c r="B34" s="30">
        <f>SUMIF($C$23:$C$28,"3",$B$23:$B$28)</f>
        <v>0</v>
      </c>
      <c r="C34" s="122">
        <v>3</v>
      </c>
      <c r="D34" s="216">
        <f>B34</f>
        <v>0</v>
      </c>
      <c r="E34" s="47"/>
      <c r="F34" s="15"/>
      <c r="G34" s="11"/>
      <c r="H34" s="11"/>
      <c r="I34" s="45"/>
      <c r="J34" s="36"/>
      <c r="K34" s="36"/>
      <c r="L34" s="36"/>
      <c r="M34" s="36"/>
      <c r="N34" s="36"/>
      <c r="O34" s="36"/>
    </row>
    <row r="35" spans="1:15" ht="12.75" customHeight="1">
      <c r="A35" s="31" t="s">
        <v>904</v>
      </c>
      <c r="B35" s="30">
        <f>SUMIF($C$23:$C$28,"4",$B$23:$B$28)</f>
        <v>0</v>
      </c>
      <c r="C35" s="122">
        <v>4</v>
      </c>
      <c r="D35" s="216">
        <f>B35</f>
        <v>0</v>
      </c>
      <c r="E35" s="47"/>
      <c r="F35" s="15"/>
      <c r="G35" s="11"/>
      <c r="H35" s="11"/>
      <c r="I35" s="45"/>
      <c r="J35" s="36"/>
      <c r="K35" s="36"/>
      <c r="L35" s="36"/>
      <c r="M35" s="36"/>
      <c r="N35" s="36"/>
      <c r="O35" s="36"/>
    </row>
    <row r="36" spans="1:15" ht="12" customHeight="1">
      <c r="A36" s="31" t="s">
        <v>905</v>
      </c>
      <c r="B36" s="30">
        <f>SUMIF($C$23:$C$28,"5",$B$23:$B$28)</f>
        <v>0</v>
      </c>
      <c r="C36" s="122">
        <v>5</v>
      </c>
      <c r="D36" s="216">
        <f>B36</f>
        <v>0</v>
      </c>
      <c r="E36" s="47"/>
      <c r="F36" s="15"/>
      <c r="G36" s="11"/>
      <c r="H36" s="11"/>
      <c r="I36" s="45"/>
      <c r="J36" s="36"/>
      <c r="K36" s="36"/>
      <c r="L36" s="36"/>
      <c r="M36" s="36"/>
      <c r="N36" s="36"/>
      <c r="O36" s="36"/>
    </row>
    <row r="37" spans="1:15" ht="12.75">
      <c r="A37" s="31" t="s">
        <v>900</v>
      </c>
      <c r="B37" s="30">
        <f>SUMIF($C$23:$C$28,"6",$B$23:$B$28)</f>
        <v>0</v>
      </c>
      <c r="C37" s="122">
        <v>6</v>
      </c>
      <c r="D37" s="216">
        <f>B39</f>
        <v>0</v>
      </c>
      <c r="E37" s="47"/>
      <c r="F37" s="15"/>
      <c r="G37" s="11"/>
      <c r="H37" s="11"/>
      <c r="I37" s="45"/>
      <c r="J37" s="36"/>
      <c r="K37" s="36"/>
      <c r="L37" s="36"/>
      <c r="M37" s="36"/>
      <c r="N37" s="36"/>
      <c r="O37" s="36"/>
    </row>
    <row r="38" spans="1:15" ht="12.75">
      <c r="A38" s="31" t="s">
        <v>899</v>
      </c>
      <c r="B38" s="30">
        <f>SUMIF($C$23:$C$28,"7",$B$23:$B$28)</f>
        <v>20000</v>
      </c>
      <c r="C38" s="122">
        <v>7</v>
      </c>
      <c r="D38" s="216">
        <f>B40</f>
        <v>7300</v>
      </c>
      <c r="E38" s="47"/>
      <c r="F38" s="15"/>
      <c r="G38" s="11"/>
      <c r="H38" s="11"/>
      <c r="I38" s="45"/>
      <c r="J38" s="36"/>
      <c r="K38" s="36"/>
      <c r="L38" s="36"/>
      <c r="M38" s="36"/>
      <c r="N38" s="36"/>
      <c r="O38" s="36"/>
    </row>
    <row r="39" spans="1:15" ht="12.75">
      <c r="A39" s="31" t="s">
        <v>901</v>
      </c>
      <c r="B39" s="30">
        <f>SUMIF($C$23:$C$28,"8",$B$23:$B$28)</f>
        <v>0</v>
      </c>
      <c r="C39" s="36"/>
      <c r="D39" s="221"/>
      <c r="E39" s="47"/>
      <c r="F39" s="15"/>
      <c r="G39" s="11"/>
      <c r="H39" s="11"/>
      <c r="I39" s="45"/>
      <c r="J39" s="36"/>
      <c r="K39" s="36"/>
      <c r="L39" s="36"/>
      <c r="M39" s="36"/>
      <c r="N39" s="36"/>
      <c r="O39" s="36"/>
    </row>
    <row r="40" spans="1:15" ht="12.75">
      <c r="A40" s="31" t="s">
        <v>906</v>
      </c>
      <c r="B40" s="30">
        <f>SUMIF($C$23:$C$28,"9",$B$23:$B$28)</f>
        <v>7300</v>
      </c>
      <c r="C40" s="36"/>
      <c r="D40" s="217"/>
      <c r="E40" s="16"/>
      <c r="F40" s="15"/>
      <c r="G40" s="11"/>
      <c r="H40" s="11"/>
      <c r="I40" s="45"/>
      <c r="J40" s="36"/>
      <c r="K40" s="36"/>
      <c r="L40" s="36"/>
      <c r="M40" s="36"/>
      <c r="N40" s="36"/>
      <c r="O40" s="36"/>
    </row>
    <row r="41" spans="1:15" ht="12.75">
      <c r="A41" s="173" t="s">
        <v>368</v>
      </c>
      <c r="B41" s="215">
        <f>SUM(B32:B40)</f>
        <v>46000</v>
      </c>
      <c r="C41" s="39"/>
      <c r="D41" s="215">
        <f>SUM(D32:D40)</f>
        <v>46000</v>
      </c>
      <c r="E41" s="21"/>
      <c r="F41" s="15"/>
      <c r="G41" s="11"/>
      <c r="H41" s="11"/>
      <c r="I41" s="45"/>
      <c r="J41" s="36"/>
      <c r="K41" s="36"/>
      <c r="L41" s="36"/>
      <c r="M41" s="36"/>
      <c r="N41" s="36"/>
      <c r="O41" s="36"/>
    </row>
    <row r="42" spans="1:15" ht="12.75">
      <c r="A42" s="15"/>
      <c r="B42" s="15"/>
      <c r="C42" s="15"/>
      <c r="D42" s="135"/>
      <c r="E42" s="135"/>
      <c r="F42" s="15"/>
      <c r="G42" s="11"/>
      <c r="H42" s="11"/>
      <c r="I42" s="45"/>
      <c r="J42" s="36"/>
      <c r="K42" s="36"/>
      <c r="L42" s="36"/>
      <c r="M42" s="36"/>
      <c r="N42" s="36"/>
      <c r="O42" s="36"/>
    </row>
    <row r="43" spans="1:9" ht="57" customHeight="1">
      <c r="A43" s="301" t="s">
        <v>24</v>
      </c>
      <c r="B43" s="309"/>
      <c r="C43" s="309"/>
      <c r="D43" s="309"/>
      <c r="E43" s="309"/>
      <c r="F43" s="309"/>
      <c r="G43" s="309"/>
      <c r="H43" s="309"/>
      <c r="I43" s="310"/>
    </row>
    <row r="47" spans="1:10" ht="15.75">
      <c r="A47" s="90" t="s">
        <v>699</v>
      </c>
      <c r="B47" s="2"/>
      <c r="C47" s="2"/>
      <c r="D47" s="2"/>
      <c r="E47" s="33"/>
      <c r="F47" s="2"/>
      <c r="G47" s="2"/>
      <c r="H47" s="2"/>
      <c r="I47" s="2"/>
      <c r="J47" s="2"/>
    </row>
    <row r="48" spans="1:15" ht="15.75">
      <c r="A48" s="4" t="s">
        <v>691</v>
      </c>
      <c r="B48" s="63">
        <v>1936</v>
      </c>
      <c r="C48" s="75"/>
      <c r="D48" s="58"/>
      <c r="E48" s="27"/>
      <c r="F48" s="50"/>
      <c r="G48" s="27"/>
      <c r="H48" s="27"/>
      <c r="I48" s="27"/>
      <c r="J48" s="50"/>
      <c r="K48" s="50"/>
      <c r="L48" s="50"/>
      <c r="M48" s="50"/>
      <c r="N48" s="171"/>
      <c r="O48" s="36"/>
    </row>
    <row r="49" spans="1:15" ht="22.5" customHeight="1">
      <c r="A49" s="28" t="s">
        <v>430</v>
      </c>
      <c r="B49" s="5" t="s">
        <v>370</v>
      </c>
      <c r="C49" s="76" t="s">
        <v>897</v>
      </c>
      <c r="D49" s="304" t="s">
        <v>400</v>
      </c>
      <c r="E49" s="305"/>
      <c r="F49" s="57" t="s">
        <v>6</v>
      </c>
      <c r="G49" s="5"/>
      <c r="H49" s="5"/>
      <c r="I49" s="5"/>
      <c r="J49" s="37"/>
      <c r="K49" s="37"/>
      <c r="L49" s="37"/>
      <c r="M49" s="37"/>
      <c r="N49" s="171"/>
      <c r="O49" s="36"/>
    </row>
    <row r="50" spans="1:15" ht="22.5">
      <c r="A50" s="7"/>
      <c r="B50" s="8"/>
      <c r="C50" s="71"/>
      <c r="D50" s="7" t="s">
        <v>305</v>
      </c>
      <c r="E50" s="9" t="s">
        <v>306</v>
      </c>
      <c r="F50" s="7" t="s">
        <v>431</v>
      </c>
      <c r="G50" s="8" t="s">
        <v>423</v>
      </c>
      <c r="H50" s="8" t="s">
        <v>424</v>
      </c>
      <c r="I50" s="49" t="s">
        <v>428</v>
      </c>
      <c r="J50" s="39"/>
      <c r="K50" s="39"/>
      <c r="L50" s="39"/>
      <c r="M50" s="39"/>
      <c r="N50" s="171"/>
      <c r="O50" s="36"/>
    </row>
    <row r="51" spans="1:15" ht="33.75">
      <c r="A51" s="28" t="s">
        <v>692</v>
      </c>
      <c r="B51" s="6">
        <v>4693</v>
      </c>
      <c r="C51" s="76">
        <f>IF($B$48-F51&gt;=$C$7,6,7)</f>
        <v>7</v>
      </c>
      <c r="D51" s="130">
        <f>MAX($C$13,MIN($C$11,($C$13+($C$11-$C$13)*($B$48-F51)/$C$8)))</f>
        <v>86.73333333333333</v>
      </c>
      <c r="E51" s="131">
        <f>MAX($D$13,MIN($D$11,($D$13+($D$11-$D$13)*($B$48-F51)/$C$8)))</f>
        <v>92.46666666666667</v>
      </c>
      <c r="F51" s="108">
        <v>1920</v>
      </c>
      <c r="G51" s="5" t="s">
        <v>124</v>
      </c>
      <c r="H51" s="5" t="s">
        <v>408</v>
      </c>
      <c r="I51" s="75" t="s">
        <v>697</v>
      </c>
      <c r="J51" s="36"/>
      <c r="K51" s="36"/>
      <c r="L51" s="36"/>
      <c r="M51" s="36"/>
      <c r="N51" s="171"/>
      <c r="O51" s="36"/>
    </row>
    <row r="52" spans="1:15" ht="12.75">
      <c r="A52" s="10" t="s">
        <v>693</v>
      </c>
      <c r="B52" s="12">
        <v>3576</v>
      </c>
      <c r="C52" s="70">
        <v>1</v>
      </c>
      <c r="D52" s="135">
        <f>$C$12</f>
        <v>97</v>
      </c>
      <c r="E52" s="133">
        <f>$D$12</f>
        <v>99</v>
      </c>
      <c r="F52" s="109"/>
      <c r="G52" s="11"/>
      <c r="H52" s="45" t="s">
        <v>411</v>
      </c>
      <c r="I52" s="45" t="s">
        <v>696</v>
      </c>
      <c r="J52" s="36"/>
      <c r="K52" s="36"/>
      <c r="L52" s="36"/>
      <c r="M52" s="36"/>
      <c r="N52" s="171"/>
      <c r="O52" s="36"/>
    </row>
    <row r="53" spans="1:15" ht="12.75">
      <c r="A53" s="10" t="s">
        <v>694</v>
      </c>
      <c r="B53" s="12">
        <v>799</v>
      </c>
      <c r="C53" s="70">
        <v>1</v>
      </c>
      <c r="D53" s="135">
        <f>$C$12</f>
        <v>97</v>
      </c>
      <c r="E53" s="133">
        <f>$D$12</f>
        <v>99</v>
      </c>
      <c r="F53" s="109"/>
      <c r="G53" s="11"/>
      <c r="H53" s="45" t="s">
        <v>411</v>
      </c>
      <c r="I53" s="45" t="s">
        <v>178</v>
      </c>
      <c r="J53" s="36"/>
      <c r="K53" s="36"/>
      <c r="L53" s="36"/>
      <c r="M53" s="36"/>
      <c r="N53" s="171"/>
      <c r="O53" s="36"/>
    </row>
    <row r="54" spans="1:15" ht="12.75">
      <c r="A54" s="10" t="s">
        <v>695</v>
      </c>
      <c r="B54" s="12">
        <v>744</v>
      </c>
      <c r="C54" s="70">
        <v>1</v>
      </c>
      <c r="D54" s="135">
        <f>$C$12-7</f>
        <v>90</v>
      </c>
      <c r="E54" s="133">
        <f>$D$12-5</f>
        <v>94</v>
      </c>
      <c r="F54" s="109"/>
      <c r="G54" s="11"/>
      <c r="H54" s="45" t="s">
        <v>411</v>
      </c>
      <c r="I54" s="45" t="s">
        <v>698</v>
      </c>
      <c r="J54" s="36"/>
      <c r="K54" s="36"/>
      <c r="L54" s="36"/>
      <c r="M54" s="36"/>
      <c r="N54" s="171"/>
      <c r="O54" s="36"/>
    </row>
    <row r="55" spans="1:15" ht="12.75">
      <c r="A55" s="10" t="s">
        <v>806</v>
      </c>
      <c r="B55" s="12">
        <v>800</v>
      </c>
      <c r="C55" s="70">
        <v>1</v>
      </c>
      <c r="D55" s="135">
        <f>$C$12</f>
        <v>97</v>
      </c>
      <c r="E55" s="133">
        <f>$D$12</f>
        <v>99</v>
      </c>
      <c r="F55" s="109"/>
      <c r="G55" s="11"/>
      <c r="H55" s="45" t="s">
        <v>411</v>
      </c>
      <c r="I55" s="45" t="s">
        <v>120</v>
      </c>
      <c r="J55" s="36"/>
      <c r="K55" s="36"/>
      <c r="L55" s="36"/>
      <c r="M55" s="36"/>
      <c r="N55" s="171"/>
      <c r="O55" s="36"/>
    </row>
    <row r="56" spans="1:15" ht="24" customHeight="1">
      <c r="A56" s="10" t="s">
        <v>807</v>
      </c>
      <c r="B56" s="12">
        <v>666</v>
      </c>
      <c r="C56" s="70">
        <v>9</v>
      </c>
      <c r="D56" s="13">
        <v>72</v>
      </c>
      <c r="E56" s="14">
        <v>84</v>
      </c>
      <c r="F56" s="109"/>
      <c r="G56" s="11"/>
      <c r="H56" s="11"/>
      <c r="I56" s="45" t="s">
        <v>862</v>
      </c>
      <c r="J56" s="36"/>
      <c r="K56" s="36"/>
      <c r="L56" s="36"/>
      <c r="M56" s="36"/>
      <c r="N56" s="171"/>
      <c r="O56" s="36"/>
    </row>
    <row r="57" spans="1:15" ht="12.75">
      <c r="A57" s="10" t="s">
        <v>368</v>
      </c>
      <c r="B57" s="12">
        <f>SUM(B51:B56)</f>
        <v>11278</v>
      </c>
      <c r="C57" s="70"/>
      <c r="D57" s="97">
        <f>SUMPRODUCT(B51:B56,D51:D56)/100</f>
        <v>10239.265333333333</v>
      </c>
      <c r="E57" s="107">
        <f>SUMPRODUCT(B51:B56,E51:E56)/100</f>
        <v>10721.510666666667</v>
      </c>
      <c r="F57" s="109"/>
      <c r="G57" s="11"/>
      <c r="H57" s="11"/>
      <c r="I57" s="45"/>
      <c r="J57" s="36"/>
      <c r="K57" s="36"/>
      <c r="L57" s="36"/>
      <c r="M57" s="36"/>
      <c r="N57" s="171"/>
      <c r="O57" s="36"/>
    </row>
    <row r="58" spans="1:15" ht="22.5">
      <c r="A58" s="17" t="s">
        <v>369</v>
      </c>
      <c r="B58" s="9"/>
      <c r="C58" s="66"/>
      <c r="D58" s="18">
        <f>100*D57/B57</f>
        <v>90.7897263108116</v>
      </c>
      <c r="E58" s="19">
        <f>100*E57/B57</f>
        <v>95.06570905006798</v>
      </c>
      <c r="F58" s="7"/>
      <c r="G58" s="8"/>
      <c r="H58" s="8"/>
      <c r="I58" s="49"/>
      <c r="J58" s="39"/>
      <c r="K58" s="39"/>
      <c r="L58" s="39"/>
      <c r="M58" s="39"/>
      <c r="N58" s="171"/>
      <c r="O58" s="36"/>
    </row>
    <row r="59" spans="1:15" ht="12.75">
      <c r="A59" s="181" t="s">
        <v>907</v>
      </c>
      <c r="B59" s="5"/>
      <c r="C59" s="182" t="s">
        <v>908</v>
      </c>
      <c r="D59" s="183"/>
      <c r="E59" s="213"/>
      <c r="F59" s="11"/>
      <c r="G59" s="11"/>
      <c r="H59" s="11"/>
      <c r="I59" s="45"/>
      <c r="J59" s="36"/>
      <c r="K59" s="36"/>
      <c r="L59" s="36"/>
      <c r="M59" s="36"/>
      <c r="N59" s="36"/>
      <c r="O59" s="36"/>
    </row>
    <row r="60" spans="1:15" ht="12.75">
      <c r="A60" s="31" t="s">
        <v>898</v>
      </c>
      <c r="B60" s="30">
        <f>SUMIF($C$51:$C$56,"1",$B$51:$B$56)</f>
        <v>5919</v>
      </c>
      <c r="C60" s="122">
        <v>1</v>
      </c>
      <c r="D60" s="216">
        <f>B60+B61+B65</f>
        <v>5919</v>
      </c>
      <c r="E60" s="47"/>
      <c r="F60" s="11"/>
      <c r="G60" s="11"/>
      <c r="H60" s="11"/>
      <c r="I60" s="45"/>
      <c r="J60" s="36"/>
      <c r="K60" s="36"/>
      <c r="L60" s="36"/>
      <c r="M60" s="36"/>
      <c r="N60" s="36"/>
      <c r="O60" s="36"/>
    </row>
    <row r="61" spans="1:15" ht="12.75">
      <c r="A61" s="31" t="s">
        <v>903</v>
      </c>
      <c r="B61" s="30">
        <f>SUMIF($C$51:$C$56,"2",$B$51:$B$56)</f>
        <v>0</v>
      </c>
      <c r="C61" s="122">
        <v>2</v>
      </c>
      <c r="D61" s="216">
        <f>B66</f>
        <v>4693</v>
      </c>
      <c r="E61" s="47"/>
      <c r="F61" s="11"/>
      <c r="G61" s="11"/>
      <c r="H61" s="11"/>
      <c r="I61" s="45"/>
      <c r="J61" s="36"/>
      <c r="K61" s="36"/>
      <c r="L61" s="36"/>
      <c r="M61" s="36"/>
      <c r="N61" s="36"/>
      <c r="O61" s="36"/>
    </row>
    <row r="62" spans="1:15" ht="22.5">
      <c r="A62" s="31" t="s">
        <v>902</v>
      </c>
      <c r="B62" s="30">
        <f>SUMIF($C$51:$C$56,"3",$B$51:$B$56)</f>
        <v>0</v>
      </c>
      <c r="C62" s="122">
        <v>3</v>
      </c>
      <c r="D62" s="216">
        <f>B62</f>
        <v>0</v>
      </c>
      <c r="E62" s="47"/>
      <c r="F62" s="11"/>
      <c r="G62" s="11"/>
      <c r="H62" s="11"/>
      <c r="I62" s="45"/>
      <c r="J62" s="36"/>
      <c r="K62" s="36"/>
      <c r="L62" s="36"/>
      <c r="M62" s="36"/>
      <c r="N62" s="36"/>
      <c r="O62" s="36"/>
    </row>
    <row r="63" spans="1:15" ht="33.75">
      <c r="A63" s="31" t="s">
        <v>904</v>
      </c>
      <c r="B63" s="30">
        <f>SUMIF($C$51:$C$56,"4",$B$51:$B$56)</f>
        <v>0</v>
      </c>
      <c r="C63" s="122">
        <v>4</v>
      </c>
      <c r="D63" s="216">
        <f>B63</f>
        <v>0</v>
      </c>
      <c r="E63" s="47"/>
      <c r="F63" s="11"/>
      <c r="G63" s="11"/>
      <c r="H63" s="11"/>
      <c r="I63" s="45"/>
      <c r="J63" s="36"/>
      <c r="K63" s="36"/>
      <c r="L63" s="36"/>
      <c r="M63" s="36"/>
      <c r="N63" s="36"/>
      <c r="O63" s="36"/>
    </row>
    <row r="64" spans="1:15" ht="12.75">
      <c r="A64" s="31" t="s">
        <v>905</v>
      </c>
      <c r="B64" s="30">
        <f>SUMIF($C$51:$C$56,"5",$B$51:$B$56)</f>
        <v>0</v>
      </c>
      <c r="C64" s="122">
        <v>5</v>
      </c>
      <c r="D64" s="216">
        <f>B64</f>
        <v>0</v>
      </c>
      <c r="E64" s="47"/>
      <c r="F64" s="11"/>
      <c r="G64" s="11"/>
      <c r="H64" s="11"/>
      <c r="I64" s="45"/>
      <c r="J64" s="36"/>
      <c r="K64" s="36"/>
      <c r="L64" s="36"/>
      <c r="M64" s="36"/>
      <c r="N64" s="36"/>
      <c r="O64" s="36"/>
    </row>
    <row r="65" spans="1:15" ht="12.75">
      <c r="A65" s="31" t="s">
        <v>900</v>
      </c>
      <c r="B65" s="30">
        <f>SUMIF($C$51:$C$56,"6",$B$51:$B$56)</f>
        <v>0</v>
      </c>
      <c r="C65" s="122">
        <v>6</v>
      </c>
      <c r="D65" s="216">
        <f>B67</f>
        <v>0</v>
      </c>
      <c r="E65" s="47"/>
      <c r="F65" s="11"/>
      <c r="G65" s="11"/>
      <c r="H65" s="11"/>
      <c r="I65" s="45"/>
      <c r="J65" s="36"/>
      <c r="K65" s="36"/>
      <c r="L65" s="36"/>
      <c r="M65" s="36"/>
      <c r="N65" s="36"/>
      <c r="O65" s="36"/>
    </row>
    <row r="66" spans="1:15" ht="12.75">
      <c r="A66" s="31" t="s">
        <v>899</v>
      </c>
      <c r="B66" s="30">
        <f>SUMIF($C$51:$C$56,"7",$B$51:$B$56)</f>
        <v>4693</v>
      </c>
      <c r="C66" s="122">
        <v>7</v>
      </c>
      <c r="D66" s="216">
        <f>B68</f>
        <v>666</v>
      </c>
      <c r="E66" s="47"/>
      <c r="F66" s="11"/>
      <c r="G66" s="11"/>
      <c r="H66" s="11"/>
      <c r="I66" s="45"/>
      <c r="J66" s="36"/>
      <c r="K66" s="36"/>
      <c r="L66" s="36"/>
      <c r="M66" s="36"/>
      <c r="N66" s="36"/>
      <c r="O66" s="36"/>
    </row>
    <row r="67" spans="1:15" ht="12.75">
      <c r="A67" s="31" t="s">
        <v>901</v>
      </c>
      <c r="B67" s="30">
        <f>SUMIF($C$51:$C$56,"8",$B$51:$B$56)</f>
        <v>0</v>
      </c>
      <c r="C67" s="36"/>
      <c r="D67" s="221"/>
      <c r="E67" s="47"/>
      <c r="F67" s="11"/>
      <c r="G67" s="11"/>
      <c r="H67" s="11"/>
      <c r="I67" s="45"/>
      <c r="J67" s="36"/>
      <c r="K67" s="36"/>
      <c r="L67" s="36"/>
      <c r="M67" s="36"/>
      <c r="N67" s="36"/>
      <c r="O67" s="36"/>
    </row>
    <row r="68" spans="1:15" ht="12.75">
      <c r="A68" s="31" t="s">
        <v>906</v>
      </c>
      <c r="B68" s="30">
        <f>SUMIF($C$51:$C$56,"9",$B$51:$B$56)</f>
        <v>666</v>
      </c>
      <c r="C68" s="36"/>
      <c r="D68" s="217"/>
      <c r="E68" s="16"/>
      <c r="F68" s="11"/>
      <c r="G68" s="11"/>
      <c r="H68" s="11"/>
      <c r="I68" s="45"/>
      <c r="J68" s="36"/>
      <c r="K68" s="36"/>
      <c r="L68" s="36"/>
      <c r="M68" s="36"/>
      <c r="N68" s="36"/>
      <c r="O68" s="36"/>
    </row>
    <row r="69" spans="1:15" ht="12.75">
      <c r="A69" s="173" t="s">
        <v>368</v>
      </c>
      <c r="B69" s="215">
        <f>SUM(B60:B68)</f>
        <v>11278</v>
      </c>
      <c r="C69" s="39"/>
      <c r="D69" s="215">
        <f>SUM(D60:D68)</f>
        <v>11278</v>
      </c>
      <c r="E69" s="21"/>
      <c r="F69" s="11"/>
      <c r="G69" s="11"/>
      <c r="H69" s="11"/>
      <c r="I69" s="45"/>
      <c r="J69" s="36"/>
      <c r="K69" s="36"/>
      <c r="L69" s="36"/>
      <c r="M69" s="36"/>
      <c r="N69" s="36"/>
      <c r="O69" s="36"/>
    </row>
    <row r="71" spans="1:9" ht="55.5" customHeight="1">
      <c r="A71" s="301" t="s">
        <v>25</v>
      </c>
      <c r="B71" s="309"/>
      <c r="C71" s="309"/>
      <c r="D71" s="309"/>
      <c r="E71" s="309"/>
      <c r="F71" s="309"/>
      <c r="G71" s="309"/>
      <c r="H71" s="309"/>
      <c r="I71" s="310"/>
    </row>
    <row r="75" spans="1:2" ht="15.75">
      <c r="A75" s="90" t="s">
        <v>808</v>
      </c>
      <c r="B75" s="2"/>
    </row>
    <row r="76" spans="1:14" ht="15.75">
      <c r="A76" s="4" t="s">
        <v>691</v>
      </c>
      <c r="B76" s="121">
        <v>1923</v>
      </c>
      <c r="C76" s="172"/>
      <c r="D76" s="50"/>
      <c r="E76" s="75"/>
      <c r="F76" s="50"/>
      <c r="G76" s="50"/>
      <c r="H76" s="50"/>
      <c r="I76" s="50"/>
      <c r="J76" s="50"/>
      <c r="K76" s="110"/>
      <c r="M76" s="22"/>
      <c r="N76" s="22"/>
    </row>
    <row r="77" spans="1:14" ht="22.5" customHeight="1">
      <c r="A77" s="28" t="s">
        <v>430</v>
      </c>
      <c r="B77" s="304" t="s">
        <v>788</v>
      </c>
      <c r="C77" s="311"/>
      <c r="D77" s="312"/>
      <c r="E77" s="76" t="s">
        <v>897</v>
      </c>
      <c r="F77" s="304" t="s">
        <v>400</v>
      </c>
      <c r="G77" s="305"/>
      <c r="H77" s="57" t="s">
        <v>6</v>
      </c>
      <c r="I77" s="5"/>
      <c r="J77" s="5"/>
      <c r="K77" s="46"/>
      <c r="M77" s="232"/>
      <c r="N77" s="22"/>
    </row>
    <row r="78" spans="1:14" ht="22.5">
      <c r="A78" s="7"/>
      <c r="B78" s="7" t="s">
        <v>789</v>
      </c>
      <c r="C78" s="8" t="s">
        <v>790</v>
      </c>
      <c r="D78" s="9" t="s">
        <v>791</v>
      </c>
      <c r="E78" s="71"/>
      <c r="F78" s="7" t="s">
        <v>305</v>
      </c>
      <c r="G78" s="9" t="s">
        <v>306</v>
      </c>
      <c r="H78" s="7" t="s">
        <v>431</v>
      </c>
      <c r="I78" s="8" t="s">
        <v>423</v>
      </c>
      <c r="J78" s="8" t="s">
        <v>424</v>
      </c>
      <c r="K78" s="44" t="s">
        <v>428</v>
      </c>
      <c r="M78" s="15"/>
      <c r="N78" s="22"/>
    </row>
    <row r="79" spans="1:14" ht="12.75" customHeight="1">
      <c r="A79" s="10" t="s">
        <v>884</v>
      </c>
      <c r="B79" s="108">
        <v>1000</v>
      </c>
      <c r="C79" s="114">
        <v>1000</v>
      </c>
      <c r="D79" s="114">
        <v>1000</v>
      </c>
      <c r="E79" s="224">
        <f>IF($B$76-H79&gt;=$C$7,2,IF($B$76-H79&gt;=$C$7*2/3,3,IF($B$76-H79&gt;=$C$7*1/3,4,5)))</f>
        <v>4</v>
      </c>
      <c r="F79" s="130">
        <f>MAX($C$15,MIN($C$11,($C$15+($C$11-$C$15)*($B$76-H79)/$C$8)))</f>
        <v>83.7</v>
      </c>
      <c r="G79" s="131">
        <f>MAX($D$15,MIN($D$11,($D$15+($D$11-$D$15)*($B$76-H79)/$C$8)))</f>
        <v>89.9</v>
      </c>
      <c r="H79" s="5">
        <v>1900</v>
      </c>
      <c r="I79" s="5" t="s">
        <v>427</v>
      </c>
      <c r="J79" s="5" t="s">
        <v>412</v>
      </c>
      <c r="K79" s="6" t="s">
        <v>863</v>
      </c>
      <c r="M79" s="217"/>
      <c r="N79" s="22"/>
    </row>
    <row r="80" spans="1:14" ht="12" customHeight="1">
      <c r="A80" s="10" t="s">
        <v>806</v>
      </c>
      <c r="B80" s="109">
        <v>600</v>
      </c>
      <c r="C80" s="97">
        <v>600</v>
      </c>
      <c r="D80" s="97">
        <v>600</v>
      </c>
      <c r="E80" s="228">
        <v>1</v>
      </c>
      <c r="F80" s="13">
        <f>$C$12</f>
        <v>97</v>
      </c>
      <c r="G80" s="14">
        <f>$D$12</f>
        <v>99</v>
      </c>
      <c r="H80" s="11"/>
      <c r="I80" s="11"/>
      <c r="J80" s="45" t="s">
        <v>411</v>
      </c>
      <c r="K80" s="12" t="s">
        <v>120</v>
      </c>
      <c r="M80" s="217"/>
      <c r="N80" s="22"/>
    </row>
    <row r="81" spans="1:14" ht="13.5" customHeight="1">
      <c r="A81" s="10" t="s">
        <v>885</v>
      </c>
      <c r="B81" s="111">
        <v>120</v>
      </c>
      <c r="C81" s="122">
        <v>120</v>
      </c>
      <c r="D81" s="122">
        <v>120</v>
      </c>
      <c r="E81" s="120">
        <f>IF($B$76-H81&gt;=$C$7,2,IF($B$76-H81&gt;=$C$7*2/3,3,IF($B$76-H81&gt;=$C$7*1/3,4,5)))</f>
        <v>2</v>
      </c>
      <c r="F81" s="130">
        <f>$C$15</f>
        <v>40</v>
      </c>
      <c r="G81" s="131">
        <f>$D$15</f>
        <v>60</v>
      </c>
      <c r="H81" s="11"/>
      <c r="I81" s="11"/>
      <c r="J81" s="11" t="s">
        <v>412</v>
      </c>
      <c r="K81" s="12" t="s">
        <v>780</v>
      </c>
      <c r="M81" s="217"/>
      <c r="N81" s="22"/>
    </row>
    <row r="82" spans="1:14" ht="23.25" customHeight="1">
      <c r="A82" s="10" t="s">
        <v>692</v>
      </c>
      <c r="B82" s="111">
        <v>4926</v>
      </c>
      <c r="C82" s="122">
        <v>5000</v>
      </c>
      <c r="D82" s="122">
        <v>4223</v>
      </c>
      <c r="E82" s="70">
        <f>IF($B$76-H82&gt;=$C$7,6,7)</f>
        <v>7</v>
      </c>
      <c r="F82" s="130">
        <f>MAX($C$13,MIN($C$11,($C$13+($C$11-$C$13)*($B$76-H82)/$C$8)))</f>
        <v>77.2</v>
      </c>
      <c r="G82" s="131">
        <f>MAX($D$13,MIN($D$11,($D$13+($D$11-$D$13)*($B$76-H82)/$C$8)))</f>
        <v>86.4</v>
      </c>
      <c r="H82" s="40">
        <v>1920</v>
      </c>
      <c r="I82" s="11" t="s">
        <v>124</v>
      </c>
      <c r="J82" s="11" t="s">
        <v>408</v>
      </c>
      <c r="K82" s="12" t="s">
        <v>697</v>
      </c>
      <c r="M82" s="217"/>
      <c r="N82" s="22"/>
    </row>
    <row r="83" spans="1:14" ht="12" customHeight="1">
      <c r="A83" s="10" t="s">
        <v>693</v>
      </c>
      <c r="B83" s="111">
        <v>3754</v>
      </c>
      <c r="C83" s="122">
        <v>3060</v>
      </c>
      <c r="D83" s="122">
        <v>3217</v>
      </c>
      <c r="E83" s="228">
        <v>1</v>
      </c>
      <c r="F83" s="13">
        <f>$C$12</f>
        <v>97</v>
      </c>
      <c r="G83" s="14">
        <f>$D$12</f>
        <v>99</v>
      </c>
      <c r="H83" s="11"/>
      <c r="I83" s="11"/>
      <c r="J83" s="45" t="s">
        <v>411</v>
      </c>
      <c r="K83" s="12" t="s">
        <v>696</v>
      </c>
      <c r="M83" s="217"/>
      <c r="N83" s="22"/>
    </row>
    <row r="84" spans="1:14" ht="22.5" customHeight="1">
      <c r="A84" s="10" t="s">
        <v>886</v>
      </c>
      <c r="B84" s="111">
        <v>2800</v>
      </c>
      <c r="C84" s="122">
        <v>2340</v>
      </c>
      <c r="D84" s="122">
        <v>1920</v>
      </c>
      <c r="E84" s="228">
        <v>1</v>
      </c>
      <c r="F84" s="13">
        <f>$C$12</f>
        <v>97</v>
      </c>
      <c r="G84" s="14">
        <f>$D$12</f>
        <v>99</v>
      </c>
      <c r="H84" s="11"/>
      <c r="I84" s="11"/>
      <c r="J84" s="45" t="s">
        <v>411</v>
      </c>
      <c r="K84" s="12" t="s">
        <v>698</v>
      </c>
      <c r="M84" s="217"/>
      <c r="N84" s="22"/>
    </row>
    <row r="85" spans="1:14" ht="14.25" customHeight="1">
      <c r="A85" s="10" t="s">
        <v>710</v>
      </c>
      <c r="B85" s="111">
        <v>250</v>
      </c>
      <c r="C85" s="122">
        <v>300</v>
      </c>
      <c r="D85" s="122">
        <v>150</v>
      </c>
      <c r="E85" s="120">
        <f>IF($B$76-H85&gt;=$C$7,2,IF($B$76-H85&gt;=$C$7*2/3,3,IF($B$76-H85&gt;=$C$7*1/3,4,IF($B$76-H85&gt;=0,5,8))))</f>
        <v>8</v>
      </c>
      <c r="F85" s="130">
        <f>MAX($C$10,MIN($C$11,($C$14+($C$11-$C$14)*($B$76-H85)/$C$7)))</f>
        <v>0</v>
      </c>
      <c r="G85" s="131">
        <f>MAX($D$10,MIN($D$11,($D$14+($D$11-$D$14)*($B$76-H85)/$C$7)))</f>
        <v>16.488888888888887</v>
      </c>
      <c r="H85" s="10">
        <v>1925</v>
      </c>
      <c r="I85" s="11" t="s">
        <v>426</v>
      </c>
      <c r="J85" s="11" t="s">
        <v>303</v>
      </c>
      <c r="K85" s="12" t="s">
        <v>864</v>
      </c>
      <c r="M85" s="217"/>
      <c r="N85" s="22"/>
    </row>
    <row r="86" spans="1:14" ht="24.75" customHeight="1">
      <c r="A86" s="10" t="s">
        <v>887</v>
      </c>
      <c r="B86" s="111">
        <v>550</v>
      </c>
      <c r="C86" s="122">
        <v>580</v>
      </c>
      <c r="D86" s="122">
        <v>770</v>
      </c>
      <c r="E86" s="228">
        <v>1</v>
      </c>
      <c r="F86" s="13">
        <f>$C$12</f>
        <v>97</v>
      </c>
      <c r="G86" s="14">
        <f>$D$12</f>
        <v>99</v>
      </c>
      <c r="H86" s="11"/>
      <c r="I86" s="11"/>
      <c r="J86" s="45" t="s">
        <v>411</v>
      </c>
      <c r="K86" s="12" t="s">
        <v>865</v>
      </c>
      <c r="M86" s="217"/>
      <c r="N86" s="22"/>
    </row>
    <row r="87" spans="1:14" ht="12.75">
      <c r="A87" s="10" t="s">
        <v>368</v>
      </c>
      <c r="B87" s="109">
        <f>SUM(B79:B86)</f>
        <v>14000</v>
      </c>
      <c r="C87" s="97">
        <f>SUM(C79:C86)</f>
        <v>13000</v>
      </c>
      <c r="D87" s="97">
        <f>SUM(D79:D86)</f>
        <v>12000</v>
      </c>
      <c r="E87" s="70"/>
      <c r="F87" s="13"/>
      <c r="G87" s="14"/>
      <c r="H87" s="11"/>
      <c r="I87" s="11"/>
      <c r="J87" s="11"/>
      <c r="K87" s="12"/>
      <c r="M87" s="217"/>
      <c r="N87" s="22"/>
    </row>
    <row r="88" spans="1:14" ht="21.75" customHeight="1">
      <c r="A88" s="231" t="s">
        <v>20</v>
      </c>
      <c r="B88" s="13"/>
      <c r="C88" s="13"/>
      <c r="D88" s="13"/>
      <c r="E88" s="120"/>
      <c r="F88" s="207">
        <f>SUMPRODUCT(B79:B86,F79:F86)/B87</f>
        <v>86.86251428571428</v>
      </c>
      <c r="G88" s="230">
        <f>SUMPRODUCT(B79:B86,G79:G86)/B87</f>
        <v>92.10890158730159</v>
      </c>
      <c r="H88" s="11"/>
      <c r="I88" s="11"/>
      <c r="J88" s="11"/>
      <c r="K88" s="12"/>
      <c r="M88" s="135"/>
      <c r="N88" s="22"/>
    </row>
    <row r="89" spans="1:14" ht="12.75">
      <c r="A89" s="231" t="s">
        <v>21</v>
      </c>
      <c r="B89" s="13"/>
      <c r="C89" s="13"/>
      <c r="D89" s="13"/>
      <c r="E89" s="120"/>
      <c r="F89" s="207">
        <f>SUMPRODUCT(C79:C86,F79:F86)/C87</f>
        <v>85.59692307692308</v>
      </c>
      <c r="G89" s="230">
        <f>SUMPRODUCT(C79:C86,G79:G86)/C87</f>
        <v>91.1897435897436</v>
      </c>
      <c r="H89" s="11"/>
      <c r="I89" s="11"/>
      <c r="J89" s="11"/>
      <c r="K89" s="12"/>
      <c r="M89" s="135"/>
      <c r="N89" s="22"/>
    </row>
    <row r="90" spans="1:14" ht="12.75">
      <c r="A90" s="123" t="s">
        <v>22</v>
      </c>
      <c r="B90" s="13"/>
      <c r="C90" s="13"/>
      <c r="D90" s="13"/>
      <c r="E90" s="120"/>
      <c r="F90" s="207">
        <f>SUMPRODUCT(D79:D86,F79:F86)/D87</f>
        <v>87.14121666666668</v>
      </c>
      <c r="G90" s="230">
        <f>SUMPRODUCT(D79:D86,G79:G86)/D87</f>
        <v>92.38612777777777</v>
      </c>
      <c r="H90" s="11"/>
      <c r="I90" s="11"/>
      <c r="J90" s="11"/>
      <c r="K90" s="12"/>
      <c r="M90" s="135"/>
      <c r="N90" s="22"/>
    </row>
    <row r="91" spans="1:14" ht="12.75" customHeight="1">
      <c r="A91" s="125" t="s">
        <v>796</v>
      </c>
      <c r="B91" s="177"/>
      <c r="C91" s="177"/>
      <c r="D91" s="177"/>
      <c r="E91" s="225"/>
      <c r="F91" s="124">
        <f>MIN(F88:F90)</f>
        <v>85.59692307692308</v>
      </c>
      <c r="G91" s="115">
        <f>MAX(G88:G90)</f>
        <v>92.38612777777777</v>
      </c>
      <c r="H91" s="8"/>
      <c r="I91" s="8"/>
      <c r="J91" s="8"/>
      <c r="K91" s="9"/>
      <c r="M91" s="15"/>
      <c r="N91" s="22"/>
    </row>
    <row r="92" spans="1:14" ht="12.75" customHeight="1">
      <c r="A92" s="181" t="s">
        <v>907</v>
      </c>
      <c r="B92" s="5"/>
      <c r="C92" s="182" t="s">
        <v>908</v>
      </c>
      <c r="D92" s="183"/>
      <c r="E92" s="213"/>
      <c r="F92" s="135"/>
      <c r="G92" s="135"/>
      <c r="H92" s="11"/>
      <c r="I92" s="11"/>
      <c r="J92" s="11"/>
      <c r="K92" s="11"/>
      <c r="M92" s="15"/>
      <c r="N92" s="22"/>
    </row>
    <row r="93" spans="1:14" ht="12.75" customHeight="1">
      <c r="A93" s="31" t="s">
        <v>898</v>
      </c>
      <c r="B93" s="30">
        <f>SUMIF($E$79:$E$86,"1",$B$79:$B$86)</f>
        <v>7704</v>
      </c>
      <c r="C93" s="122">
        <v>1</v>
      </c>
      <c r="D93" s="216">
        <f>B93+B94+B98</f>
        <v>7824</v>
      </c>
      <c r="E93" s="47"/>
      <c r="F93" s="135"/>
      <c r="G93" s="135"/>
      <c r="H93" s="11"/>
      <c r="I93" s="11"/>
      <c r="J93" s="11"/>
      <c r="K93" s="11"/>
      <c r="M93" s="15"/>
      <c r="N93" s="22"/>
    </row>
    <row r="94" spans="1:14" ht="12.75" customHeight="1">
      <c r="A94" s="31" t="s">
        <v>903</v>
      </c>
      <c r="B94" s="30">
        <f>SUMIF($E$79:$E$86,"2",$B$79:$B$86)</f>
        <v>120</v>
      </c>
      <c r="C94" s="122">
        <v>2</v>
      </c>
      <c r="D94" s="216">
        <f>B99</f>
        <v>4926</v>
      </c>
      <c r="E94" s="47"/>
      <c r="F94" s="135"/>
      <c r="G94" s="135"/>
      <c r="H94" s="11"/>
      <c r="I94" s="11"/>
      <c r="J94" s="11"/>
      <c r="K94" s="11"/>
      <c r="M94" s="15"/>
      <c r="N94" s="22"/>
    </row>
    <row r="95" spans="1:14" ht="12.75" customHeight="1">
      <c r="A95" s="31" t="s">
        <v>902</v>
      </c>
      <c r="B95" s="30">
        <f>SUMIF($E$79:$E$86,"3",$B$79:$B$86)</f>
        <v>0</v>
      </c>
      <c r="C95" s="122">
        <v>3</v>
      </c>
      <c r="D95" s="216">
        <f>B95</f>
        <v>0</v>
      </c>
      <c r="E95" s="47"/>
      <c r="F95" s="135"/>
      <c r="G95" s="135"/>
      <c r="H95" s="11"/>
      <c r="I95" s="11"/>
      <c r="J95" s="11"/>
      <c r="K95" s="11"/>
      <c r="M95" s="15"/>
      <c r="N95" s="22"/>
    </row>
    <row r="96" spans="1:14" ht="12" customHeight="1">
      <c r="A96" s="31" t="s">
        <v>904</v>
      </c>
      <c r="B96" s="30">
        <f>SUMIF($E$79:$E$86,"4",$B$79:$B$86)</f>
        <v>1000</v>
      </c>
      <c r="C96" s="122">
        <v>4</v>
      </c>
      <c r="D96" s="216">
        <f>B96</f>
        <v>1000</v>
      </c>
      <c r="E96" s="47"/>
      <c r="F96" s="135"/>
      <c r="G96" s="135"/>
      <c r="H96" s="11"/>
      <c r="I96" s="11"/>
      <c r="J96" s="11"/>
      <c r="K96" s="11"/>
      <c r="M96" s="15"/>
      <c r="N96" s="22"/>
    </row>
    <row r="97" spans="1:14" ht="12" customHeight="1">
      <c r="A97" s="31" t="s">
        <v>905</v>
      </c>
      <c r="B97" s="30">
        <f>SUMIF($E$79:$E$86,"5",$B$79:$B$86)</f>
        <v>0</v>
      </c>
      <c r="C97" s="122">
        <v>5</v>
      </c>
      <c r="D97" s="216">
        <f>B97</f>
        <v>0</v>
      </c>
      <c r="E97" s="47"/>
      <c r="F97" s="135"/>
      <c r="G97" s="135"/>
      <c r="H97" s="11"/>
      <c r="I97" s="11"/>
      <c r="J97" s="11"/>
      <c r="K97" s="11"/>
      <c r="M97" s="15"/>
      <c r="N97" s="22"/>
    </row>
    <row r="98" spans="1:14" ht="12.75" customHeight="1">
      <c r="A98" s="31" t="s">
        <v>900</v>
      </c>
      <c r="B98" s="30">
        <f>SUMIF($E$79:$E$86,"6",$B$79:$B$86)</f>
        <v>0</v>
      </c>
      <c r="C98" s="122">
        <v>6</v>
      </c>
      <c r="D98" s="216">
        <f>B100</f>
        <v>250</v>
      </c>
      <c r="E98" s="47"/>
      <c r="F98" s="135"/>
      <c r="G98" s="135"/>
      <c r="H98" s="11"/>
      <c r="I98" s="11"/>
      <c r="J98" s="11"/>
      <c r="K98" s="11"/>
      <c r="M98" s="15"/>
      <c r="N98" s="22"/>
    </row>
    <row r="99" spans="1:14" ht="12" customHeight="1">
      <c r="A99" s="31" t="s">
        <v>899</v>
      </c>
      <c r="B99" s="30">
        <f>SUMIF($E$79:$E$86,"7",$B$79:$B$86)</f>
        <v>4926</v>
      </c>
      <c r="C99" s="122">
        <v>7</v>
      </c>
      <c r="D99" s="216">
        <f>B101</f>
        <v>0</v>
      </c>
      <c r="E99" s="47"/>
      <c r="F99" s="135"/>
      <c r="G99" s="135"/>
      <c r="H99" s="11"/>
      <c r="I99" s="11"/>
      <c r="J99" s="11"/>
      <c r="K99" s="11"/>
      <c r="M99" s="15"/>
      <c r="N99" s="22"/>
    </row>
    <row r="100" spans="1:14" ht="12" customHeight="1">
      <c r="A100" s="31" t="s">
        <v>901</v>
      </c>
      <c r="B100" s="30">
        <f>SUMIF($E$79:$E$86,"8",$B$79:$B$86)</f>
        <v>250</v>
      </c>
      <c r="C100" s="36"/>
      <c r="D100" s="221"/>
      <c r="E100" s="47"/>
      <c r="F100" s="135"/>
      <c r="G100" s="135"/>
      <c r="H100" s="11"/>
      <c r="I100" s="11"/>
      <c r="J100" s="11"/>
      <c r="K100" s="11"/>
      <c r="M100" s="15"/>
      <c r="N100" s="22"/>
    </row>
    <row r="101" spans="1:14" ht="12" customHeight="1">
      <c r="A101" s="31" t="s">
        <v>906</v>
      </c>
      <c r="B101" s="30">
        <f>SUMIF($E$79:$E$86,"9",$B$79:$B$86)</f>
        <v>0</v>
      </c>
      <c r="C101" s="36"/>
      <c r="D101" s="217"/>
      <c r="E101" s="16"/>
      <c r="F101" s="135"/>
      <c r="G101" s="135"/>
      <c r="H101" s="11"/>
      <c r="I101" s="11"/>
      <c r="J101" s="11"/>
      <c r="K101" s="11"/>
      <c r="M101" s="15"/>
      <c r="N101" s="22"/>
    </row>
    <row r="102" spans="1:14" ht="12.75" customHeight="1">
      <c r="A102" s="173" t="s">
        <v>368</v>
      </c>
      <c r="B102" s="215">
        <f>SUM(B93:B101)</f>
        <v>14000</v>
      </c>
      <c r="C102" s="39"/>
      <c r="D102" s="215">
        <f>SUM(D93:D101)</f>
        <v>14000</v>
      </c>
      <c r="E102" s="21"/>
      <c r="F102" s="135"/>
      <c r="G102" s="135"/>
      <c r="H102" s="11"/>
      <c r="I102" s="11"/>
      <c r="J102" s="11"/>
      <c r="K102" s="11"/>
      <c r="M102" s="15"/>
      <c r="N102" s="22"/>
    </row>
    <row r="104" spans="1:9" ht="126.75" customHeight="1">
      <c r="A104" s="301" t="s">
        <v>631</v>
      </c>
      <c r="B104" s="309"/>
      <c r="C104" s="309"/>
      <c r="D104" s="309"/>
      <c r="E104" s="309"/>
      <c r="F104" s="309"/>
      <c r="G104" s="309"/>
      <c r="H104" s="309"/>
      <c r="I104" s="310"/>
    </row>
  </sheetData>
  <mergeCells count="7">
    <mergeCell ref="D21:E21"/>
    <mergeCell ref="D49:E49"/>
    <mergeCell ref="F77:G77"/>
    <mergeCell ref="A104:I104"/>
    <mergeCell ref="A71:I71"/>
    <mergeCell ref="B77:D77"/>
    <mergeCell ref="A43:I43"/>
  </mergeCells>
  <printOptions/>
  <pageMargins left="0.75" right="0.75" top="1" bottom="1" header="0" footer="0"/>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2:P120"/>
  <sheetViews>
    <sheetView workbookViewId="0" topLeftCell="A70">
      <selection activeCell="H13" sqref="H13"/>
    </sheetView>
  </sheetViews>
  <sheetFormatPr defaultColWidth="9.140625" defaultRowHeight="12.75"/>
  <cols>
    <col min="1" max="1" width="27.140625" style="0" customWidth="1"/>
    <col min="2" max="2" width="7.140625" style="0" customWidth="1"/>
    <col min="3" max="3" width="5.7109375" style="0" customWidth="1"/>
    <col min="4" max="4" width="7.140625" style="0" customWidth="1"/>
    <col min="5" max="5" width="5.8515625" style="0" customWidth="1"/>
    <col min="6" max="6" width="6.7109375" style="0" customWidth="1"/>
    <col min="7" max="7" width="8.8515625" style="0" customWidth="1"/>
    <col min="8" max="8" width="8.7109375" style="0" customWidth="1"/>
    <col min="9" max="9" width="9.421875" style="0" customWidth="1"/>
    <col min="10" max="10" width="6.8515625" style="0" customWidth="1"/>
    <col min="11" max="11" width="8.8515625" style="0" customWidth="1"/>
    <col min="12" max="12" width="8.7109375" style="0" customWidth="1"/>
    <col min="13" max="13" width="48.28125" style="0" customWidth="1"/>
    <col min="14" max="14" width="8.8515625" style="0" customWidth="1"/>
    <col min="15" max="15" width="8.421875" style="0" customWidth="1"/>
  </cols>
  <sheetData>
    <row r="2" ht="20.25">
      <c r="A2" s="64" t="s">
        <v>703</v>
      </c>
    </row>
    <row r="3" ht="15">
      <c r="A3" s="65" t="s">
        <v>19</v>
      </c>
    </row>
    <row r="6" spans="3:6" ht="12.75">
      <c r="C6" s="67" t="s">
        <v>425</v>
      </c>
      <c r="D6" s="68"/>
      <c r="E6" s="68"/>
      <c r="F6" s="51"/>
    </row>
    <row r="7" spans="1:7" ht="12.75">
      <c r="A7" s="2"/>
      <c r="B7" s="2"/>
      <c r="C7" s="144">
        <f>Charts!$D$12</f>
        <v>45</v>
      </c>
      <c r="D7" s="75"/>
      <c r="E7" s="45" t="s">
        <v>890</v>
      </c>
      <c r="F7" s="42"/>
      <c r="G7" s="2"/>
    </row>
    <row r="8" spans="1:7" ht="12.75">
      <c r="A8" s="2"/>
      <c r="B8" s="2"/>
      <c r="C8" s="144">
        <f>Charts!$D$13</f>
        <v>30</v>
      </c>
      <c r="D8" s="45"/>
      <c r="E8" s="45" t="s">
        <v>889</v>
      </c>
      <c r="F8" s="42"/>
      <c r="G8" s="2"/>
    </row>
    <row r="9" spans="1:7" ht="12.75">
      <c r="A9" s="2"/>
      <c r="B9" s="2"/>
      <c r="C9" s="52" t="s">
        <v>305</v>
      </c>
      <c r="D9" s="49" t="s">
        <v>306</v>
      </c>
      <c r="E9" s="45"/>
      <c r="F9" s="42"/>
      <c r="G9" s="2"/>
    </row>
    <row r="10" spans="1:7" ht="12.75">
      <c r="A10" s="2"/>
      <c r="B10" s="2"/>
      <c r="C10" s="144">
        <f>Charts!$D$15</f>
        <v>0</v>
      </c>
      <c r="D10" s="143">
        <f>Charts!$E$15</f>
        <v>5</v>
      </c>
      <c r="E10" s="45" t="s">
        <v>303</v>
      </c>
      <c r="F10" s="42"/>
      <c r="G10" s="2"/>
    </row>
    <row r="11" spans="1:7" ht="12.75">
      <c r="A11" s="2"/>
      <c r="B11" s="2"/>
      <c r="C11" s="144">
        <f>Charts!$D$16</f>
        <v>97</v>
      </c>
      <c r="D11" s="143">
        <f>Charts!$E$16</f>
        <v>99</v>
      </c>
      <c r="E11" s="45" t="s">
        <v>410</v>
      </c>
      <c r="F11" s="42"/>
      <c r="G11" s="2"/>
    </row>
    <row r="12" spans="1:7" ht="12.75">
      <c r="A12" s="2"/>
      <c r="B12" s="2"/>
      <c r="C12" s="144">
        <f>Charts!$D$17</f>
        <v>97</v>
      </c>
      <c r="D12" s="143">
        <f>Charts!$E$17</f>
        <v>99</v>
      </c>
      <c r="E12" s="45" t="s">
        <v>411</v>
      </c>
      <c r="F12" s="69"/>
      <c r="G12" s="2"/>
    </row>
    <row r="13" spans="1:7" ht="12.75">
      <c r="A13" s="2"/>
      <c r="B13" s="2"/>
      <c r="C13" s="144">
        <f>Charts!$D$18</f>
        <v>75</v>
      </c>
      <c r="D13" s="143">
        <f>Charts!$E$18</f>
        <v>85</v>
      </c>
      <c r="E13" s="45" t="s">
        <v>408</v>
      </c>
      <c r="F13" s="42"/>
      <c r="G13" s="2"/>
    </row>
    <row r="14" spans="1:7" ht="12.75">
      <c r="A14" s="2"/>
      <c r="B14" s="2"/>
      <c r="C14" s="144">
        <f>Charts!$D$19</f>
        <v>0</v>
      </c>
      <c r="D14" s="143">
        <f>Charts!$E$19</f>
        <v>20</v>
      </c>
      <c r="E14" s="45" t="s">
        <v>409</v>
      </c>
      <c r="F14" s="42"/>
      <c r="G14" s="2"/>
    </row>
    <row r="15" spans="1:7" ht="12.75">
      <c r="A15" s="2"/>
      <c r="B15" s="2"/>
      <c r="C15" s="144">
        <f>Charts!$D$20</f>
        <v>40</v>
      </c>
      <c r="D15" s="143">
        <f>Charts!$E$20</f>
        <v>60</v>
      </c>
      <c r="E15" s="45" t="s">
        <v>412</v>
      </c>
      <c r="F15" s="42"/>
      <c r="G15" s="2"/>
    </row>
    <row r="16" spans="3:6" ht="12.75">
      <c r="C16" s="145">
        <f>Charts!$D$21</f>
        <v>65</v>
      </c>
      <c r="D16" s="59">
        <f>Charts!$E$21</f>
        <v>85</v>
      </c>
      <c r="E16" s="43" t="s">
        <v>873</v>
      </c>
      <c r="F16" s="48"/>
    </row>
    <row r="19" spans="1:6" ht="15.75">
      <c r="A19" s="90" t="s">
        <v>704</v>
      </c>
      <c r="B19" s="2"/>
      <c r="C19" s="2"/>
      <c r="D19" s="2"/>
      <c r="E19" s="33"/>
      <c r="F19" s="2"/>
    </row>
    <row r="20" spans="1:16" ht="15.75">
      <c r="A20" s="4" t="s">
        <v>705</v>
      </c>
      <c r="B20" s="63">
        <v>1963</v>
      </c>
      <c r="C20" s="75"/>
      <c r="D20" s="58"/>
      <c r="E20" s="27"/>
      <c r="F20" s="50"/>
      <c r="G20" s="50"/>
      <c r="H20" s="50"/>
      <c r="I20" s="50"/>
      <c r="J20" s="50"/>
      <c r="K20" s="50"/>
      <c r="L20" s="50"/>
      <c r="M20" s="50"/>
      <c r="N20" s="50"/>
      <c r="O20" s="50"/>
      <c r="P20" s="110"/>
    </row>
    <row r="21" spans="1:16" ht="22.5" customHeight="1">
      <c r="A21" s="28" t="s">
        <v>430</v>
      </c>
      <c r="B21" s="5" t="s">
        <v>370</v>
      </c>
      <c r="C21" s="76" t="s">
        <v>897</v>
      </c>
      <c r="D21" s="304" t="s">
        <v>400</v>
      </c>
      <c r="E21" s="305"/>
      <c r="F21" s="57" t="s">
        <v>6</v>
      </c>
      <c r="G21" s="5"/>
      <c r="H21" s="5"/>
      <c r="I21" s="5"/>
      <c r="J21" s="37"/>
      <c r="K21" s="37"/>
      <c r="L21" s="37"/>
      <c r="M21" s="37"/>
      <c r="N21" s="37"/>
      <c r="O21" s="37"/>
      <c r="P21" s="46"/>
    </row>
    <row r="22" spans="1:16" ht="22.5">
      <c r="A22" s="7"/>
      <c r="B22" s="8"/>
      <c r="C22" s="71"/>
      <c r="D22" s="7" t="s">
        <v>305</v>
      </c>
      <c r="E22" s="9" t="s">
        <v>306</v>
      </c>
      <c r="F22" s="7" t="s">
        <v>431</v>
      </c>
      <c r="G22" s="8" t="s">
        <v>423</v>
      </c>
      <c r="H22" s="8" t="s">
        <v>424</v>
      </c>
      <c r="I22" s="49" t="s">
        <v>428</v>
      </c>
      <c r="J22" s="39"/>
      <c r="K22" s="39"/>
      <c r="L22" s="39"/>
      <c r="M22" s="39"/>
      <c r="N22" s="39"/>
      <c r="O22" s="39"/>
      <c r="P22" s="48"/>
    </row>
    <row r="23" spans="1:16" ht="12.75">
      <c r="A23" s="10" t="s">
        <v>722</v>
      </c>
      <c r="B23" s="12">
        <v>27730</v>
      </c>
      <c r="C23" s="76">
        <v>1</v>
      </c>
      <c r="D23" s="13">
        <f aca="true" t="shared" si="0" ref="D23:D29">$C$12</f>
        <v>97</v>
      </c>
      <c r="E23" s="14">
        <f aca="true" t="shared" si="1" ref="E23:E29">$D$12</f>
        <v>99</v>
      </c>
      <c r="F23" s="10"/>
      <c r="G23" s="3"/>
      <c r="H23" s="45" t="s">
        <v>411</v>
      </c>
      <c r="I23" s="3" t="s">
        <v>715</v>
      </c>
      <c r="J23" s="45"/>
      <c r="K23" s="45"/>
      <c r="L23" s="45"/>
      <c r="M23" s="45"/>
      <c r="N23" s="45"/>
      <c r="O23" s="36"/>
      <c r="P23" s="47"/>
    </row>
    <row r="24" spans="1:16" ht="12.75">
      <c r="A24" s="10" t="s">
        <v>713</v>
      </c>
      <c r="B24" s="12">
        <v>6533</v>
      </c>
      <c r="C24" s="70">
        <v>1</v>
      </c>
      <c r="D24" s="13">
        <f t="shared" si="0"/>
        <v>97</v>
      </c>
      <c r="E24" s="14">
        <f t="shared" si="1"/>
        <v>99</v>
      </c>
      <c r="F24" s="10"/>
      <c r="G24" s="3"/>
      <c r="H24" s="45" t="s">
        <v>411</v>
      </c>
      <c r="I24" s="42" t="s">
        <v>178</v>
      </c>
      <c r="J24" s="45"/>
      <c r="K24" s="45"/>
      <c r="L24" s="45"/>
      <c r="M24" s="45"/>
      <c r="N24" s="45"/>
      <c r="O24" s="36"/>
      <c r="P24" s="47"/>
    </row>
    <row r="25" spans="1:16" ht="12.75">
      <c r="A25" s="10" t="s">
        <v>723</v>
      </c>
      <c r="B25" s="12">
        <v>91</v>
      </c>
      <c r="C25" s="70">
        <v>1</v>
      </c>
      <c r="D25" s="13">
        <f t="shared" si="0"/>
        <v>97</v>
      </c>
      <c r="E25" s="14">
        <f t="shared" si="1"/>
        <v>99</v>
      </c>
      <c r="F25" s="10"/>
      <c r="G25" s="3"/>
      <c r="H25" s="45" t="s">
        <v>411</v>
      </c>
      <c r="I25" s="3" t="s">
        <v>446</v>
      </c>
      <c r="J25" s="45"/>
      <c r="K25" s="45"/>
      <c r="L25" s="45"/>
      <c r="M25" s="45"/>
      <c r="N25" s="45"/>
      <c r="O25" s="36"/>
      <c r="P25" s="47"/>
    </row>
    <row r="26" spans="1:16" ht="12.75">
      <c r="A26" s="10" t="s">
        <v>724</v>
      </c>
      <c r="B26" s="12">
        <v>6</v>
      </c>
      <c r="C26" s="70">
        <v>1</v>
      </c>
      <c r="D26" s="13">
        <f t="shared" si="0"/>
        <v>97</v>
      </c>
      <c r="E26" s="14">
        <f t="shared" si="1"/>
        <v>99</v>
      </c>
      <c r="F26" s="10"/>
      <c r="G26" s="3"/>
      <c r="H26" s="45" t="s">
        <v>411</v>
      </c>
      <c r="I26" s="3" t="s">
        <v>732</v>
      </c>
      <c r="J26" s="45"/>
      <c r="K26" s="45"/>
      <c r="L26" s="45"/>
      <c r="M26" s="45"/>
      <c r="N26" s="45"/>
      <c r="O26" s="36"/>
      <c r="P26" s="47"/>
    </row>
    <row r="27" spans="1:16" ht="12.75">
      <c r="A27" s="10" t="s">
        <v>700</v>
      </c>
      <c r="B27" s="12">
        <v>774</v>
      </c>
      <c r="C27" s="70">
        <v>1</v>
      </c>
      <c r="D27" s="13">
        <f t="shared" si="0"/>
        <v>97</v>
      </c>
      <c r="E27" s="14">
        <f t="shared" si="1"/>
        <v>99</v>
      </c>
      <c r="F27" s="10"/>
      <c r="G27" s="3"/>
      <c r="H27" s="45" t="s">
        <v>411</v>
      </c>
      <c r="I27" s="42" t="s">
        <v>143</v>
      </c>
      <c r="J27" s="45"/>
      <c r="K27" s="45"/>
      <c r="L27" s="45"/>
      <c r="M27" s="45"/>
      <c r="N27" s="45"/>
      <c r="O27" s="36"/>
      <c r="P27" s="47"/>
    </row>
    <row r="28" spans="1:16" ht="12.75">
      <c r="A28" s="10" t="s">
        <v>725</v>
      </c>
      <c r="B28" s="12">
        <v>540</v>
      </c>
      <c r="C28" s="70">
        <v>1</v>
      </c>
      <c r="D28" s="13">
        <f t="shared" si="0"/>
        <v>97</v>
      </c>
      <c r="E28" s="14">
        <f t="shared" si="1"/>
        <v>99</v>
      </c>
      <c r="F28" s="10"/>
      <c r="G28" s="3"/>
      <c r="H28" s="45" t="s">
        <v>411</v>
      </c>
      <c r="I28" s="3" t="s">
        <v>733</v>
      </c>
      <c r="J28" s="45"/>
      <c r="K28" s="45"/>
      <c r="L28" s="45"/>
      <c r="M28" s="45"/>
      <c r="N28" s="45"/>
      <c r="O28" s="36"/>
      <c r="P28" s="47"/>
    </row>
    <row r="29" spans="1:16" ht="12.75">
      <c r="A29" s="10" t="s">
        <v>726</v>
      </c>
      <c r="B29" s="12">
        <v>29</v>
      </c>
      <c r="C29" s="70">
        <v>1</v>
      </c>
      <c r="D29" s="13">
        <f t="shared" si="0"/>
        <v>97</v>
      </c>
      <c r="E29" s="14">
        <f t="shared" si="1"/>
        <v>99</v>
      </c>
      <c r="F29" s="10"/>
      <c r="G29" s="3"/>
      <c r="H29" s="45" t="s">
        <v>411</v>
      </c>
      <c r="I29" s="3" t="s">
        <v>734</v>
      </c>
      <c r="J29" s="45"/>
      <c r="K29" s="45"/>
      <c r="L29" s="45"/>
      <c r="M29" s="45"/>
      <c r="N29" s="45"/>
      <c r="O29" s="36"/>
      <c r="P29" s="47"/>
    </row>
    <row r="30" spans="1:16" ht="12.75">
      <c r="A30" s="10" t="s">
        <v>710</v>
      </c>
      <c r="B30" s="12">
        <v>4461</v>
      </c>
      <c r="C30" s="70">
        <f>IF($B$20-F30&gt;=$C$7,2,IF($B$20-F30&gt;=$C$7*2/3,3,IF($B$20-F30&gt;=$C$7*1/3,4,IF($B$20-F30&gt;=0,5,8))))</f>
        <v>3</v>
      </c>
      <c r="D30" s="130">
        <f>MAX($C$10,MIN($C$11,($C$14+($C$11-$C$14)*($B$20-F30)/$C$7)))</f>
        <v>81.91111111111111</v>
      </c>
      <c r="E30" s="131">
        <f>MAX($D$10,MIN($D$11,($D$14+($D$11-$D$14)*($B$20-F30)/$C$7)))</f>
        <v>86.71111111111111</v>
      </c>
      <c r="F30" s="10">
        <v>1925</v>
      </c>
      <c r="G30" s="11" t="s">
        <v>426</v>
      </c>
      <c r="H30" s="11" t="s">
        <v>303</v>
      </c>
      <c r="I30" s="42" t="s">
        <v>866</v>
      </c>
      <c r="J30" s="45"/>
      <c r="K30" s="45"/>
      <c r="L30" s="45"/>
      <c r="M30" s="45"/>
      <c r="N30" s="45"/>
      <c r="O30" s="36"/>
      <c r="P30" s="47"/>
    </row>
    <row r="31" spans="1:16" ht="12.75">
      <c r="A31" s="10" t="s">
        <v>727</v>
      </c>
      <c r="B31" s="12">
        <v>257</v>
      </c>
      <c r="C31" s="70">
        <v>1</v>
      </c>
      <c r="D31" s="13">
        <f aca="true" t="shared" si="2" ref="D31:D36">$C$12</f>
        <v>97</v>
      </c>
      <c r="E31" s="14">
        <f aca="true" t="shared" si="3" ref="E31:E36">$D$12</f>
        <v>99</v>
      </c>
      <c r="F31" s="10"/>
      <c r="G31" s="3"/>
      <c r="H31" s="45" t="s">
        <v>411</v>
      </c>
      <c r="I31" s="3" t="s">
        <v>94</v>
      </c>
      <c r="J31" s="45"/>
      <c r="K31" s="45"/>
      <c r="L31" s="45"/>
      <c r="M31" s="45"/>
      <c r="N31" s="45"/>
      <c r="O31" s="36"/>
      <c r="P31" s="47"/>
    </row>
    <row r="32" spans="1:16" ht="12.75">
      <c r="A32" s="10" t="s">
        <v>709</v>
      </c>
      <c r="B32" s="12">
        <v>18410</v>
      </c>
      <c r="C32" s="70">
        <v>1</v>
      </c>
      <c r="D32" s="13">
        <f t="shared" si="2"/>
        <v>97</v>
      </c>
      <c r="E32" s="14">
        <f t="shared" si="3"/>
        <v>99</v>
      </c>
      <c r="F32" s="10"/>
      <c r="G32" s="3"/>
      <c r="H32" s="45" t="s">
        <v>411</v>
      </c>
      <c r="I32" s="45" t="s">
        <v>159</v>
      </c>
      <c r="J32" s="45"/>
      <c r="K32" s="45"/>
      <c r="L32" s="45"/>
      <c r="M32" s="45"/>
      <c r="N32" s="45"/>
      <c r="O32" s="36"/>
      <c r="P32" s="47"/>
    </row>
    <row r="33" spans="1:16" ht="12.75">
      <c r="A33" s="10" t="s">
        <v>711</v>
      </c>
      <c r="B33" s="12">
        <v>5842</v>
      </c>
      <c r="C33" s="70">
        <v>1</v>
      </c>
      <c r="D33" s="13">
        <f t="shared" si="2"/>
        <v>97</v>
      </c>
      <c r="E33" s="14">
        <f t="shared" si="3"/>
        <v>99</v>
      </c>
      <c r="F33" s="10"/>
      <c r="G33" s="3"/>
      <c r="H33" s="45" t="s">
        <v>411</v>
      </c>
      <c r="I33" s="45" t="s">
        <v>159</v>
      </c>
      <c r="J33" s="45"/>
      <c r="K33" s="45"/>
      <c r="L33" s="45"/>
      <c r="M33" s="45"/>
      <c r="N33" s="45"/>
      <c r="O33" s="36"/>
      <c r="P33" s="47"/>
    </row>
    <row r="34" spans="1:16" ht="12.75">
      <c r="A34" s="10" t="s">
        <v>731</v>
      </c>
      <c r="B34" s="12">
        <v>3141</v>
      </c>
      <c r="C34" s="70">
        <v>1</v>
      </c>
      <c r="D34" s="13">
        <f t="shared" si="2"/>
        <v>97</v>
      </c>
      <c r="E34" s="14">
        <f t="shared" si="3"/>
        <v>99</v>
      </c>
      <c r="F34" s="10"/>
      <c r="G34" s="3"/>
      <c r="H34" s="45" t="s">
        <v>411</v>
      </c>
      <c r="I34" s="42" t="s">
        <v>718</v>
      </c>
      <c r="J34" s="45"/>
      <c r="K34" s="45"/>
      <c r="L34" s="45"/>
      <c r="M34" s="45"/>
      <c r="N34" s="45"/>
      <c r="O34" s="36"/>
      <c r="P34" s="47"/>
    </row>
    <row r="35" spans="1:16" ht="12.75">
      <c r="A35" s="10" t="s">
        <v>708</v>
      </c>
      <c r="B35" s="12">
        <v>12561</v>
      </c>
      <c r="C35" s="70">
        <v>1</v>
      </c>
      <c r="D35" s="13">
        <f t="shared" si="2"/>
        <v>97</v>
      </c>
      <c r="E35" s="14">
        <f t="shared" si="3"/>
        <v>99</v>
      </c>
      <c r="F35" s="10"/>
      <c r="G35" s="3"/>
      <c r="H35" s="45" t="s">
        <v>411</v>
      </c>
      <c r="I35" s="42" t="s">
        <v>717</v>
      </c>
      <c r="J35" s="45"/>
      <c r="K35" s="45"/>
      <c r="L35" s="45"/>
      <c r="M35" s="45"/>
      <c r="N35" s="45"/>
      <c r="O35" s="36"/>
      <c r="P35" s="47"/>
    </row>
    <row r="36" spans="1:16" ht="12.75">
      <c r="A36" s="10" t="s">
        <v>728</v>
      </c>
      <c r="B36" s="12">
        <v>3051</v>
      </c>
      <c r="C36" s="70">
        <v>1</v>
      </c>
      <c r="D36" s="13">
        <f t="shared" si="2"/>
        <v>97</v>
      </c>
      <c r="E36" s="14">
        <f t="shared" si="3"/>
        <v>99</v>
      </c>
      <c r="F36" s="10"/>
      <c r="G36" s="3"/>
      <c r="H36" s="45" t="s">
        <v>411</v>
      </c>
      <c r="I36" s="3" t="s">
        <v>735</v>
      </c>
      <c r="J36" s="45"/>
      <c r="K36" s="45"/>
      <c r="L36" s="45"/>
      <c r="M36" s="45"/>
      <c r="N36" s="45"/>
      <c r="O36" s="36"/>
      <c r="P36" s="47"/>
    </row>
    <row r="37" spans="1:16" ht="23.25" customHeight="1">
      <c r="A37" s="10" t="s">
        <v>714</v>
      </c>
      <c r="B37" s="12">
        <v>3865</v>
      </c>
      <c r="C37" s="70">
        <f>IF($B$20-F37&gt;=$C$7,6,7)</f>
        <v>7</v>
      </c>
      <c r="D37" s="130">
        <f>MAX($C$13,MIN($C$11,($C$13+($C$11-$C$13)*($B$20-F37)/$C$8)))</f>
        <v>97</v>
      </c>
      <c r="E37" s="131">
        <f>MAX($D$13,MIN($D$11,($D$13+($D$11-$D$13)*($B$20-F37)/$C$8)))</f>
        <v>99</v>
      </c>
      <c r="F37" s="10">
        <v>1920</v>
      </c>
      <c r="G37" s="11" t="s">
        <v>124</v>
      </c>
      <c r="H37" s="15" t="s">
        <v>408</v>
      </c>
      <c r="I37" s="42" t="s">
        <v>697</v>
      </c>
      <c r="J37" s="45"/>
      <c r="K37" s="45"/>
      <c r="L37" s="45"/>
      <c r="M37" s="45"/>
      <c r="N37" s="45"/>
      <c r="O37" s="36"/>
      <c r="P37" s="47"/>
    </row>
    <row r="38" spans="1:16" ht="12.75">
      <c r="A38" s="10" t="s">
        <v>707</v>
      </c>
      <c r="B38" s="12">
        <v>30595</v>
      </c>
      <c r="C38" s="70">
        <v>1</v>
      </c>
      <c r="D38" s="13">
        <f>$C$12</f>
        <v>97</v>
      </c>
      <c r="E38" s="14">
        <f>$D$12</f>
        <v>99</v>
      </c>
      <c r="F38" s="10"/>
      <c r="G38" s="3"/>
      <c r="H38" s="45" t="s">
        <v>411</v>
      </c>
      <c r="I38" s="42" t="s">
        <v>716</v>
      </c>
      <c r="J38" s="45"/>
      <c r="K38" s="45"/>
      <c r="L38" s="45"/>
      <c r="M38" s="45"/>
      <c r="N38" s="45"/>
      <c r="O38" s="36"/>
      <c r="P38" s="47"/>
    </row>
    <row r="39" spans="1:16" ht="12.75">
      <c r="A39" s="10" t="s">
        <v>729</v>
      </c>
      <c r="B39" s="12">
        <v>88</v>
      </c>
      <c r="C39" s="70">
        <v>1</v>
      </c>
      <c r="D39" s="13">
        <f>$C$12</f>
        <v>97</v>
      </c>
      <c r="E39" s="14">
        <f>$D$12</f>
        <v>99</v>
      </c>
      <c r="F39" s="10"/>
      <c r="G39" s="3"/>
      <c r="H39" s="45" t="s">
        <v>411</v>
      </c>
      <c r="I39" s="3" t="s">
        <v>446</v>
      </c>
      <c r="J39" s="45"/>
      <c r="K39" s="45"/>
      <c r="L39" s="45"/>
      <c r="M39" s="45"/>
      <c r="N39" s="45"/>
      <c r="O39" s="36"/>
      <c r="P39" s="47"/>
    </row>
    <row r="40" spans="1:16" ht="12.75">
      <c r="A40" s="10" t="s">
        <v>730</v>
      </c>
      <c r="B40" s="12">
        <v>124</v>
      </c>
      <c r="C40" s="70">
        <v>1</v>
      </c>
      <c r="D40" s="13">
        <f>$C$12</f>
        <v>97</v>
      </c>
      <c r="E40" s="14">
        <f>$D$12</f>
        <v>99</v>
      </c>
      <c r="F40" s="10"/>
      <c r="G40" s="3"/>
      <c r="H40" s="45" t="s">
        <v>411</v>
      </c>
      <c r="I40" s="3" t="s">
        <v>736</v>
      </c>
      <c r="J40" s="45"/>
      <c r="K40" s="45"/>
      <c r="L40" s="45"/>
      <c r="M40" s="45"/>
      <c r="N40" s="45"/>
      <c r="O40" s="36"/>
      <c r="P40" s="47"/>
    </row>
    <row r="41" spans="1:16" ht="12.75">
      <c r="A41" s="10" t="s">
        <v>635</v>
      </c>
      <c r="B41" s="12">
        <v>9819</v>
      </c>
      <c r="C41" s="70">
        <v>1</v>
      </c>
      <c r="D41" s="13">
        <f>$C$12</f>
        <v>97</v>
      </c>
      <c r="E41" s="14">
        <f>$D$12</f>
        <v>99</v>
      </c>
      <c r="F41" s="10"/>
      <c r="G41" s="3"/>
      <c r="H41" s="45" t="s">
        <v>411</v>
      </c>
      <c r="I41" s="42" t="s">
        <v>719</v>
      </c>
      <c r="J41" s="45"/>
      <c r="K41" s="45"/>
      <c r="L41" s="45"/>
      <c r="M41" s="45"/>
      <c r="N41" s="45"/>
      <c r="O41" s="36"/>
      <c r="P41" s="47"/>
    </row>
    <row r="42" spans="1:16" ht="12.75">
      <c r="A42" s="10" t="s">
        <v>368</v>
      </c>
      <c r="B42" s="12">
        <f>SUM(B23:B41)</f>
        <v>127917</v>
      </c>
      <c r="C42" s="70"/>
      <c r="D42" s="97">
        <f>SUMPRODUCT(B23:B41,D23:D41)/100</f>
        <v>123406.37466666667</v>
      </c>
      <c r="E42" s="107">
        <f>SUMPRODUCT(B23:B41,E23:E41)/100</f>
        <v>126089.62266666666</v>
      </c>
      <c r="F42" s="10"/>
      <c r="G42" s="3"/>
      <c r="H42" s="3"/>
      <c r="I42" s="3"/>
      <c r="J42" s="45"/>
      <c r="K42" s="45"/>
      <c r="L42" s="45"/>
      <c r="M42" s="45"/>
      <c r="N42" s="45"/>
      <c r="O42" s="36"/>
      <c r="P42" s="47"/>
    </row>
    <row r="43" spans="1:16" ht="22.5">
      <c r="A43" s="17" t="s">
        <v>369</v>
      </c>
      <c r="B43" s="9"/>
      <c r="C43" s="66"/>
      <c r="D43" s="18">
        <f>100*D42/B42</f>
        <v>96.47378742986989</v>
      </c>
      <c r="E43" s="19">
        <f>100*E42/B42</f>
        <v>98.57143512329608</v>
      </c>
      <c r="F43" s="7"/>
      <c r="G43" s="49"/>
      <c r="H43" s="49"/>
      <c r="I43" s="49"/>
      <c r="J43" s="49"/>
      <c r="K43" s="49"/>
      <c r="L43" s="49"/>
      <c r="M43" s="49"/>
      <c r="N43" s="49"/>
      <c r="O43" s="39"/>
      <c r="P43" s="48"/>
    </row>
    <row r="44" spans="1:16" ht="12.75">
      <c r="A44" s="181" t="s">
        <v>907</v>
      </c>
      <c r="B44" s="5"/>
      <c r="C44" s="182" t="s">
        <v>908</v>
      </c>
      <c r="D44" s="183"/>
      <c r="E44" s="213"/>
      <c r="F44" s="11"/>
      <c r="G44" s="45"/>
      <c r="H44" s="45"/>
      <c r="I44" s="45"/>
      <c r="J44" s="45"/>
      <c r="K44" s="45"/>
      <c r="L44" s="45"/>
      <c r="M44" s="45"/>
      <c r="N44" s="45"/>
      <c r="O44" s="36"/>
      <c r="P44" s="36"/>
    </row>
    <row r="45" spans="1:16" ht="12.75">
      <c r="A45" s="31" t="s">
        <v>898</v>
      </c>
      <c r="B45" s="30">
        <f>SUMIF($C$23:$C$41,"1",$B$23:$B$41)</f>
        <v>119591</v>
      </c>
      <c r="C45" s="122">
        <v>1</v>
      </c>
      <c r="D45" s="216">
        <f>B45+B46+B50</f>
        <v>119591</v>
      </c>
      <c r="E45" s="47"/>
      <c r="F45" s="11"/>
      <c r="G45" s="45"/>
      <c r="H45" s="45"/>
      <c r="I45" s="45"/>
      <c r="J45" s="45"/>
      <c r="K45" s="45"/>
      <c r="L45" s="45"/>
      <c r="M45" s="45"/>
      <c r="N45" s="45"/>
      <c r="O45" s="36"/>
      <c r="P45" s="36"/>
    </row>
    <row r="46" spans="1:16" ht="12.75" customHeight="1">
      <c r="A46" s="31" t="s">
        <v>903</v>
      </c>
      <c r="B46" s="30">
        <f>SUMIF($C$23:$C$41,"2",$B$23:$B$41)</f>
        <v>0</v>
      </c>
      <c r="C46" s="122">
        <v>2</v>
      </c>
      <c r="D46" s="216">
        <f>B51</f>
        <v>3865</v>
      </c>
      <c r="E46" s="47"/>
      <c r="F46" s="11"/>
      <c r="G46" s="45"/>
      <c r="H46" s="45"/>
      <c r="I46" s="45"/>
      <c r="J46" s="45"/>
      <c r="K46" s="45"/>
      <c r="L46" s="45"/>
      <c r="M46" s="45"/>
      <c r="N46" s="45"/>
      <c r="O46" s="36"/>
      <c r="P46" s="36"/>
    </row>
    <row r="47" spans="1:16" ht="12.75" customHeight="1">
      <c r="A47" s="31" t="s">
        <v>902</v>
      </c>
      <c r="B47" s="30">
        <f>SUMIF($C$23:$C$41,"3",$B$23:$B$41)</f>
        <v>4461</v>
      </c>
      <c r="C47" s="122">
        <v>3</v>
      </c>
      <c r="D47" s="216">
        <f>B47</f>
        <v>4461</v>
      </c>
      <c r="E47" s="47"/>
      <c r="F47" s="11"/>
      <c r="G47" s="45"/>
      <c r="H47" s="45"/>
      <c r="I47" s="45"/>
      <c r="J47" s="45"/>
      <c r="K47" s="45"/>
      <c r="L47" s="45"/>
      <c r="M47" s="45"/>
      <c r="N47" s="45"/>
      <c r="O47" s="36"/>
      <c r="P47" s="36"/>
    </row>
    <row r="48" spans="1:16" ht="12.75" customHeight="1">
      <c r="A48" s="31" t="s">
        <v>904</v>
      </c>
      <c r="B48" s="30">
        <f>SUMIF($C$23:$C$41,"4",$B$23:$B$41)</f>
        <v>0</v>
      </c>
      <c r="C48" s="122">
        <v>4</v>
      </c>
      <c r="D48" s="216">
        <f>B48</f>
        <v>0</v>
      </c>
      <c r="E48" s="47"/>
      <c r="F48" s="11"/>
      <c r="G48" s="45"/>
      <c r="H48" s="45"/>
      <c r="I48" s="45"/>
      <c r="J48" s="45"/>
      <c r="K48" s="45"/>
      <c r="L48" s="45"/>
      <c r="M48" s="45"/>
      <c r="N48" s="45"/>
      <c r="O48" s="36"/>
      <c r="P48" s="36"/>
    </row>
    <row r="49" spans="1:16" ht="12.75" customHeight="1">
      <c r="A49" s="31" t="s">
        <v>905</v>
      </c>
      <c r="B49" s="30">
        <f>SUMIF($C$23:$C$41,"5",$B$23:$B$41)</f>
        <v>0</v>
      </c>
      <c r="C49" s="122">
        <v>5</v>
      </c>
      <c r="D49" s="216">
        <f>B49</f>
        <v>0</v>
      </c>
      <c r="E49" s="47"/>
      <c r="F49" s="11"/>
      <c r="G49" s="45"/>
      <c r="H49" s="45"/>
      <c r="I49" s="45"/>
      <c r="J49" s="45"/>
      <c r="K49" s="45"/>
      <c r="L49" s="45"/>
      <c r="M49" s="45"/>
      <c r="N49" s="45"/>
      <c r="O49" s="36"/>
      <c r="P49" s="36"/>
    </row>
    <row r="50" spans="1:16" ht="12.75">
      <c r="A50" s="31" t="s">
        <v>900</v>
      </c>
      <c r="B50" s="30">
        <f>SUMIF($C$23:$C$41,"6",$B$23:$B$41)</f>
        <v>0</v>
      </c>
      <c r="C50" s="122">
        <v>6</v>
      </c>
      <c r="D50" s="216">
        <f>B52</f>
        <v>0</v>
      </c>
      <c r="E50" s="47"/>
      <c r="F50" s="11"/>
      <c r="G50" s="45"/>
      <c r="H50" s="45"/>
      <c r="I50" s="45"/>
      <c r="J50" s="45"/>
      <c r="K50" s="45"/>
      <c r="L50" s="45"/>
      <c r="M50" s="45"/>
      <c r="N50" s="45"/>
      <c r="O50" s="36"/>
      <c r="P50" s="36"/>
    </row>
    <row r="51" spans="1:16" ht="12.75">
      <c r="A51" s="31" t="s">
        <v>899</v>
      </c>
      <c r="B51" s="30">
        <f>SUMIF($C$23:$C$41,"7",$B$23:$B$41)</f>
        <v>3865</v>
      </c>
      <c r="C51" s="122">
        <v>7</v>
      </c>
      <c r="D51" s="216">
        <f>B53</f>
        <v>0</v>
      </c>
      <c r="E51" s="47"/>
      <c r="F51" s="11"/>
      <c r="G51" s="45"/>
      <c r="H51" s="45"/>
      <c r="I51" s="45"/>
      <c r="J51" s="45"/>
      <c r="K51" s="45"/>
      <c r="L51" s="45"/>
      <c r="M51" s="45"/>
      <c r="N51" s="45"/>
      <c r="O51" s="36"/>
      <c r="P51" s="36"/>
    </row>
    <row r="52" spans="1:16" ht="12.75">
      <c r="A52" s="31" t="s">
        <v>901</v>
      </c>
      <c r="B52" s="30">
        <f>SUMIF($C$23:$C$41,"8",$B$23:$B$41)</f>
        <v>0</v>
      </c>
      <c r="C52" s="36"/>
      <c r="D52" s="221"/>
      <c r="E52" s="47"/>
      <c r="F52" s="11"/>
      <c r="G52" s="45"/>
      <c r="H52" s="45"/>
      <c r="I52" s="45"/>
      <c r="J52" s="45"/>
      <c r="K52" s="45"/>
      <c r="L52" s="45"/>
      <c r="M52" s="45"/>
      <c r="N52" s="45"/>
      <c r="O52" s="36"/>
      <c r="P52" s="36"/>
    </row>
    <row r="53" spans="1:16" ht="12.75">
      <c r="A53" s="31" t="s">
        <v>906</v>
      </c>
      <c r="B53" s="30">
        <f>SUMIF($C$23:$C$41,"9",$B$23:$B$41)</f>
        <v>0</v>
      </c>
      <c r="C53" s="36"/>
      <c r="D53" s="217"/>
      <c r="E53" s="16"/>
      <c r="F53" s="11"/>
      <c r="G53" s="45"/>
      <c r="H53" s="45"/>
      <c r="I53" s="45"/>
      <c r="J53" s="45"/>
      <c r="K53" s="45"/>
      <c r="L53" s="45"/>
      <c r="M53" s="45"/>
      <c r="N53" s="45"/>
      <c r="O53" s="36"/>
      <c r="P53" s="36"/>
    </row>
    <row r="54" spans="1:16" ht="12.75">
      <c r="A54" s="173" t="s">
        <v>368</v>
      </c>
      <c r="B54" s="215">
        <f>SUM(B45:B53)</f>
        <v>127917</v>
      </c>
      <c r="C54" s="39"/>
      <c r="D54" s="215">
        <f>SUM(D45:D53)</f>
        <v>127917</v>
      </c>
      <c r="E54" s="21"/>
      <c r="F54" s="11"/>
      <c r="G54" s="45"/>
      <c r="H54" s="45"/>
      <c r="I54" s="45"/>
      <c r="J54" s="45"/>
      <c r="K54" s="45"/>
      <c r="L54" s="45"/>
      <c r="M54" s="45"/>
      <c r="N54" s="45"/>
      <c r="O54" s="36"/>
      <c r="P54" s="36"/>
    </row>
    <row r="56" spans="1:9" ht="62.25" customHeight="1">
      <c r="A56" s="301" t="s">
        <v>27</v>
      </c>
      <c r="B56" s="309"/>
      <c r="C56" s="309"/>
      <c r="D56" s="309"/>
      <c r="E56" s="309"/>
      <c r="F56" s="309"/>
      <c r="G56" s="309"/>
      <c r="H56" s="309"/>
      <c r="I56" s="310"/>
    </row>
    <row r="60" spans="1:10" ht="15.75">
      <c r="A60" s="90" t="s">
        <v>720</v>
      </c>
      <c r="B60" s="2"/>
      <c r="C60" s="2"/>
      <c r="D60" s="2"/>
      <c r="E60" s="33"/>
      <c r="F60" s="2"/>
      <c r="G60" s="2"/>
      <c r="H60" s="2"/>
      <c r="I60" s="2"/>
      <c r="J60" s="2"/>
    </row>
    <row r="61" spans="1:13" ht="15.75">
      <c r="A61" s="4" t="s">
        <v>705</v>
      </c>
      <c r="B61" s="63">
        <v>1931</v>
      </c>
      <c r="C61" s="75"/>
      <c r="D61" s="58"/>
      <c r="E61" s="27"/>
      <c r="F61" s="63">
        <v>1953</v>
      </c>
      <c r="G61" s="75"/>
      <c r="H61" s="58"/>
      <c r="I61" s="27"/>
      <c r="J61" s="50"/>
      <c r="K61" s="50"/>
      <c r="L61" s="50"/>
      <c r="M61" s="110"/>
    </row>
    <row r="62" spans="1:13" ht="22.5" customHeight="1">
      <c r="A62" s="28" t="s">
        <v>430</v>
      </c>
      <c r="B62" s="5" t="s">
        <v>370</v>
      </c>
      <c r="C62" s="76" t="s">
        <v>897</v>
      </c>
      <c r="D62" s="304" t="s">
        <v>400</v>
      </c>
      <c r="E62" s="305"/>
      <c r="F62" s="5" t="s">
        <v>370</v>
      </c>
      <c r="G62" s="76" t="s">
        <v>897</v>
      </c>
      <c r="H62" s="304" t="s">
        <v>400</v>
      </c>
      <c r="I62" s="305"/>
      <c r="J62" s="57" t="s">
        <v>6</v>
      </c>
      <c r="K62" s="5"/>
      <c r="L62" s="5"/>
      <c r="M62" s="6"/>
    </row>
    <row r="63" spans="1:13" ht="22.5">
      <c r="A63" s="7"/>
      <c r="B63" s="8"/>
      <c r="C63" s="71"/>
      <c r="D63" s="7" t="s">
        <v>305</v>
      </c>
      <c r="E63" s="9" t="s">
        <v>306</v>
      </c>
      <c r="F63" s="8"/>
      <c r="G63" s="71"/>
      <c r="H63" s="7" t="s">
        <v>305</v>
      </c>
      <c r="I63" s="9" t="s">
        <v>306</v>
      </c>
      <c r="J63" s="7" t="s">
        <v>431</v>
      </c>
      <c r="K63" s="8" t="s">
        <v>423</v>
      </c>
      <c r="L63" s="8" t="s">
        <v>424</v>
      </c>
      <c r="M63" s="44" t="s">
        <v>428</v>
      </c>
    </row>
    <row r="64" spans="1:13" ht="12.75">
      <c r="A64" s="28" t="s">
        <v>706</v>
      </c>
      <c r="B64" s="72">
        <v>20970</v>
      </c>
      <c r="C64" s="76">
        <v>1</v>
      </c>
      <c r="D64" s="100">
        <f>$C$12</f>
        <v>97</v>
      </c>
      <c r="E64" s="99">
        <f>$D$12</f>
        <v>99</v>
      </c>
      <c r="F64" s="82">
        <v>17000</v>
      </c>
      <c r="G64" s="76">
        <v>1</v>
      </c>
      <c r="H64" s="100">
        <f>$C$12</f>
        <v>97</v>
      </c>
      <c r="I64" s="99">
        <f>$D$12</f>
        <v>99</v>
      </c>
      <c r="J64" s="5"/>
      <c r="K64" s="5"/>
      <c r="L64" s="45" t="s">
        <v>411</v>
      </c>
      <c r="M64" s="6" t="s">
        <v>715</v>
      </c>
    </row>
    <row r="65" spans="1:13" ht="13.5" customHeight="1">
      <c r="A65" s="10" t="s">
        <v>707</v>
      </c>
      <c r="B65" s="42">
        <v>11405</v>
      </c>
      <c r="C65" s="70">
        <v>1</v>
      </c>
      <c r="D65" s="13">
        <f>$C$12</f>
        <v>97</v>
      </c>
      <c r="E65" s="14">
        <f>$D$12</f>
        <v>99</v>
      </c>
      <c r="F65" s="77">
        <v>19000</v>
      </c>
      <c r="G65" s="70">
        <v>1</v>
      </c>
      <c r="H65" s="13">
        <f>$C$12</f>
        <v>97</v>
      </c>
      <c r="I65" s="14">
        <f>$D$12</f>
        <v>99</v>
      </c>
      <c r="J65" s="11"/>
      <c r="K65" s="11"/>
      <c r="L65" s="45" t="s">
        <v>411</v>
      </c>
      <c r="M65" s="12" t="s">
        <v>716</v>
      </c>
    </row>
    <row r="66" spans="1:13" ht="12.75" customHeight="1">
      <c r="A66" s="10" t="s">
        <v>708</v>
      </c>
      <c r="B66" s="42">
        <v>3828</v>
      </c>
      <c r="C66" s="70">
        <v>1</v>
      </c>
      <c r="D66" s="13">
        <f>$C$12</f>
        <v>97</v>
      </c>
      <c r="E66" s="14">
        <f>$D$12</f>
        <v>99</v>
      </c>
      <c r="F66" s="77">
        <v>11000</v>
      </c>
      <c r="G66" s="70">
        <v>1</v>
      </c>
      <c r="H66" s="13">
        <f>$C$12</f>
        <v>97</v>
      </c>
      <c r="I66" s="14">
        <f>$D$12</f>
        <v>99</v>
      </c>
      <c r="J66" s="11"/>
      <c r="K66" s="11"/>
      <c r="L66" s="45" t="s">
        <v>411</v>
      </c>
      <c r="M66" s="12" t="s">
        <v>717</v>
      </c>
    </row>
    <row r="67" spans="1:13" ht="12.75">
      <c r="A67" s="10" t="s">
        <v>709</v>
      </c>
      <c r="B67" s="42">
        <v>4960</v>
      </c>
      <c r="C67" s="70">
        <v>1</v>
      </c>
      <c r="D67" s="13">
        <f>$C$12</f>
        <v>97</v>
      </c>
      <c r="E67" s="14">
        <f>$D$12</f>
        <v>99</v>
      </c>
      <c r="F67" s="77">
        <v>9000</v>
      </c>
      <c r="G67" s="70">
        <v>1</v>
      </c>
      <c r="H67" s="13">
        <f>$C$12</f>
        <v>97</v>
      </c>
      <c r="I67" s="14">
        <f>$D$12</f>
        <v>99</v>
      </c>
      <c r="J67" s="11"/>
      <c r="K67" s="11"/>
      <c r="L67" s="45" t="s">
        <v>411</v>
      </c>
      <c r="M67" s="12" t="s">
        <v>159</v>
      </c>
    </row>
    <row r="68" spans="1:13" ht="25.5" customHeight="1">
      <c r="A68" s="10" t="s">
        <v>710</v>
      </c>
      <c r="B68" s="42">
        <v>4460</v>
      </c>
      <c r="C68" s="70">
        <f>IF($B$61-J68&gt;=$C$7,2,IF($B$61-J68&gt;=$C$7*2/3,3,IF($B$61-J68&gt;=$C$7*1/3,4,IF($B$61-J68&gt;=0,5,8))))</f>
        <v>5</v>
      </c>
      <c r="D68" s="130">
        <f>MAX($C$10,MIN($C$11,($C$14+($C$11-$C$14)*($B$61-J68)/$C$7)))</f>
        <v>12.933333333333334</v>
      </c>
      <c r="E68" s="131">
        <f>MAX($D$10,MIN($D$11,($D$14+($D$11-$D$14)*($B$61-J68)/$C$7)))</f>
        <v>30.53333333333333</v>
      </c>
      <c r="F68" s="77">
        <v>7000</v>
      </c>
      <c r="G68" s="70">
        <f>IF($F$61-J68&gt;=$C$7,2,IF($F$61-J68&gt;=$C$7*2/3,3,IF($F$61-J68&gt;=$C$7*1/3,4,IF($F$61-J68&gt;=0,5,8))))</f>
        <v>4</v>
      </c>
      <c r="H68" s="130">
        <f>MAX($C$10,MIN($C$11,($C$14+($C$11-$C$14)*($F$61-J68)/$C$7)))</f>
        <v>60.355555555555554</v>
      </c>
      <c r="I68" s="131">
        <f>MAX($D$10,MIN($D$11,($D$14+($D$11-$D$14)*($F$61-J68)/$C$7)))</f>
        <v>69.15555555555557</v>
      </c>
      <c r="J68" s="11">
        <v>1925</v>
      </c>
      <c r="K68" s="11" t="s">
        <v>426</v>
      </c>
      <c r="L68" s="11" t="s">
        <v>303</v>
      </c>
      <c r="M68" s="12" t="s">
        <v>866</v>
      </c>
    </row>
    <row r="69" spans="1:13" ht="12.75">
      <c r="A69" s="10" t="s">
        <v>711</v>
      </c>
      <c r="B69" s="42">
        <v>1633</v>
      </c>
      <c r="C69" s="70">
        <v>1</v>
      </c>
      <c r="D69" s="13">
        <f>$C$12</f>
        <v>97</v>
      </c>
      <c r="E69" s="14">
        <f>$D$12</f>
        <v>99</v>
      </c>
      <c r="F69" s="77">
        <v>4000</v>
      </c>
      <c r="G69" s="70">
        <v>1</v>
      </c>
      <c r="H69" s="13">
        <f>$C$12</f>
        <v>97</v>
      </c>
      <c r="I69" s="14">
        <f>$D$12</f>
        <v>99</v>
      </c>
      <c r="J69" s="11"/>
      <c r="K69" s="11"/>
      <c r="L69" s="45" t="s">
        <v>411</v>
      </c>
      <c r="M69" s="12" t="s">
        <v>159</v>
      </c>
    </row>
    <row r="70" spans="1:13" ht="14.25" customHeight="1">
      <c r="A70" s="10" t="s">
        <v>712</v>
      </c>
      <c r="B70" s="42">
        <v>1352</v>
      </c>
      <c r="C70" s="70">
        <v>1</v>
      </c>
      <c r="D70" s="13">
        <f>$C$12</f>
        <v>97</v>
      </c>
      <c r="E70" s="14">
        <f>$D$12</f>
        <v>99</v>
      </c>
      <c r="F70" s="77">
        <v>4000</v>
      </c>
      <c r="G70" s="70">
        <v>1</v>
      </c>
      <c r="H70" s="13">
        <f>$C$12</f>
        <v>97</v>
      </c>
      <c r="I70" s="14">
        <f>$D$12</f>
        <v>99</v>
      </c>
      <c r="J70" s="11"/>
      <c r="K70" s="11"/>
      <c r="L70" s="45" t="s">
        <v>411</v>
      </c>
      <c r="M70" s="12" t="s">
        <v>718</v>
      </c>
    </row>
    <row r="71" spans="1:13" ht="12" customHeight="1">
      <c r="A71" s="10" t="s">
        <v>713</v>
      </c>
      <c r="B71" s="42">
        <v>1119</v>
      </c>
      <c r="C71" s="70">
        <v>1</v>
      </c>
      <c r="D71" s="13">
        <f>$C$12</f>
        <v>97</v>
      </c>
      <c r="E71" s="14">
        <f>$D$12</f>
        <v>99</v>
      </c>
      <c r="F71" s="77">
        <v>4000</v>
      </c>
      <c r="G71" s="70">
        <v>1</v>
      </c>
      <c r="H71" s="13">
        <f>$C$12</f>
        <v>97</v>
      </c>
      <c r="I71" s="14">
        <f>$D$12</f>
        <v>99</v>
      </c>
      <c r="J71" s="11"/>
      <c r="K71" s="11"/>
      <c r="L71" s="45" t="s">
        <v>411</v>
      </c>
      <c r="M71" s="12" t="s">
        <v>178</v>
      </c>
    </row>
    <row r="72" spans="1:13" ht="23.25" customHeight="1">
      <c r="A72" s="10" t="s">
        <v>714</v>
      </c>
      <c r="B72" s="42">
        <v>1450</v>
      </c>
      <c r="C72" s="70">
        <f>IF($B$61-J72&gt;=$C$7,6,7)</f>
        <v>7</v>
      </c>
      <c r="D72" s="130">
        <f>MAX($C$13,MIN($C$11,($C$13+($C$11-$C$13)*($B$61-J72)/$C$8)))</f>
        <v>83.06666666666666</v>
      </c>
      <c r="E72" s="131">
        <f>MAX($D$13,MIN($D$11,($D$13+($D$11-$D$13)*($B$61-J72)/$C$8)))</f>
        <v>90.13333333333334</v>
      </c>
      <c r="F72" s="77">
        <v>2500</v>
      </c>
      <c r="G72" s="70">
        <f>IF($F$61-J72&gt;=$C$7,6,7)</f>
        <v>7</v>
      </c>
      <c r="H72" s="130">
        <f>MAX($C$13,MIN($C$11,($C$13+($C$11-$C$13)*($F$61-J72)/$C$8)))</f>
        <v>97</v>
      </c>
      <c r="I72" s="131">
        <f>MAX($D$13,MIN($D$11,($D$13+($D$11-$D$13)*($F$61-J72)/$C$8)))</f>
        <v>99</v>
      </c>
      <c r="J72" s="11">
        <v>1920</v>
      </c>
      <c r="K72" s="11" t="s">
        <v>124</v>
      </c>
      <c r="L72" s="15" t="s">
        <v>408</v>
      </c>
      <c r="M72" s="12" t="s">
        <v>697</v>
      </c>
    </row>
    <row r="73" spans="1:13" ht="36.75" customHeight="1">
      <c r="A73" s="10" t="s">
        <v>635</v>
      </c>
      <c r="B73" s="42">
        <v>4181</v>
      </c>
      <c r="C73" s="70">
        <v>1</v>
      </c>
      <c r="D73" s="13">
        <f>$C$12</f>
        <v>97</v>
      </c>
      <c r="E73" s="14">
        <f>$D$12</f>
        <v>99</v>
      </c>
      <c r="F73" s="77">
        <v>7500</v>
      </c>
      <c r="G73" s="70">
        <v>1</v>
      </c>
      <c r="H73" s="13">
        <f>$C$12</f>
        <v>97</v>
      </c>
      <c r="I73" s="14">
        <f>$D$12</f>
        <v>99</v>
      </c>
      <c r="J73" s="11"/>
      <c r="K73" s="11"/>
      <c r="L73" s="45" t="s">
        <v>411</v>
      </c>
      <c r="M73" s="12" t="s">
        <v>144</v>
      </c>
    </row>
    <row r="74" spans="1:13" ht="12.75">
      <c r="A74" s="10" t="s">
        <v>368</v>
      </c>
      <c r="B74" s="96">
        <f>SUM(B64:B73)</f>
        <v>55358</v>
      </c>
      <c r="C74" s="70"/>
      <c r="D74" s="97">
        <f>SUMPRODUCT(B64:B73,D64:D73)/100</f>
        <v>49745.85333333333</v>
      </c>
      <c r="E74" s="107">
        <f>SUMPRODUCT(B64:B73,E64:E73)/100</f>
        <v>51622.24</v>
      </c>
      <c r="F74" s="116">
        <f>SUM(F64:F73)</f>
        <v>85000</v>
      </c>
      <c r="G74" s="70"/>
      <c r="H74" s="97">
        <f>SUMPRODUCT(F64:F73,H64:H73)/100</f>
        <v>79884.88888888889</v>
      </c>
      <c r="I74" s="107">
        <f>SUMPRODUCT(F64:F73,I64:I73)/100</f>
        <v>82060.88888888889</v>
      </c>
      <c r="J74" s="11"/>
      <c r="K74" s="11"/>
      <c r="L74" s="11"/>
      <c r="M74" s="12"/>
    </row>
    <row r="75" spans="1:13" ht="22.5">
      <c r="A75" s="17" t="s">
        <v>369</v>
      </c>
      <c r="B75" s="9"/>
      <c r="C75" s="66"/>
      <c r="D75" s="117">
        <f>100*D74/B74</f>
        <v>89.86208557630935</v>
      </c>
      <c r="E75" s="118">
        <f>100*E74/B74</f>
        <v>93.25163481339644</v>
      </c>
      <c r="F75" s="102"/>
      <c r="G75" s="66"/>
      <c r="H75" s="117">
        <f>100*H74/F74</f>
        <v>93.98222222222222</v>
      </c>
      <c r="I75" s="118">
        <f>100*I74/F74</f>
        <v>96.54222222222222</v>
      </c>
      <c r="J75" s="8"/>
      <c r="K75" s="8"/>
      <c r="L75" s="8"/>
      <c r="M75" s="9"/>
    </row>
    <row r="76" spans="1:13" ht="12.75">
      <c r="A76" s="181" t="s">
        <v>907</v>
      </c>
      <c r="B76" s="5"/>
      <c r="C76" s="182" t="s">
        <v>908</v>
      </c>
      <c r="D76" s="183"/>
      <c r="E76" s="213"/>
      <c r="F76" s="83"/>
      <c r="G76" s="182" t="s">
        <v>908</v>
      </c>
      <c r="H76" s="183"/>
      <c r="I76" s="194"/>
      <c r="J76" s="11"/>
      <c r="K76" s="11"/>
      <c r="L76" s="11"/>
      <c r="M76" s="11"/>
    </row>
    <row r="77" spans="1:13" ht="12.75">
      <c r="A77" s="31" t="s">
        <v>898</v>
      </c>
      <c r="B77" s="30">
        <f>SUMIF($C$64:$C$73,"1",$B$64:$B$73)</f>
        <v>49448</v>
      </c>
      <c r="C77" s="122">
        <v>1</v>
      </c>
      <c r="D77" s="216">
        <f>B77+B78+B82</f>
        <v>49448</v>
      </c>
      <c r="E77" s="47"/>
      <c r="F77" s="30">
        <f>SUMIF($G$64:$G$73,"1",$F$64:$F$73)</f>
        <v>75500</v>
      </c>
      <c r="G77" s="122">
        <v>1</v>
      </c>
      <c r="H77" s="216">
        <f>F77+F78+F82</f>
        <v>75500</v>
      </c>
      <c r="I77" s="16"/>
      <c r="J77" s="11"/>
      <c r="K77" s="11"/>
      <c r="L77" s="11"/>
      <c r="M77" s="11"/>
    </row>
    <row r="78" spans="1:13" ht="12.75">
      <c r="A78" s="31" t="s">
        <v>903</v>
      </c>
      <c r="B78" s="30">
        <f>SUMIF($C$64:$C$73,"2",$B$64:$B$73)</f>
        <v>0</v>
      </c>
      <c r="C78" s="122">
        <v>2</v>
      </c>
      <c r="D78" s="216">
        <f>B83</f>
        <v>1450</v>
      </c>
      <c r="E78" s="47"/>
      <c r="F78" s="30">
        <f>SUMIF($G$64:$G$73,"2",$F$64:$F$73)</f>
        <v>0</v>
      </c>
      <c r="G78" s="122">
        <v>2</v>
      </c>
      <c r="H78" s="216">
        <f>F83</f>
        <v>2500</v>
      </c>
      <c r="I78" s="16"/>
      <c r="J78" s="11"/>
      <c r="K78" s="11"/>
      <c r="L78" s="11"/>
      <c r="M78" s="11"/>
    </row>
    <row r="79" spans="1:13" ht="12.75">
      <c r="A79" s="31" t="s">
        <v>902</v>
      </c>
      <c r="B79" s="30">
        <f>SUMIF($C$64:$C$73,"3",$B$64:$B$73)</f>
        <v>0</v>
      </c>
      <c r="C79" s="122">
        <v>3</v>
      </c>
      <c r="D79" s="216">
        <f>B79</f>
        <v>0</v>
      </c>
      <c r="E79" s="47"/>
      <c r="F79" s="30">
        <f>SUMIF($G$64:$G$73,"3",$F$64:$F$73)</f>
        <v>0</v>
      </c>
      <c r="G79" s="122">
        <v>3</v>
      </c>
      <c r="H79" s="216">
        <f>F79</f>
        <v>0</v>
      </c>
      <c r="I79" s="16"/>
      <c r="J79" s="11"/>
      <c r="K79" s="11"/>
      <c r="L79" s="11"/>
      <c r="M79" s="11"/>
    </row>
    <row r="80" spans="1:13" ht="22.5">
      <c r="A80" s="31" t="s">
        <v>904</v>
      </c>
      <c r="B80" s="30">
        <f>SUMIF($C$64:$C$73,"4",$B$64:$B$73)</f>
        <v>0</v>
      </c>
      <c r="C80" s="122">
        <v>4</v>
      </c>
      <c r="D80" s="216">
        <f>B80</f>
        <v>0</v>
      </c>
      <c r="E80" s="47"/>
      <c r="F80" s="30">
        <f>SUMIF($G$64:$G$73,"4",$F$64:$F$73)</f>
        <v>7000</v>
      </c>
      <c r="G80" s="122">
        <v>4</v>
      </c>
      <c r="H80" s="216">
        <f>F80</f>
        <v>7000</v>
      </c>
      <c r="I80" s="16"/>
      <c r="J80" s="11"/>
      <c r="K80" s="11"/>
      <c r="L80" s="11"/>
      <c r="M80" s="11"/>
    </row>
    <row r="81" spans="1:13" ht="12.75">
      <c r="A81" s="31" t="s">
        <v>905</v>
      </c>
      <c r="B81" s="30">
        <f>SUMIF($C$64:$C$73,"5",$B$64:$B$73)</f>
        <v>4460</v>
      </c>
      <c r="C81" s="122">
        <v>5</v>
      </c>
      <c r="D81" s="216">
        <f>B81</f>
        <v>4460</v>
      </c>
      <c r="E81" s="47"/>
      <c r="F81" s="30">
        <f>SUMIF($G$64:$G$73,"5",$F$64:$F$73)</f>
        <v>0</v>
      </c>
      <c r="G81" s="122">
        <v>5</v>
      </c>
      <c r="H81" s="216">
        <f>F81</f>
        <v>0</v>
      </c>
      <c r="I81" s="16"/>
      <c r="J81" s="11"/>
      <c r="K81" s="11"/>
      <c r="L81" s="11"/>
      <c r="M81" s="11"/>
    </row>
    <row r="82" spans="1:13" ht="12.75">
      <c r="A82" s="31" t="s">
        <v>900</v>
      </c>
      <c r="B82" s="30">
        <f>SUMIF($C$64:$C$73,"6",$B$64:$B$73)</f>
        <v>0</v>
      </c>
      <c r="C82" s="122">
        <v>6</v>
      </c>
      <c r="D82" s="216">
        <f>B84</f>
        <v>0</v>
      </c>
      <c r="E82" s="47"/>
      <c r="F82" s="30">
        <f>SUMIF($G$64:$G$73,"6",$F$64:$F$73)</f>
        <v>0</v>
      </c>
      <c r="G82" s="122">
        <v>6</v>
      </c>
      <c r="H82" s="216">
        <f>F84</f>
        <v>0</v>
      </c>
      <c r="I82" s="16"/>
      <c r="J82" s="11"/>
      <c r="K82" s="11"/>
      <c r="L82" s="11"/>
      <c r="M82" s="11"/>
    </row>
    <row r="83" spans="1:13" ht="12.75">
      <c r="A83" s="31" t="s">
        <v>899</v>
      </c>
      <c r="B83" s="30">
        <f>SUMIF($C$64:$C$73,"7",$B$64:$B$73)</f>
        <v>1450</v>
      </c>
      <c r="C83" s="122">
        <v>7</v>
      </c>
      <c r="D83" s="216">
        <f>B85</f>
        <v>0</v>
      </c>
      <c r="E83" s="47"/>
      <c r="F83" s="30">
        <f>SUMIF($G$64:$G$73,"7",$F$64:$F$73)</f>
        <v>2500</v>
      </c>
      <c r="G83" s="122">
        <v>7</v>
      </c>
      <c r="H83" s="216">
        <f>F85</f>
        <v>0</v>
      </c>
      <c r="I83" s="16"/>
      <c r="J83" s="11"/>
      <c r="K83" s="11"/>
      <c r="L83" s="11"/>
      <c r="M83" s="11"/>
    </row>
    <row r="84" spans="1:13" ht="12.75">
      <c r="A84" s="31" t="s">
        <v>901</v>
      </c>
      <c r="B84" s="30">
        <f>SUMIF($C$64:$C$73,"8",$B$64:$B$73)</f>
        <v>0</v>
      </c>
      <c r="C84" s="36"/>
      <c r="D84" s="221"/>
      <c r="E84" s="47"/>
      <c r="F84" s="30">
        <f>SUMIF($G$64:$G$73,"8",$F$64:$F$73)</f>
        <v>0</v>
      </c>
      <c r="G84" s="135"/>
      <c r="H84" s="217"/>
      <c r="I84" s="12"/>
      <c r="J84" s="11"/>
      <c r="K84" s="11"/>
      <c r="L84" s="11"/>
      <c r="M84" s="11"/>
    </row>
    <row r="85" spans="1:13" ht="12.75">
      <c r="A85" s="31" t="s">
        <v>906</v>
      </c>
      <c r="B85" s="30">
        <f>SUMIF($C$64:$C$73,"9",$B$64:$B$73)</f>
        <v>0</v>
      </c>
      <c r="C85" s="36"/>
      <c r="D85" s="217"/>
      <c r="E85" s="16"/>
      <c r="F85" s="30">
        <f>SUMIF($G$64:$G$73,"9",$F$64:$F$73)</f>
        <v>0</v>
      </c>
      <c r="G85" s="135"/>
      <c r="H85" s="217"/>
      <c r="I85" s="12"/>
      <c r="J85" s="11"/>
      <c r="K85" s="11"/>
      <c r="L85" s="11"/>
      <c r="M85" s="11"/>
    </row>
    <row r="86" spans="1:13" ht="12.75">
      <c r="A86" s="173" t="s">
        <v>368</v>
      </c>
      <c r="B86" s="215">
        <f>SUM(B77:B85)</f>
        <v>55358</v>
      </c>
      <c r="C86" s="39"/>
      <c r="D86" s="215">
        <f>SUM(D77:D85)</f>
        <v>55358</v>
      </c>
      <c r="E86" s="21"/>
      <c r="F86" s="215">
        <f>SUM(F77:F85)</f>
        <v>85000</v>
      </c>
      <c r="G86" s="180"/>
      <c r="H86" s="215">
        <f>SUM(H77:H85)</f>
        <v>85000</v>
      </c>
      <c r="I86" s="9"/>
      <c r="J86" s="11"/>
      <c r="K86" s="11"/>
      <c r="L86" s="11"/>
      <c r="M86" s="11"/>
    </row>
    <row r="88" spans="1:9" ht="60.75" customHeight="1">
      <c r="A88" s="301" t="s">
        <v>28</v>
      </c>
      <c r="B88" s="309"/>
      <c r="C88" s="309"/>
      <c r="D88" s="309"/>
      <c r="E88" s="309"/>
      <c r="F88" s="309"/>
      <c r="G88" s="309"/>
      <c r="H88" s="309"/>
      <c r="I88" s="310"/>
    </row>
    <row r="92" spans="1:10" ht="15.75">
      <c r="A92" s="90" t="s">
        <v>721</v>
      </c>
      <c r="B92" s="2"/>
      <c r="C92" s="2"/>
      <c r="D92" s="2"/>
      <c r="E92" s="33"/>
      <c r="F92" s="2"/>
      <c r="G92" s="2"/>
      <c r="H92" s="2"/>
      <c r="I92" s="2"/>
      <c r="J92" s="2"/>
    </row>
    <row r="93" spans="1:13" ht="15.75">
      <c r="A93" s="4" t="s">
        <v>705</v>
      </c>
      <c r="B93" s="63">
        <v>1911</v>
      </c>
      <c r="C93" s="75"/>
      <c r="D93" s="58"/>
      <c r="E93" s="27"/>
      <c r="F93" s="63">
        <v>1921</v>
      </c>
      <c r="G93" s="75"/>
      <c r="H93" s="58"/>
      <c r="I93" s="27"/>
      <c r="J93" s="50"/>
      <c r="K93" s="50"/>
      <c r="L93" s="50"/>
      <c r="M93" s="110"/>
    </row>
    <row r="94" spans="1:13" ht="22.5" customHeight="1">
      <c r="A94" s="28" t="s">
        <v>430</v>
      </c>
      <c r="B94" s="5" t="s">
        <v>370</v>
      </c>
      <c r="C94" s="76" t="s">
        <v>897</v>
      </c>
      <c r="D94" s="304" t="s">
        <v>400</v>
      </c>
      <c r="E94" s="305"/>
      <c r="F94" s="5" t="s">
        <v>370</v>
      </c>
      <c r="G94" s="76" t="s">
        <v>897</v>
      </c>
      <c r="H94" s="304" t="s">
        <v>400</v>
      </c>
      <c r="I94" s="305"/>
      <c r="J94" s="57" t="s">
        <v>6</v>
      </c>
      <c r="K94" s="5"/>
      <c r="L94" s="5"/>
      <c r="M94" s="6"/>
    </row>
    <row r="95" spans="1:13" ht="22.5">
      <c r="A95" s="7"/>
      <c r="B95" s="8"/>
      <c r="C95" s="71"/>
      <c r="D95" s="7" t="s">
        <v>305</v>
      </c>
      <c r="E95" s="9" t="s">
        <v>306</v>
      </c>
      <c r="F95" s="8"/>
      <c r="G95" s="71"/>
      <c r="H95" s="7" t="s">
        <v>305</v>
      </c>
      <c r="I95" s="9" t="s">
        <v>306</v>
      </c>
      <c r="J95" s="7" t="s">
        <v>431</v>
      </c>
      <c r="K95" s="8" t="s">
        <v>423</v>
      </c>
      <c r="L95" s="8" t="s">
        <v>424</v>
      </c>
      <c r="M95" s="44" t="s">
        <v>428</v>
      </c>
    </row>
    <row r="96" spans="1:13" ht="12.75">
      <c r="A96" s="28" t="s">
        <v>706</v>
      </c>
      <c r="B96" s="6">
        <v>16716</v>
      </c>
      <c r="C96" s="76">
        <v>1</v>
      </c>
      <c r="D96" s="100">
        <f>$C$12</f>
        <v>97</v>
      </c>
      <c r="E96" s="99">
        <f>$D$12</f>
        <v>99</v>
      </c>
      <c r="F96" s="76">
        <v>15791</v>
      </c>
      <c r="G96" s="76">
        <v>1</v>
      </c>
      <c r="H96" s="100">
        <f>$C$12</f>
        <v>97</v>
      </c>
      <c r="I96" s="99">
        <f>$D$12</f>
        <v>99</v>
      </c>
      <c r="J96" s="5"/>
      <c r="K96" s="5"/>
      <c r="L96" s="45" t="s">
        <v>411</v>
      </c>
      <c r="M96" s="6" t="s">
        <v>715</v>
      </c>
    </row>
    <row r="97" spans="1:13" ht="12.75">
      <c r="A97" s="10" t="s">
        <v>707</v>
      </c>
      <c r="B97" s="12">
        <v>5007</v>
      </c>
      <c r="C97" s="70">
        <v>1</v>
      </c>
      <c r="D97" s="13">
        <f>$C$12</f>
        <v>97</v>
      </c>
      <c r="E97" s="14">
        <f>$D$12</f>
        <v>99</v>
      </c>
      <c r="F97" s="70">
        <v>8358</v>
      </c>
      <c r="G97" s="70">
        <v>1</v>
      </c>
      <c r="H97" s="13">
        <f>$C$12</f>
        <v>97</v>
      </c>
      <c r="I97" s="14">
        <f>$D$12</f>
        <v>99</v>
      </c>
      <c r="J97" s="11"/>
      <c r="K97" s="11"/>
      <c r="L97" s="45" t="s">
        <v>411</v>
      </c>
      <c r="M97" s="12" t="s">
        <v>716</v>
      </c>
    </row>
    <row r="98" spans="1:13" ht="12.75">
      <c r="A98" s="10" t="s">
        <v>708</v>
      </c>
      <c r="B98" s="12">
        <v>2557</v>
      </c>
      <c r="C98" s="70">
        <v>1</v>
      </c>
      <c r="D98" s="13">
        <f>$C$12</f>
        <v>97</v>
      </c>
      <c r="E98" s="14">
        <f>$D$12</f>
        <v>99</v>
      </c>
      <c r="F98" s="70">
        <v>4094</v>
      </c>
      <c r="G98" s="70">
        <v>1</v>
      </c>
      <c r="H98" s="13">
        <f>$C$12</f>
        <v>97</v>
      </c>
      <c r="I98" s="14">
        <f>$D$12</f>
        <v>99</v>
      </c>
      <c r="J98" s="11"/>
      <c r="K98" s="11"/>
      <c r="L98" s="45" t="s">
        <v>411</v>
      </c>
      <c r="M98" s="12" t="s">
        <v>717</v>
      </c>
    </row>
    <row r="99" spans="1:13" ht="12.75">
      <c r="A99" s="10" t="s">
        <v>709</v>
      </c>
      <c r="B99" s="12">
        <v>1611</v>
      </c>
      <c r="C99" s="70">
        <v>1</v>
      </c>
      <c r="D99" s="13">
        <f>$C$12</f>
        <v>97</v>
      </c>
      <c r="E99" s="14">
        <f>$D$12</f>
        <v>99</v>
      </c>
      <c r="F99" s="70">
        <v>2941</v>
      </c>
      <c r="G99" s="70">
        <v>1</v>
      </c>
      <c r="H99" s="13">
        <f>$C$12</f>
        <v>97</v>
      </c>
      <c r="I99" s="14">
        <f>$D$12</f>
        <v>99</v>
      </c>
      <c r="J99" s="11"/>
      <c r="K99" s="11"/>
      <c r="L99" s="45" t="s">
        <v>411</v>
      </c>
      <c r="M99" s="12" t="s">
        <v>159</v>
      </c>
    </row>
    <row r="100" spans="1:13" ht="22.5">
      <c r="A100" s="10" t="s">
        <v>710</v>
      </c>
      <c r="B100" s="12">
        <v>1551</v>
      </c>
      <c r="C100" s="70">
        <f>IF($B$93-J100&gt;=$C$7,2,IF($B$93-J100&gt;=$C$7*2/3,3,IF($B$93-J100&gt;=$C$7*1/3,4,IF($B$93-J100&gt;=0,5,8))))</f>
        <v>8</v>
      </c>
      <c r="D100" s="130">
        <f>MAX($C$10,MIN($C$11,($C$14+($C$11-$C$14)*($B$93-J100)/$C$7)))</f>
        <v>0</v>
      </c>
      <c r="E100" s="131">
        <f>MAX($D$10,MIN($D$11,($D$14+($D$11-$D$14)*($B$93-J100)/$C$7)))</f>
        <v>5</v>
      </c>
      <c r="F100" s="70">
        <v>4744</v>
      </c>
      <c r="G100" s="70">
        <f>IF($F$93-J100&gt;=$C$7,2,IF($F$93-J100&gt;=$C$7*2/3,3,IF($F$93-J100&gt;=$C$7*1/3,4,IF($F$93-J100&gt;=0,5,8))))</f>
        <v>8</v>
      </c>
      <c r="H100" s="130">
        <f>MAX($C$10,MIN($C$11,($C$14+($C$11-$C$14)*($F$93-J100)/$C$7)))</f>
        <v>0</v>
      </c>
      <c r="I100" s="131">
        <f>MAX($D$10,MIN($D$11,($D$14+($D$11-$D$14)*($F$93-J100)/$C$7)))</f>
        <v>12.977777777777778</v>
      </c>
      <c r="J100" s="11">
        <v>1925</v>
      </c>
      <c r="K100" s="11" t="s">
        <v>426</v>
      </c>
      <c r="L100" s="11" t="s">
        <v>303</v>
      </c>
      <c r="M100" s="12" t="s">
        <v>866</v>
      </c>
    </row>
    <row r="101" spans="1:13" ht="12.75">
      <c r="A101" s="10" t="s">
        <v>711</v>
      </c>
      <c r="B101" s="12">
        <v>382</v>
      </c>
      <c r="C101" s="70">
        <v>1</v>
      </c>
      <c r="D101" s="13">
        <f>$C$12</f>
        <v>97</v>
      </c>
      <c r="E101" s="14">
        <f>$D$12</f>
        <v>99</v>
      </c>
      <c r="F101" s="70">
        <v>775</v>
      </c>
      <c r="G101" s="70">
        <v>1</v>
      </c>
      <c r="H101" s="13">
        <f>$C$12</f>
        <v>97</v>
      </c>
      <c r="I101" s="14">
        <f>$D$12</f>
        <v>99</v>
      </c>
      <c r="J101" s="11"/>
      <c r="K101" s="11"/>
      <c r="L101" s="45" t="s">
        <v>411</v>
      </c>
      <c r="M101" s="12" t="s">
        <v>159</v>
      </c>
    </row>
    <row r="102" spans="1:13" ht="12.75">
      <c r="A102" s="10" t="s">
        <v>712</v>
      </c>
      <c r="B102" s="12">
        <v>1021</v>
      </c>
      <c r="C102" s="70">
        <v>1</v>
      </c>
      <c r="D102" s="13">
        <f>$C$12</f>
        <v>97</v>
      </c>
      <c r="E102" s="14">
        <f>$D$12</f>
        <v>99</v>
      </c>
      <c r="F102" s="70">
        <v>1461</v>
      </c>
      <c r="G102" s="70">
        <v>1</v>
      </c>
      <c r="H102" s="13">
        <f>$C$12</f>
        <v>97</v>
      </c>
      <c r="I102" s="14">
        <f>$D$12</f>
        <v>99</v>
      </c>
      <c r="J102" s="11"/>
      <c r="K102" s="11"/>
      <c r="L102" s="45" t="s">
        <v>411</v>
      </c>
      <c r="M102" s="12" t="s">
        <v>718</v>
      </c>
    </row>
    <row r="103" spans="1:13" ht="12.75">
      <c r="A103" s="10" t="s">
        <v>713</v>
      </c>
      <c r="B103" s="12">
        <v>289</v>
      </c>
      <c r="C103" s="70">
        <v>1</v>
      </c>
      <c r="D103" s="13">
        <f>$C$12</f>
        <v>97</v>
      </c>
      <c r="E103" s="14">
        <f>$D$12</f>
        <v>99</v>
      </c>
      <c r="F103" s="70">
        <v>499</v>
      </c>
      <c r="G103" s="70">
        <v>1</v>
      </c>
      <c r="H103" s="13">
        <f>$C$12</f>
        <v>97</v>
      </c>
      <c r="I103" s="14">
        <f>$D$12</f>
        <v>99</v>
      </c>
      <c r="J103" s="11"/>
      <c r="K103" s="11"/>
      <c r="L103" s="45" t="s">
        <v>411</v>
      </c>
      <c r="M103" s="12" t="s">
        <v>178</v>
      </c>
    </row>
    <row r="104" spans="1:13" ht="22.5" customHeight="1">
      <c r="A104" s="10" t="s">
        <v>714</v>
      </c>
      <c r="B104" s="12">
        <v>1311</v>
      </c>
      <c r="C104" s="70">
        <f>IF($B$93-J104&gt;=$C$7,6,7)</f>
        <v>7</v>
      </c>
      <c r="D104" s="130">
        <f>MAX($C$13,MIN($C$11,($C$13+($C$11-$C$13)*($B$93-J104)/$C$8)))</f>
        <v>75</v>
      </c>
      <c r="E104" s="131">
        <f>MAX($D$13,MIN($D$11,($D$13+($D$11-$D$13)*($B$93-J104)/$C$8)))</f>
        <v>85</v>
      </c>
      <c r="F104" s="70">
        <v>1346</v>
      </c>
      <c r="G104" s="70">
        <f>IF($F$93-J104&gt;=$C$7,6,7)</f>
        <v>7</v>
      </c>
      <c r="H104" s="130">
        <f>MAX($C$13,MIN($C$11,($C$13+($C$11-$C$13)*($F$93-J104)/$C$8)))</f>
        <v>75.73333333333333</v>
      </c>
      <c r="I104" s="131">
        <f>MAX($D$13,MIN($D$11,($D$13+($D$11-$D$13)*($F$93-J104)/$C$8)))</f>
        <v>85.46666666666667</v>
      </c>
      <c r="J104" s="11">
        <v>1920</v>
      </c>
      <c r="K104" s="11" t="s">
        <v>124</v>
      </c>
      <c r="L104" s="15" t="s">
        <v>408</v>
      </c>
      <c r="M104" s="12" t="s">
        <v>697</v>
      </c>
    </row>
    <row r="105" spans="1:13" ht="33.75">
      <c r="A105" s="10" t="s">
        <v>635</v>
      </c>
      <c r="B105" s="12">
        <v>3645</v>
      </c>
      <c r="C105" s="70">
        <v>1</v>
      </c>
      <c r="D105" s="13">
        <f>$C$12</f>
        <v>97</v>
      </c>
      <c r="E105" s="14">
        <f>$D$12</f>
        <v>99</v>
      </c>
      <c r="F105" s="70">
        <v>4133</v>
      </c>
      <c r="G105" s="70">
        <v>1</v>
      </c>
      <c r="H105" s="13">
        <f>$C$12</f>
        <v>97</v>
      </c>
      <c r="I105" s="14">
        <f>$D$12</f>
        <v>99</v>
      </c>
      <c r="J105" s="11"/>
      <c r="K105" s="11"/>
      <c r="L105" s="45" t="s">
        <v>411</v>
      </c>
      <c r="M105" s="12" t="s">
        <v>144</v>
      </c>
    </row>
    <row r="106" spans="1:13" ht="12.75">
      <c r="A106" s="10" t="s">
        <v>368</v>
      </c>
      <c r="B106" s="12">
        <f>SUM(B96:B105)</f>
        <v>34090</v>
      </c>
      <c r="C106" s="70"/>
      <c r="D106" s="97">
        <f>SUMPRODUCT(B96:B105,D96:D105)/100</f>
        <v>31274.41</v>
      </c>
      <c r="E106" s="107">
        <f>SUMPRODUCT(B96:B105,E96:E105)/100</f>
        <v>32107.62</v>
      </c>
      <c r="F106" s="70">
        <f>SUM(F96:F105)</f>
        <v>44142</v>
      </c>
      <c r="G106" s="70"/>
      <c r="H106" s="97">
        <f>SUMPRODUCT(F96:F105,H96:H105)/100</f>
        <v>37929.81066666667</v>
      </c>
      <c r="I106" s="107">
        <f>SUMPRODUCT(F96:F105,I96:I105)/100</f>
        <v>39437.527111111114</v>
      </c>
      <c r="J106" s="11"/>
      <c r="K106" s="11"/>
      <c r="L106" s="11"/>
      <c r="M106" s="12"/>
    </row>
    <row r="107" spans="1:13" ht="22.5">
      <c r="A107" s="17" t="s">
        <v>369</v>
      </c>
      <c r="B107" s="9"/>
      <c r="C107" s="66"/>
      <c r="D107" s="117">
        <f>100*D106/B106</f>
        <v>91.74071575242006</v>
      </c>
      <c r="E107" s="118">
        <f>100*E106/B106</f>
        <v>94.18486359636258</v>
      </c>
      <c r="F107" s="102"/>
      <c r="G107" s="66"/>
      <c r="H107" s="117">
        <f>100*H106/F106</f>
        <v>85.92680591424646</v>
      </c>
      <c r="I107" s="118">
        <f>100*I106/F106</f>
        <v>89.34241110758714</v>
      </c>
      <c r="J107" s="8"/>
      <c r="K107" s="8"/>
      <c r="L107" s="8"/>
      <c r="M107" s="9"/>
    </row>
    <row r="108" spans="1:13" ht="12.75">
      <c r="A108" s="181" t="s">
        <v>907</v>
      </c>
      <c r="B108" s="5"/>
      <c r="C108" s="182" t="s">
        <v>908</v>
      </c>
      <c r="D108" s="183"/>
      <c r="E108" s="213"/>
      <c r="F108" s="83"/>
      <c r="G108" s="182" t="s">
        <v>908</v>
      </c>
      <c r="H108" s="183"/>
      <c r="I108" s="194"/>
      <c r="J108" s="11"/>
      <c r="K108" s="11"/>
      <c r="L108" s="11"/>
      <c r="M108" s="11"/>
    </row>
    <row r="109" spans="1:13" ht="12.75">
      <c r="A109" s="31" t="s">
        <v>898</v>
      </c>
      <c r="B109" s="30">
        <f>SUMIF($C$96:$C$105,"1",$B$96:$B$105)</f>
        <v>31228</v>
      </c>
      <c r="C109" s="122">
        <v>1</v>
      </c>
      <c r="D109" s="216">
        <f>B109+B110+B114</f>
        <v>31228</v>
      </c>
      <c r="E109" s="47"/>
      <c r="F109" s="30">
        <f>SUMIF($G$96:$G$105,"1",$F$96:$F$105)</f>
        <v>38052</v>
      </c>
      <c r="G109" s="122">
        <v>1</v>
      </c>
      <c r="H109" s="216">
        <f>F109+F110+F114</f>
        <v>38052</v>
      </c>
      <c r="I109" s="16"/>
      <c r="J109" s="11"/>
      <c r="K109" s="11"/>
      <c r="L109" s="11"/>
      <c r="M109" s="11"/>
    </row>
    <row r="110" spans="1:13" ht="12.75">
      <c r="A110" s="31" t="s">
        <v>903</v>
      </c>
      <c r="B110" s="30">
        <f>SUMIF($C$96:$C$105,"2",$B$96:$B$105)</f>
        <v>0</v>
      </c>
      <c r="C110" s="122">
        <v>2</v>
      </c>
      <c r="D110" s="216">
        <f>B115</f>
        <v>1311</v>
      </c>
      <c r="E110" s="47"/>
      <c r="F110" s="30">
        <f>SUMIF($G$96:$G$105,"2",$F$96:$F$105)</f>
        <v>0</v>
      </c>
      <c r="G110" s="122">
        <v>2</v>
      </c>
      <c r="H110" s="216">
        <f>F115</f>
        <v>1346</v>
      </c>
      <c r="I110" s="16"/>
      <c r="J110" s="11"/>
      <c r="K110" s="11"/>
      <c r="L110" s="11"/>
      <c r="M110" s="11"/>
    </row>
    <row r="111" spans="1:13" ht="12.75">
      <c r="A111" s="31" t="s">
        <v>902</v>
      </c>
      <c r="B111" s="30">
        <f>SUMIF($C$96:$C$105,"3",$B$96:$B$105)</f>
        <v>0</v>
      </c>
      <c r="C111" s="122">
        <v>3</v>
      </c>
      <c r="D111" s="216">
        <f>B111</f>
        <v>0</v>
      </c>
      <c r="E111" s="47"/>
      <c r="F111" s="30">
        <f>SUMIF($G$96:$G$105,"3",$F$96:$F$105)</f>
        <v>0</v>
      </c>
      <c r="G111" s="122">
        <v>3</v>
      </c>
      <c r="H111" s="216">
        <f>F111</f>
        <v>0</v>
      </c>
      <c r="I111" s="16"/>
      <c r="J111" s="11"/>
      <c r="K111" s="11"/>
      <c r="L111" s="11"/>
      <c r="M111" s="11"/>
    </row>
    <row r="112" spans="1:13" ht="22.5">
      <c r="A112" s="31" t="s">
        <v>904</v>
      </c>
      <c r="B112" s="30">
        <f>SUMIF($C$96:$C$105,"4",$B$96:$B$105)</f>
        <v>0</v>
      </c>
      <c r="C112" s="122">
        <v>4</v>
      </c>
      <c r="D112" s="216">
        <f>B112</f>
        <v>0</v>
      </c>
      <c r="E112" s="47"/>
      <c r="F112" s="30">
        <f>SUMIF($G$96:$G$105,"4",$F$96:$F$105)</f>
        <v>0</v>
      </c>
      <c r="G112" s="122">
        <v>4</v>
      </c>
      <c r="H112" s="216">
        <f>F112</f>
        <v>0</v>
      </c>
      <c r="I112" s="16"/>
      <c r="J112" s="11"/>
      <c r="K112" s="11"/>
      <c r="L112" s="11"/>
      <c r="M112" s="11"/>
    </row>
    <row r="113" spans="1:13" ht="12.75">
      <c r="A113" s="31" t="s">
        <v>905</v>
      </c>
      <c r="B113" s="30">
        <f>SUMIF($C$96:$C$105,"5",$B$96:$B$105)</f>
        <v>0</v>
      </c>
      <c r="C113" s="122">
        <v>5</v>
      </c>
      <c r="D113" s="216">
        <f>B113</f>
        <v>0</v>
      </c>
      <c r="E113" s="47"/>
      <c r="F113" s="30">
        <f>SUMIF($G$96:$G$105,"5",$F$96:$F$105)</f>
        <v>0</v>
      </c>
      <c r="G113" s="122">
        <v>5</v>
      </c>
      <c r="H113" s="216">
        <f>F113</f>
        <v>0</v>
      </c>
      <c r="I113" s="16"/>
      <c r="J113" s="11"/>
      <c r="K113" s="11"/>
      <c r="L113" s="11"/>
      <c r="M113" s="11"/>
    </row>
    <row r="114" spans="1:13" ht="12.75">
      <c r="A114" s="31" t="s">
        <v>900</v>
      </c>
      <c r="B114" s="30">
        <f>SUMIF($C$96:$C$105,"6",$B$96:$B$105)</f>
        <v>0</v>
      </c>
      <c r="C114" s="122">
        <v>6</v>
      </c>
      <c r="D114" s="216">
        <f>B116</f>
        <v>1551</v>
      </c>
      <c r="E114" s="47"/>
      <c r="F114" s="30">
        <f>SUMIF($G$96:$G$105,"6",$F$96:$F$105)</f>
        <v>0</v>
      </c>
      <c r="G114" s="122">
        <v>6</v>
      </c>
      <c r="H114" s="216">
        <f>F116</f>
        <v>4744</v>
      </c>
      <c r="I114" s="16"/>
      <c r="J114" s="11"/>
      <c r="K114" s="11"/>
      <c r="L114" s="11"/>
      <c r="M114" s="11"/>
    </row>
    <row r="115" spans="1:13" ht="12.75">
      <c r="A115" s="31" t="s">
        <v>899</v>
      </c>
      <c r="B115" s="30">
        <f>SUMIF($C$96:$C$105,"7",$B$96:$B$105)</f>
        <v>1311</v>
      </c>
      <c r="C115" s="122">
        <v>7</v>
      </c>
      <c r="D115" s="216">
        <f>B117</f>
        <v>0</v>
      </c>
      <c r="E115" s="47"/>
      <c r="F115" s="30">
        <f>SUMIF($G$96:$G$105,"7",$F$96:$F$105)</f>
        <v>1346</v>
      </c>
      <c r="G115" s="122">
        <v>7</v>
      </c>
      <c r="H115" s="216">
        <f>F117</f>
        <v>0</v>
      </c>
      <c r="I115" s="16"/>
      <c r="J115" s="11"/>
      <c r="K115" s="11"/>
      <c r="L115" s="11"/>
      <c r="M115" s="11"/>
    </row>
    <row r="116" spans="1:13" ht="12.75">
      <c r="A116" s="31" t="s">
        <v>901</v>
      </c>
      <c r="B116" s="30">
        <f>SUMIF($C$96:$C$105,"8",$B$96:$B$105)</f>
        <v>1551</v>
      </c>
      <c r="C116" s="36"/>
      <c r="D116" s="221"/>
      <c r="E116" s="47"/>
      <c r="F116" s="30">
        <f>SUMIF($G$96:$G$105,"8",$F$96:$F$105)</f>
        <v>4744</v>
      </c>
      <c r="G116" s="135"/>
      <c r="H116" s="217"/>
      <c r="I116" s="12"/>
      <c r="J116" s="11"/>
      <c r="K116" s="11"/>
      <c r="L116" s="11"/>
      <c r="M116" s="11"/>
    </row>
    <row r="117" spans="1:13" ht="12.75">
      <c r="A117" s="31" t="s">
        <v>906</v>
      </c>
      <c r="B117" s="30">
        <f>SUMIF($C$96:$C$105,"9",$B$96:$B$105)</f>
        <v>0</v>
      </c>
      <c r="C117" s="36"/>
      <c r="D117" s="217"/>
      <c r="E117" s="16"/>
      <c r="F117" s="30">
        <f>SUMIF($G$96:$G$105,"9",$F$96:$F$105)</f>
        <v>0</v>
      </c>
      <c r="G117" s="135"/>
      <c r="H117" s="217"/>
      <c r="I117" s="12"/>
      <c r="J117" s="11"/>
      <c r="K117" s="11"/>
      <c r="L117" s="11"/>
      <c r="M117" s="11"/>
    </row>
    <row r="118" spans="1:13" ht="12.75">
      <c r="A118" s="173" t="s">
        <v>368</v>
      </c>
      <c r="B118" s="215">
        <f>SUM(B109:B117)</f>
        <v>34090</v>
      </c>
      <c r="C118" s="39"/>
      <c r="D118" s="215">
        <f>SUM(D109:D117)</f>
        <v>34090</v>
      </c>
      <c r="E118" s="21"/>
      <c r="F118" s="215">
        <f>SUM(F109:F117)</f>
        <v>44142</v>
      </c>
      <c r="G118" s="180"/>
      <c r="H118" s="215">
        <f>SUM(H109:H117)</f>
        <v>44142</v>
      </c>
      <c r="I118" s="9"/>
      <c r="J118" s="11"/>
      <c r="K118" s="11"/>
      <c r="L118" s="11"/>
      <c r="M118" s="11"/>
    </row>
    <row r="120" spans="1:9" ht="59.25" customHeight="1">
      <c r="A120" s="301" t="s">
        <v>29</v>
      </c>
      <c r="B120" s="309"/>
      <c r="C120" s="309"/>
      <c r="D120" s="309"/>
      <c r="E120" s="309"/>
      <c r="F120" s="309"/>
      <c r="G120" s="309"/>
      <c r="H120" s="309"/>
      <c r="I120" s="310"/>
    </row>
  </sheetData>
  <mergeCells count="8">
    <mergeCell ref="D21:E21"/>
    <mergeCell ref="D62:E62"/>
    <mergeCell ref="H62:I62"/>
    <mergeCell ref="A120:I120"/>
    <mergeCell ref="D94:E94"/>
    <mergeCell ref="H94:I94"/>
    <mergeCell ref="A56:I56"/>
    <mergeCell ref="A88:I88"/>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Finbolsa.com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João Sousa</dc:creator>
  <cp:keywords/>
  <dc:description/>
  <cp:lastModifiedBy>Joao Dinis de Sousa</cp:lastModifiedBy>
  <dcterms:created xsi:type="dcterms:W3CDTF">2009-06-15T15:39:57Z</dcterms:created>
  <dcterms:modified xsi:type="dcterms:W3CDTF">2010-03-05T18:50:53Z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