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D Becton Dickinson\CHU Poitiers\CLEAN 3\Livrables\Publication PLoS ONE\Submission\"/>
    </mc:Choice>
  </mc:AlternateContent>
  <xr:revisionPtr revIDLastSave="0" documentId="13_ncr:1_{FCB7EB6A-331D-42B4-AB6B-D687A9F61F0B}" xr6:coauthVersionLast="47" xr6:coauthVersionMax="47" xr10:uidLastSave="{00000000-0000-0000-0000-000000000000}"/>
  <bookViews>
    <workbookView xWindow="-108" yWindow="-108" windowWidth="23256" windowHeight="12576" tabRatio="723" xr2:uid="{00000000-000D-0000-FFFF-FFFF00000000}"/>
  </bookViews>
  <sheets>
    <sheet name="CHG Control" sheetId="1" r:id="rId1"/>
    <sheet name="CHG Experimental" sheetId="2" r:id="rId2"/>
    <sheet name="PVI Control" sheetId="4" r:id="rId3"/>
    <sheet name="PVI Experimental" sheetId="5" r:id="rId4"/>
    <sheet name="Unit Price" sheetId="3" r:id="rId5"/>
    <sheet name="Summary" sheetId="6" r:id="rId6"/>
    <sheet name="Weighted Summary" sheetId="7" r:id="rId7"/>
    <sheet name="Table_Article" sheetId="9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1" i="5" l="1"/>
  <c r="U10" i="5"/>
  <c r="P79" i="5"/>
  <c r="P78" i="5"/>
  <c r="P77" i="5"/>
  <c r="P76" i="5"/>
  <c r="P75" i="5"/>
  <c r="P74" i="5"/>
  <c r="P73" i="5"/>
  <c r="P71" i="5"/>
  <c r="P91" i="4" l="1"/>
  <c r="P90" i="4"/>
  <c r="P79" i="4"/>
  <c r="P78" i="4"/>
  <c r="P77" i="4"/>
  <c r="P76" i="4"/>
  <c r="P75" i="4"/>
  <c r="P74" i="4"/>
  <c r="P73" i="4"/>
  <c r="P71" i="4"/>
  <c r="P51" i="4"/>
  <c r="P50" i="4"/>
  <c r="P49" i="4"/>
  <c r="P48" i="4"/>
  <c r="P47" i="4"/>
  <c r="P46" i="4"/>
  <c r="P45" i="4"/>
  <c r="P44" i="4"/>
  <c r="P22" i="4"/>
  <c r="P21" i="4"/>
  <c r="P20" i="4"/>
  <c r="P19" i="4"/>
  <c r="P18" i="4"/>
  <c r="P17" i="4"/>
  <c r="P16" i="4"/>
  <c r="P14" i="4"/>
  <c r="H34" i="4"/>
  <c r="K19" i="4"/>
  <c r="K17" i="4"/>
  <c r="K16" i="4"/>
  <c r="K15" i="4"/>
  <c r="K14" i="4"/>
  <c r="K13" i="4"/>
  <c r="F37" i="4"/>
  <c r="P81" i="2"/>
  <c r="P84" i="2" s="1"/>
  <c r="P83" i="2"/>
  <c r="P79" i="2"/>
  <c r="P78" i="2"/>
  <c r="P77" i="2"/>
  <c r="P76" i="2"/>
  <c r="P75" i="2"/>
  <c r="P74" i="2"/>
  <c r="P73" i="2"/>
  <c r="P71" i="2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P85" i="2" l="1"/>
  <c r="H34" i="1"/>
  <c r="H34" i="2"/>
  <c r="P91" i="5" l="1"/>
  <c r="P90" i="5"/>
  <c r="P93" i="4"/>
  <c r="G11" i="6" s="1"/>
  <c r="G30" i="6" s="1"/>
  <c r="P91" i="2"/>
  <c r="P90" i="2"/>
  <c r="Q91" i="1"/>
  <c r="Q90" i="1"/>
  <c r="Q93" i="1" s="1"/>
  <c r="C11" i="6" s="1"/>
  <c r="Q79" i="1"/>
  <c r="Q78" i="1"/>
  <c r="Q77" i="1"/>
  <c r="Q76" i="1"/>
  <c r="Q75" i="1"/>
  <c r="Q74" i="1"/>
  <c r="Q73" i="1"/>
  <c r="Q71" i="1"/>
  <c r="U16" i="5"/>
  <c r="U17" i="5"/>
  <c r="U18" i="5"/>
  <c r="U19" i="5"/>
  <c r="U20" i="5"/>
  <c r="U21" i="5"/>
  <c r="U22" i="5"/>
  <c r="U23" i="5"/>
  <c r="U24" i="5"/>
  <c r="U15" i="5"/>
  <c r="P45" i="5"/>
  <c r="P46" i="5"/>
  <c r="P47" i="5"/>
  <c r="P48" i="5"/>
  <c r="P49" i="5"/>
  <c r="P50" i="5"/>
  <c r="P51" i="5"/>
  <c r="P44" i="5"/>
  <c r="P17" i="5"/>
  <c r="P18" i="5"/>
  <c r="P19" i="5"/>
  <c r="P20" i="5"/>
  <c r="P21" i="5"/>
  <c r="P22" i="5"/>
  <c r="P16" i="5"/>
  <c r="K44" i="5"/>
  <c r="K45" i="5"/>
  <c r="K46" i="5"/>
  <c r="K47" i="5"/>
  <c r="K48" i="5"/>
  <c r="K49" i="5"/>
  <c r="K50" i="5"/>
  <c r="K51" i="5"/>
  <c r="K52" i="5"/>
  <c r="K53" i="5"/>
  <c r="K54" i="5"/>
  <c r="K55" i="5"/>
  <c r="K43" i="5"/>
  <c r="K14" i="5"/>
  <c r="K15" i="5"/>
  <c r="K16" i="5"/>
  <c r="K17" i="5"/>
  <c r="K13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21" i="5"/>
  <c r="U17" i="4"/>
  <c r="U18" i="4"/>
  <c r="U19" i="4"/>
  <c r="U20" i="4"/>
  <c r="U21" i="4"/>
  <c r="U22" i="4"/>
  <c r="U23" i="4"/>
  <c r="U24" i="4"/>
  <c r="U25" i="4"/>
  <c r="U16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43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1" i="4"/>
  <c r="U16" i="2"/>
  <c r="U17" i="2"/>
  <c r="U18" i="2"/>
  <c r="U19" i="2"/>
  <c r="U20" i="2"/>
  <c r="U21" i="2"/>
  <c r="U22" i="2"/>
  <c r="U23" i="2"/>
  <c r="U24" i="2"/>
  <c r="U15" i="2"/>
  <c r="P45" i="2"/>
  <c r="P46" i="2"/>
  <c r="P47" i="2"/>
  <c r="P48" i="2"/>
  <c r="P49" i="2"/>
  <c r="P50" i="2"/>
  <c r="P51" i="2"/>
  <c r="P44" i="2"/>
  <c r="P17" i="2"/>
  <c r="P18" i="2"/>
  <c r="P19" i="2"/>
  <c r="P20" i="2"/>
  <c r="P21" i="2"/>
  <c r="P22" i="2"/>
  <c r="P16" i="2"/>
  <c r="K43" i="2"/>
  <c r="K44" i="2"/>
  <c r="K45" i="2"/>
  <c r="K46" i="2"/>
  <c r="K47" i="2"/>
  <c r="K48" i="2"/>
  <c r="K49" i="2"/>
  <c r="K50" i="2"/>
  <c r="K51" i="2"/>
  <c r="K52" i="2"/>
  <c r="K53" i="2"/>
  <c r="K54" i="2"/>
  <c r="K42" i="2"/>
  <c r="K14" i="2"/>
  <c r="K15" i="2"/>
  <c r="K16" i="2"/>
  <c r="K17" i="2"/>
  <c r="K13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20" i="2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0" i="1"/>
  <c r="W17" i="1"/>
  <c r="W18" i="1"/>
  <c r="W19" i="1"/>
  <c r="W20" i="1"/>
  <c r="W21" i="1"/>
  <c r="W22" i="1"/>
  <c r="W23" i="1"/>
  <c r="W24" i="1"/>
  <c r="W25" i="1"/>
  <c r="W16" i="1"/>
  <c r="Q45" i="1"/>
  <c r="Q46" i="1"/>
  <c r="Q47" i="1"/>
  <c r="Q48" i="1"/>
  <c r="Q49" i="1"/>
  <c r="Q50" i="1"/>
  <c r="Q51" i="1"/>
  <c r="Q44" i="1"/>
  <c r="Q17" i="1"/>
  <c r="Q18" i="1"/>
  <c r="Q19" i="1"/>
  <c r="Q20" i="1"/>
  <c r="Q21" i="1"/>
  <c r="Q22" i="1"/>
  <c r="Q16" i="1"/>
  <c r="K14" i="1"/>
  <c r="K15" i="1"/>
  <c r="K16" i="1"/>
  <c r="K17" i="1"/>
  <c r="K13" i="1"/>
  <c r="H19" i="3"/>
  <c r="P81" i="5" s="1"/>
  <c r="P84" i="5" s="1"/>
  <c r="U12" i="4"/>
  <c r="W12" i="1"/>
  <c r="P14" i="5"/>
  <c r="P14" i="2"/>
  <c r="Q14" i="1"/>
  <c r="P83" i="5" l="1"/>
  <c r="P85" i="5" s="1"/>
  <c r="I10" i="6" s="1"/>
  <c r="I71" i="6" s="1"/>
  <c r="P93" i="2"/>
  <c r="E11" i="6" s="1"/>
  <c r="P93" i="5"/>
  <c r="I11" i="6" s="1"/>
  <c r="I30" i="6" s="1"/>
  <c r="Q83" i="1"/>
  <c r="Q81" i="1"/>
  <c r="Q84" i="1" s="1"/>
  <c r="P53" i="4"/>
  <c r="P56" i="4" s="1"/>
  <c r="K19" i="1"/>
  <c r="K22" i="1" s="1"/>
  <c r="Q24" i="1"/>
  <c r="Q27" i="1" s="1"/>
  <c r="F36" i="1"/>
  <c r="F39" i="1" s="1"/>
  <c r="U27" i="4"/>
  <c r="U30" i="4" s="1"/>
  <c r="P53" i="2"/>
  <c r="P56" i="2" s="1"/>
  <c r="U26" i="2"/>
  <c r="P24" i="5"/>
  <c r="P27" i="5" s="1"/>
  <c r="F40" i="4"/>
  <c r="W27" i="1"/>
  <c r="W30" i="1" s="1"/>
  <c r="K22" i="4"/>
  <c r="U26" i="5"/>
  <c r="P81" i="4"/>
  <c r="P84" i="4" s="1"/>
  <c r="P24" i="2"/>
  <c r="P27" i="2" s="1"/>
  <c r="K57" i="1"/>
  <c r="K60" i="1" s="1"/>
  <c r="Q53" i="1"/>
  <c r="Q56" i="1" s="1"/>
  <c r="P53" i="5"/>
  <c r="P56" i="5" s="1"/>
  <c r="F35" i="2"/>
  <c r="K58" i="4"/>
  <c r="K61" i="4" s="1"/>
  <c r="F36" i="5"/>
  <c r="P83" i="4"/>
  <c r="K56" i="2"/>
  <c r="K57" i="5"/>
  <c r="K19" i="2"/>
  <c r="L22" i="2" s="1"/>
  <c r="P24" i="4"/>
  <c r="P27" i="4" s="1"/>
  <c r="K19" i="5"/>
  <c r="K22" i="5" s="1"/>
  <c r="C11" i="7"/>
  <c r="C42" i="7" s="1"/>
  <c r="L11" i="6"/>
  <c r="C30" i="6"/>
  <c r="P55" i="5"/>
  <c r="P55" i="2"/>
  <c r="P55" i="4"/>
  <c r="K21" i="1"/>
  <c r="Q26" i="1"/>
  <c r="U28" i="5"/>
  <c r="U28" i="2"/>
  <c r="G37" i="2"/>
  <c r="U29" i="4"/>
  <c r="K58" i="2"/>
  <c r="W29" i="1"/>
  <c r="P26" i="2"/>
  <c r="P26" i="5"/>
  <c r="K59" i="5"/>
  <c r="K21" i="5"/>
  <c r="F38" i="5"/>
  <c r="P26" i="4"/>
  <c r="K60" i="4"/>
  <c r="K21" i="4"/>
  <c r="F39" i="4"/>
  <c r="L21" i="2"/>
  <c r="Q55" i="1"/>
  <c r="F38" i="1"/>
  <c r="K59" i="1"/>
  <c r="E11" i="7" l="1"/>
  <c r="E42" i="7" s="1"/>
  <c r="E30" i="6"/>
  <c r="M11" i="6"/>
  <c r="P85" i="4"/>
  <c r="G10" i="6" s="1"/>
  <c r="G71" i="6" s="1"/>
  <c r="E10" i="6"/>
  <c r="M10" i="6" s="1"/>
  <c r="Q85" i="1"/>
  <c r="C10" i="6" s="1"/>
  <c r="C71" i="6"/>
  <c r="P57" i="2"/>
  <c r="E9" i="6" s="1"/>
  <c r="P57" i="5"/>
  <c r="I9" i="6" s="1"/>
  <c r="Q28" i="1"/>
  <c r="K35" i="5"/>
  <c r="K34" i="5"/>
  <c r="K33" i="5"/>
  <c r="K60" i="5" s="1"/>
  <c r="F13" i="5"/>
  <c r="F12" i="5"/>
  <c r="F11" i="5"/>
  <c r="U11" i="2"/>
  <c r="U10" i="2"/>
  <c r="K35" i="2"/>
  <c r="K34" i="2"/>
  <c r="K33" i="2"/>
  <c r="K59" i="2" s="1"/>
  <c r="F13" i="2"/>
  <c r="F12" i="2"/>
  <c r="F11" i="2"/>
  <c r="L10" i="6" l="1"/>
  <c r="E10" i="7"/>
  <c r="E64" i="7" s="1"/>
  <c r="E71" i="6"/>
  <c r="U29" i="2"/>
  <c r="U29" i="5"/>
  <c r="G38" i="2"/>
  <c r="F39" i="5"/>
  <c r="C10" i="7"/>
  <c r="C64" i="7" s="1"/>
  <c r="M9" i="6"/>
  <c r="E9" i="7"/>
  <c r="E85" i="7" s="1"/>
  <c r="K60" i="2"/>
  <c r="U31" i="4"/>
  <c r="G12" i="6" s="1"/>
  <c r="W31" i="1"/>
  <c r="C12" i="6" s="1"/>
  <c r="F40" i="1"/>
  <c r="C5" i="6" s="1"/>
  <c r="K61" i="1"/>
  <c r="K23" i="1"/>
  <c r="L23" i="2"/>
  <c r="K23" i="5"/>
  <c r="K62" i="4"/>
  <c r="F41" i="4"/>
  <c r="G5" i="6" s="1"/>
  <c r="K23" i="4"/>
  <c r="L12" i="6" l="1"/>
  <c r="L5" i="6"/>
  <c r="C5" i="7"/>
  <c r="G68" i="6"/>
  <c r="G28" i="6"/>
  <c r="G72" i="6"/>
  <c r="G32" i="6"/>
  <c r="C68" i="6"/>
  <c r="C48" i="6"/>
  <c r="C72" i="6"/>
  <c r="C12" i="7"/>
  <c r="C50" i="6"/>
  <c r="G83" i="6"/>
  <c r="G79" i="6"/>
  <c r="C32" i="6"/>
  <c r="C83" i="6"/>
  <c r="C28" i="6"/>
  <c r="C79" i="6"/>
  <c r="C90" i="6"/>
  <c r="C39" i="6"/>
  <c r="C94" i="6"/>
  <c r="C41" i="6"/>
  <c r="G90" i="6"/>
  <c r="G48" i="6"/>
  <c r="G39" i="6"/>
  <c r="G94" i="6"/>
  <c r="G41" i="6"/>
  <c r="G50" i="6"/>
  <c r="G19" i="6"/>
  <c r="G57" i="6"/>
  <c r="C19" i="6"/>
  <c r="C57" i="6"/>
  <c r="C21" i="6"/>
  <c r="C61" i="6"/>
  <c r="G21" i="6"/>
  <c r="G61" i="6"/>
  <c r="U30" i="2"/>
  <c r="E12" i="6" s="1"/>
  <c r="G6" i="6"/>
  <c r="U30" i="5"/>
  <c r="I12" i="6" s="1"/>
  <c r="P28" i="4"/>
  <c r="G8" i="6" s="1"/>
  <c r="G7" i="6"/>
  <c r="G31" i="6" s="1"/>
  <c r="K61" i="5"/>
  <c r="I6" i="6"/>
  <c r="E6" i="6"/>
  <c r="C6" i="6"/>
  <c r="C7" i="6"/>
  <c r="F40" i="5"/>
  <c r="I5" i="6" s="1"/>
  <c r="G39" i="2"/>
  <c r="E5" i="6" s="1"/>
  <c r="B4" i="9" l="1"/>
  <c r="B5" i="9"/>
  <c r="B15" i="9"/>
  <c r="I72" i="6"/>
  <c r="I32" i="6"/>
  <c r="C31" i="6"/>
  <c r="L7" i="6"/>
  <c r="L6" i="6"/>
  <c r="I69" i="6"/>
  <c r="I29" i="6"/>
  <c r="I68" i="6"/>
  <c r="I28" i="6"/>
  <c r="G69" i="6"/>
  <c r="G29" i="6"/>
  <c r="G33" i="6" s="1"/>
  <c r="M12" i="6"/>
  <c r="E32" i="6"/>
  <c r="M6" i="6"/>
  <c r="E29" i="6"/>
  <c r="M5" i="6"/>
  <c r="E28" i="6"/>
  <c r="C76" i="7"/>
  <c r="C56" i="7"/>
  <c r="C22" i="7"/>
  <c r="C96" i="7"/>
  <c r="C29" i="7"/>
  <c r="C45" i="7"/>
  <c r="C66" i="7"/>
  <c r="C87" i="7"/>
  <c r="C61" i="7"/>
  <c r="C71" i="7"/>
  <c r="C51" i="7"/>
  <c r="C26" i="7"/>
  <c r="C93" i="7"/>
  <c r="C82" i="7"/>
  <c r="C19" i="7"/>
  <c r="C40" i="7"/>
  <c r="E69" i="6"/>
  <c r="E6" i="7"/>
  <c r="E49" i="6"/>
  <c r="E68" i="6"/>
  <c r="E5" i="7"/>
  <c r="E48" i="6"/>
  <c r="C7" i="7"/>
  <c r="C69" i="6"/>
  <c r="C6" i="7"/>
  <c r="C49" i="6"/>
  <c r="C51" i="6" s="1"/>
  <c r="E72" i="6"/>
  <c r="E50" i="6"/>
  <c r="E12" i="7"/>
  <c r="G81" i="6"/>
  <c r="G70" i="6"/>
  <c r="C81" i="6"/>
  <c r="C70" i="6"/>
  <c r="I83" i="6"/>
  <c r="I80" i="6"/>
  <c r="I79" i="6"/>
  <c r="G60" i="6"/>
  <c r="G82" i="6"/>
  <c r="G80" i="6"/>
  <c r="E83" i="6"/>
  <c r="E80" i="6"/>
  <c r="E79" i="6"/>
  <c r="C29" i="6"/>
  <c r="C80" i="6"/>
  <c r="E90" i="6"/>
  <c r="E39" i="6"/>
  <c r="I94" i="6"/>
  <c r="I50" i="6"/>
  <c r="I41" i="6"/>
  <c r="C91" i="6"/>
  <c r="C40" i="6"/>
  <c r="C42" i="6" s="1"/>
  <c r="E94" i="6"/>
  <c r="E41" i="6"/>
  <c r="E91" i="6"/>
  <c r="E40" i="6"/>
  <c r="I91" i="6"/>
  <c r="I40" i="6"/>
  <c r="I49" i="6"/>
  <c r="I90" i="6"/>
  <c r="I48" i="6"/>
  <c r="I39" i="6"/>
  <c r="G91" i="6"/>
  <c r="G49" i="6"/>
  <c r="G51" i="6" s="1"/>
  <c r="G40" i="6"/>
  <c r="G42" i="6" s="1"/>
  <c r="G59" i="6"/>
  <c r="G92" i="6"/>
  <c r="C59" i="6"/>
  <c r="C92" i="6"/>
  <c r="C20" i="6"/>
  <c r="C58" i="6"/>
  <c r="I20" i="6"/>
  <c r="I58" i="6"/>
  <c r="E20" i="6"/>
  <c r="E58" i="6"/>
  <c r="I19" i="6"/>
  <c r="I57" i="6"/>
  <c r="E21" i="6"/>
  <c r="E61" i="6"/>
  <c r="E19" i="6"/>
  <c r="E57" i="6"/>
  <c r="I21" i="6"/>
  <c r="I61" i="6"/>
  <c r="G20" i="6"/>
  <c r="G58" i="6"/>
  <c r="I93" i="6"/>
  <c r="P57" i="4"/>
  <c r="E93" i="6"/>
  <c r="E7" i="6"/>
  <c r="Q57" i="1"/>
  <c r="C9" i="6" s="1"/>
  <c r="P28" i="2"/>
  <c r="E8" i="6" s="1"/>
  <c r="I7" i="6"/>
  <c r="I31" i="6" s="1"/>
  <c r="P28" i="5"/>
  <c r="I8" i="6" s="1"/>
  <c r="C8" i="6"/>
  <c r="C4" i="9" l="1"/>
  <c r="C15" i="9"/>
  <c r="C5" i="9"/>
  <c r="C7" i="9"/>
  <c r="C8" i="9"/>
  <c r="C16" i="9"/>
  <c r="C6" i="9"/>
  <c r="C17" i="9"/>
  <c r="B16" i="9"/>
  <c r="B6" i="9"/>
  <c r="B7" i="9"/>
  <c r="B17" i="9"/>
  <c r="B8" i="9"/>
  <c r="C33" i="6"/>
  <c r="C8" i="7"/>
  <c r="C54" i="7" s="1"/>
  <c r="L8" i="6"/>
  <c r="E31" i="6"/>
  <c r="E33" i="6" s="1"/>
  <c r="M7" i="6"/>
  <c r="E51" i="6"/>
  <c r="I33" i="6"/>
  <c r="M8" i="6"/>
  <c r="C43" i="7"/>
  <c r="C84" i="7"/>
  <c r="C63" i="7"/>
  <c r="C53" i="7"/>
  <c r="C73" i="7"/>
  <c r="E62" i="7"/>
  <c r="E52" i="7"/>
  <c r="E27" i="7"/>
  <c r="E41" i="7"/>
  <c r="E72" i="7"/>
  <c r="E94" i="7"/>
  <c r="E20" i="7"/>
  <c r="E83" i="7"/>
  <c r="C93" i="6"/>
  <c r="C27" i="7"/>
  <c r="C72" i="7"/>
  <c r="C62" i="7"/>
  <c r="C52" i="7"/>
  <c r="C83" i="7"/>
  <c r="C20" i="7"/>
  <c r="C21" i="7" s="1"/>
  <c r="C41" i="7"/>
  <c r="C94" i="7"/>
  <c r="C95" i="7" s="1"/>
  <c r="E66" i="7"/>
  <c r="E87" i="7"/>
  <c r="E22" i="7"/>
  <c r="E76" i="7"/>
  <c r="E96" i="7"/>
  <c r="E29" i="7"/>
  <c r="E56" i="7"/>
  <c r="E45" i="7"/>
  <c r="E82" i="7"/>
  <c r="E61" i="7"/>
  <c r="E40" i="7"/>
  <c r="E93" i="7"/>
  <c r="E51" i="7"/>
  <c r="E71" i="7"/>
  <c r="E26" i="7"/>
  <c r="E19" i="7"/>
  <c r="C28" i="7"/>
  <c r="E8" i="7"/>
  <c r="E7" i="7"/>
  <c r="I81" i="6"/>
  <c r="I70" i="6"/>
  <c r="I73" i="6" s="1"/>
  <c r="E81" i="6"/>
  <c r="E70" i="6"/>
  <c r="E73" i="6" s="1"/>
  <c r="C22" i="6"/>
  <c r="C73" i="6"/>
  <c r="G22" i="6"/>
  <c r="G73" i="6"/>
  <c r="G84" i="6"/>
  <c r="I60" i="6"/>
  <c r="I82" i="6"/>
  <c r="G9" i="6"/>
  <c r="G93" i="6" s="1"/>
  <c r="G95" i="6" s="1"/>
  <c r="E60" i="6"/>
  <c r="E82" i="6"/>
  <c r="C60" i="6"/>
  <c r="C62" i="6" s="1"/>
  <c r="C82" i="6"/>
  <c r="C84" i="6" s="1"/>
  <c r="I42" i="6"/>
  <c r="I51" i="6"/>
  <c r="E42" i="6"/>
  <c r="G62" i="6"/>
  <c r="C95" i="6"/>
  <c r="E59" i="6"/>
  <c r="E92" i="6"/>
  <c r="E95" i="6" s="1"/>
  <c r="I59" i="6"/>
  <c r="I92" i="6"/>
  <c r="I95" i="6" s="1"/>
  <c r="E22" i="6"/>
  <c r="I22" i="6"/>
  <c r="C44" i="7" l="1"/>
  <c r="C47" i="7" s="1"/>
  <c r="C48" i="7" s="1"/>
  <c r="C65" i="7"/>
  <c r="C68" i="7" s="1"/>
  <c r="C69" i="7" s="1"/>
  <c r="B12" i="9"/>
  <c r="B10" i="9"/>
  <c r="B11" i="9"/>
  <c r="C74" i="7"/>
  <c r="C75" i="7" s="1"/>
  <c r="C78" i="7" s="1"/>
  <c r="C79" i="7" s="1"/>
  <c r="L9" i="6"/>
  <c r="E43" i="7"/>
  <c r="E44" i="7" s="1"/>
  <c r="E47" i="7" s="1"/>
  <c r="E48" i="7" s="1"/>
  <c r="C55" i="7"/>
  <c r="C58" i="7" s="1"/>
  <c r="C59" i="7" s="1"/>
  <c r="E21" i="7"/>
  <c r="E28" i="7"/>
  <c r="E95" i="7"/>
  <c r="C9" i="7"/>
  <c r="E74" i="7"/>
  <c r="E54" i="7"/>
  <c r="E73" i="7"/>
  <c r="E53" i="7"/>
  <c r="E63" i="7"/>
  <c r="C12" i="9" s="1"/>
  <c r="E84" i="7"/>
  <c r="E86" i="7" s="1"/>
  <c r="E89" i="7" s="1"/>
  <c r="E90" i="7" s="1"/>
  <c r="I84" i="6"/>
  <c r="E84" i="6"/>
  <c r="I62" i="6"/>
  <c r="E62" i="6"/>
  <c r="C13" i="9" l="1"/>
  <c r="C11" i="9"/>
  <c r="E65" i="7"/>
  <c r="E68" i="7" s="1"/>
  <c r="E69" i="7" s="1"/>
  <c r="C14" i="9"/>
  <c r="C10" i="9"/>
  <c r="B13" i="9"/>
  <c r="E55" i="7"/>
  <c r="E58" i="7" s="1"/>
  <c r="E59" i="7" s="1"/>
  <c r="C85" i="7"/>
  <c r="E75" i="7"/>
  <c r="E78" i="7" s="1"/>
  <c r="E79" i="7" s="1"/>
  <c r="C86" i="7" l="1"/>
  <c r="C89" i="7" s="1"/>
  <c r="C90" i="7" s="1"/>
  <c r="B14" i="9"/>
</calcChain>
</file>

<file path=xl/sharedStrings.xml><?xml version="1.0" encoding="utf-8"?>
<sst xmlns="http://schemas.openxmlformats.org/spreadsheetml/2006/main" count="1387" uniqueCount="236">
  <si>
    <t>Chloraprep</t>
  </si>
  <si>
    <t>Temps infirmiers</t>
  </si>
  <si>
    <t>Compresses</t>
  </si>
  <si>
    <t>Complications</t>
  </si>
  <si>
    <t>Occlusion</t>
  </si>
  <si>
    <t>Flush / test</t>
  </si>
  <si>
    <t>3mL</t>
  </si>
  <si>
    <t>3 mL</t>
  </si>
  <si>
    <t>10 mL</t>
  </si>
  <si>
    <t>Tego</t>
  </si>
  <si>
    <t>x3</t>
  </si>
  <si>
    <t>10 cm</t>
  </si>
  <si>
    <t>3 mL x 3</t>
  </si>
  <si>
    <t>10 mL x 3</t>
  </si>
  <si>
    <t>x 3</t>
  </si>
  <si>
    <t>NacL 500 mL</t>
  </si>
  <si>
    <t>4000 mL</t>
  </si>
  <si>
    <t>250 mL</t>
  </si>
  <si>
    <t>125 mL</t>
  </si>
  <si>
    <t>900 mL</t>
  </si>
  <si>
    <t>2 x 3</t>
  </si>
  <si>
    <t>2 Flush / test</t>
  </si>
  <si>
    <t>Total</t>
  </si>
  <si>
    <t>Diffusion</t>
  </si>
  <si>
    <t>n</t>
  </si>
  <si>
    <t>DM Standard</t>
  </si>
  <si>
    <t>DM Innovant</t>
  </si>
  <si>
    <t>Infection locale</t>
  </si>
  <si>
    <t>First catheter removal</t>
  </si>
  <si>
    <t>Quantity</t>
  </si>
  <si>
    <t>First catheter placement</t>
  </si>
  <si>
    <t>Pair of non-sterile gloves</t>
  </si>
  <si>
    <t>Hydro alcoholic solution</t>
  </si>
  <si>
    <t>Surface disinfectant</t>
  </si>
  <si>
    <t>Wipe</t>
  </si>
  <si>
    <t>Control Group</t>
  </si>
  <si>
    <t>Hygiene</t>
  </si>
  <si>
    <t>Tubing + 3-way valve</t>
  </si>
  <si>
    <t>Solute</t>
  </si>
  <si>
    <t>Infusion line</t>
  </si>
  <si>
    <t>Venous catheter</t>
  </si>
  <si>
    <t>Insyte Autogard Catheter</t>
  </si>
  <si>
    <t>Antiseptic (for skin)</t>
  </si>
  <si>
    <t>Means of attachment</t>
  </si>
  <si>
    <t>Compresses (handling)</t>
  </si>
  <si>
    <t xml:space="preserve">Polyurethane dressing </t>
  </si>
  <si>
    <t>Adhesive strips</t>
  </si>
  <si>
    <t>Nursing time</t>
  </si>
  <si>
    <t>Nursing time (seconds)</t>
  </si>
  <si>
    <t>Cost (€)</t>
  </si>
  <si>
    <t>Price (€)</t>
  </si>
  <si>
    <t>Verification of the prescription</t>
  </si>
  <si>
    <t>Preparation of the material</t>
  </si>
  <si>
    <t>Explain and inform the patient</t>
  </si>
  <si>
    <t>Installation of the patient</t>
  </si>
  <si>
    <t>Washing of hands / gloves</t>
  </si>
  <si>
    <t>Purge tubing</t>
  </si>
  <si>
    <t>Opening the material</t>
  </si>
  <si>
    <t>Locating the vein</t>
  </si>
  <si>
    <t>Antispasmodic application</t>
  </si>
  <si>
    <t>Placement of the catheter</t>
  </si>
  <si>
    <t>Connecting the infusion line</t>
  </si>
  <si>
    <t>Fixation of the catheter / dressing</t>
  </si>
  <si>
    <t>Checking the patency of the vascular access</t>
  </si>
  <si>
    <t xml:space="preserve">Cleaning </t>
  </si>
  <si>
    <t>Traceability</t>
  </si>
  <si>
    <t>Waste</t>
  </si>
  <si>
    <t>Waste management (g)</t>
  </si>
  <si>
    <t>Total Cost Nursing Time</t>
  </si>
  <si>
    <t>Total Cost Material</t>
  </si>
  <si>
    <t>Total Cost for first catheter placement</t>
  </si>
  <si>
    <t>Catheter replacement (second catheter if suited)</t>
  </si>
  <si>
    <t>Removal</t>
  </si>
  <si>
    <t>Plasters</t>
  </si>
  <si>
    <t>Nursing Time</t>
  </si>
  <si>
    <t>Explaining and informing the patient</t>
  </si>
  <si>
    <t>Hand washing/gloves</t>
  </si>
  <si>
    <t>Removal of dressing/catheter+cleaning</t>
  </si>
  <si>
    <t>Time (seconds)</t>
  </si>
  <si>
    <t>Second catheter placement</t>
  </si>
  <si>
    <t>Total Cost First catheter Removal</t>
  </si>
  <si>
    <t>Total Cost for second catheter placement</t>
  </si>
  <si>
    <t>Local infection / Phlebitis</t>
  </si>
  <si>
    <t>Treatment once a day for 3 days</t>
  </si>
  <si>
    <t>Material</t>
  </si>
  <si>
    <t>Alcohol</t>
  </si>
  <si>
    <t>Strips</t>
  </si>
  <si>
    <t>Paracetamol 500mg</t>
  </si>
  <si>
    <t>Patient set-up/examination</t>
  </si>
  <si>
    <t>Washing of hands/gloves</t>
  </si>
  <si>
    <t>Application of compresses + bandages</t>
  </si>
  <si>
    <t>Cleaning of trolley</t>
  </si>
  <si>
    <t>Total Cost for Complication</t>
  </si>
  <si>
    <t>Supplies</t>
  </si>
  <si>
    <t>Antiseptic (handling)</t>
  </si>
  <si>
    <t>Needle 18G</t>
  </si>
  <si>
    <t>Saline 10 mL</t>
  </si>
  <si>
    <t>Syringe 10 mL</t>
  </si>
  <si>
    <t>Syringe preparation</t>
  </si>
  <si>
    <t>Dislodgement</t>
  </si>
  <si>
    <t>Treatment once a day for 1 day</t>
  </si>
  <si>
    <t>Change of sheets + patient installation</t>
  </si>
  <si>
    <t>Cleaning of the floor</t>
  </si>
  <si>
    <t>PVI: povidone iodine-alcohol solution</t>
  </si>
  <si>
    <t>CHG: Chlorhexidine Gluconate gel</t>
  </si>
  <si>
    <t>Daily Use</t>
  </si>
  <si>
    <t>Cleaning</t>
  </si>
  <si>
    <t>Tap stoppers</t>
  </si>
  <si>
    <t>Treatment</t>
  </si>
  <si>
    <t>Explanation and information to the patient</t>
  </si>
  <si>
    <t>Patient set-up / puncture site inspection</t>
  </si>
  <si>
    <t>Drain tubing</t>
  </si>
  <si>
    <t>Treatment injection</t>
  </si>
  <si>
    <t>Recalibrate infusion rate</t>
  </si>
  <si>
    <t>Total Cost for daily use</t>
  </si>
  <si>
    <t>Experimental Group</t>
  </si>
  <si>
    <t>Pre-filled syringe</t>
  </si>
  <si>
    <t>Disinfectant cap</t>
  </si>
  <si>
    <t>Nexiva catheter</t>
  </si>
  <si>
    <t>Assembling valve and antiseptic cap</t>
  </si>
  <si>
    <t>Application of antiseptic</t>
  </si>
  <si>
    <t>Catheter placement</t>
  </si>
  <si>
    <t>Flushing the catheter / Flush</t>
  </si>
  <si>
    <t>Fixing the catheter / dressing</t>
  </si>
  <si>
    <t>Cleaning the trolley</t>
  </si>
  <si>
    <t>Application of antisetpics</t>
  </si>
  <si>
    <t>Rinsing the catheter / flushing</t>
  </si>
  <si>
    <t>Traceability (removal and insertion)</t>
  </si>
  <si>
    <t>3 nursing visits per day with flush and 1 intravenous treatment (IV) 3 times per day</t>
  </si>
  <si>
    <t>3 nursing visits per day and 1 intravenous treatment (IV) 3 times per day</t>
  </si>
  <si>
    <t>Patient set-up / inspection of the puncture site</t>
  </si>
  <si>
    <t>Hand washing / Gloves</t>
  </si>
  <si>
    <t>Alcoholic Betadine</t>
  </si>
  <si>
    <t>Location of the vein</t>
  </si>
  <si>
    <t>Application of antispasmodic agents</t>
  </si>
  <si>
    <t>Connection of the infusion line</t>
  </si>
  <si>
    <t>Disinfection of Treatment injection site</t>
  </si>
  <si>
    <t>Unit Price (Euro)</t>
  </si>
  <si>
    <t>Hydroalcoholic gel</t>
  </si>
  <si>
    <t>Alcohol (dressing)</t>
  </si>
  <si>
    <t>Chlorhex (handling)</t>
  </si>
  <si>
    <t>Pair of gloves</t>
  </si>
  <si>
    <t>Tubing + 3 way tap</t>
  </si>
  <si>
    <t>Compress</t>
  </si>
  <si>
    <t>Cleaning wipes</t>
  </si>
  <si>
    <t>Holding strip</t>
  </si>
  <si>
    <t>Antiseptic caps</t>
  </si>
  <si>
    <t>Beta compress / disinfection</t>
  </si>
  <si>
    <t>Catheter autoguard</t>
  </si>
  <si>
    <t>Tegaderm dressing</t>
  </si>
  <si>
    <t>167 doses per 500mL bottle</t>
  </si>
  <si>
    <t>Waste management</t>
  </si>
  <si>
    <t>per g</t>
  </si>
  <si>
    <t>Cost for Nursing time</t>
  </si>
  <si>
    <t>50,925€/year</t>
  </si>
  <si>
    <t>1,547 hours</t>
  </si>
  <si>
    <t>cost per minute</t>
  </si>
  <si>
    <t>Euro</t>
  </si>
  <si>
    <t>Summary</t>
  </si>
  <si>
    <t>CHG Control</t>
  </si>
  <si>
    <t>CHG Experimental</t>
  </si>
  <si>
    <t>PVI Control</t>
  </si>
  <si>
    <t>PVI Experimental</t>
  </si>
  <si>
    <t>Phlebitis or local infection</t>
  </si>
  <si>
    <t>Daily use</t>
  </si>
  <si>
    <t>Patient pathway</t>
  </si>
  <si>
    <t>Catheter Removal</t>
  </si>
  <si>
    <t>Catheter Replacement</t>
  </si>
  <si>
    <r>
      <t>Total cost of a catheter</t>
    </r>
    <r>
      <rPr>
        <b/>
        <sz val="12"/>
        <color theme="1"/>
        <rFont val="Calibri"/>
        <family val="2"/>
        <scheme val="minor"/>
      </rPr>
      <t xml:space="preserve"> scheduled for removal </t>
    </r>
    <r>
      <rPr>
        <sz val="12"/>
        <color theme="1"/>
        <rFont val="Calibri"/>
        <family val="2"/>
        <scheme val="minor"/>
      </rPr>
      <t>after n days of treatment: initial placement, n days of treatment and removal</t>
    </r>
  </si>
  <si>
    <r>
      <t xml:space="preserve">Total cost of a catheter that is </t>
    </r>
    <r>
      <rPr>
        <b/>
        <sz val="12"/>
        <color theme="1"/>
        <rFont val="Calibri"/>
        <family val="2"/>
        <scheme val="minor"/>
      </rPr>
      <t>accidentally removed (dislodgement)</t>
    </r>
    <r>
      <rPr>
        <sz val="12"/>
        <color theme="1"/>
        <rFont val="Calibri"/>
        <family val="2"/>
        <scheme val="minor"/>
      </rPr>
      <t xml:space="preserve"> after n days of treatment: initial placement, n days of treatment, removal of the failed catheter, management of the accidental removal, and removal of the second catheter</t>
    </r>
  </si>
  <si>
    <r>
      <t xml:space="preserve">Total cost of an </t>
    </r>
    <r>
      <rPr>
        <b/>
        <sz val="12"/>
        <color theme="1"/>
        <rFont val="Calibri"/>
        <family val="2"/>
        <scheme val="minor"/>
      </rPr>
      <t>unnecessary catheter</t>
    </r>
    <r>
      <rPr>
        <sz val="12"/>
        <color theme="1"/>
        <rFont val="Calibri"/>
        <family val="2"/>
        <scheme val="minor"/>
      </rPr>
      <t xml:space="preserve"> after n days of treatment: initial placement, n days of treatment and removal</t>
    </r>
  </si>
  <si>
    <r>
      <t>Total cost of a catheter in</t>
    </r>
    <r>
      <rPr>
        <b/>
        <sz val="12"/>
        <color theme="1"/>
        <rFont val="Calibri"/>
        <family val="2"/>
        <scheme val="minor"/>
      </rPr>
      <t xml:space="preserve"> a patient who died </t>
    </r>
    <r>
      <rPr>
        <sz val="12"/>
        <color theme="1"/>
        <rFont val="Calibri"/>
        <family val="2"/>
        <scheme val="minor"/>
      </rPr>
      <t>after n days of treatment: initial placement, n days of treatment and removal</t>
    </r>
  </si>
  <si>
    <t>Days (n)</t>
  </si>
  <si>
    <t>for example</t>
  </si>
  <si>
    <t>Phlebitis</t>
  </si>
  <si>
    <r>
      <t>Total cost of a catheter with</t>
    </r>
    <r>
      <rPr>
        <b/>
        <sz val="11"/>
        <color theme="1"/>
        <rFont val="Calibri"/>
        <family val="2"/>
        <scheme val="minor"/>
      </rPr>
      <t xml:space="preserve"> a non-infectious complication (phlebitis)</t>
    </r>
    <r>
      <rPr>
        <sz val="11"/>
        <color theme="1"/>
        <rFont val="Calibri"/>
        <family val="2"/>
        <scheme val="minor"/>
      </rPr>
      <t>: initial placement, n days of treatment, replacement catheter placement, removal of the catheter with a complication, management of the complication, and removal of the second catheter</t>
    </r>
  </si>
  <si>
    <r>
      <t xml:space="preserve">Total cost of a catheter with </t>
    </r>
    <r>
      <rPr>
        <b/>
        <sz val="11"/>
        <color theme="1"/>
        <rFont val="Calibri"/>
        <family val="2"/>
        <scheme val="minor"/>
      </rPr>
      <t>a non-infectious complication (Diffusion)</t>
    </r>
    <r>
      <rPr>
        <sz val="11"/>
        <color theme="1"/>
        <rFont val="Calibri"/>
        <family val="2"/>
        <scheme val="minor"/>
      </rPr>
      <t>: initial placement, n days of treatment, replacement catheter placement, removal of the catheter with a complication, management of the complication and removal of the second catheter</t>
    </r>
  </si>
  <si>
    <r>
      <t xml:space="preserve">Total cost of a catheter with </t>
    </r>
    <r>
      <rPr>
        <b/>
        <sz val="11"/>
        <color theme="1"/>
        <rFont val="Calibri"/>
        <family val="2"/>
        <scheme val="minor"/>
      </rPr>
      <t>an infectious complication (local infection)</t>
    </r>
    <r>
      <rPr>
        <sz val="11"/>
        <color theme="1"/>
        <rFont val="Calibri"/>
        <family val="2"/>
        <scheme val="minor"/>
      </rPr>
      <t>: initial placement, n days of treatment, replacement catheter placement, removal of the catheter with a complication, management of the complication and removal of the second catheter</t>
    </r>
  </si>
  <si>
    <r>
      <t xml:space="preserve">Total cost of a </t>
    </r>
    <r>
      <rPr>
        <b/>
        <sz val="11"/>
        <color theme="1"/>
        <rFont val="Calibri"/>
        <family val="2"/>
        <scheme val="minor"/>
      </rPr>
      <t>catheter with occlusion</t>
    </r>
    <r>
      <rPr>
        <sz val="11"/>
        <color theme="1"/>
        <rFont val="Calibri"/>
        <family val="2"/>
        <scheme val="minor"/>
      </rPr>
      <t>: including initial placement, n days of treatment, management of the occlusion, one replacement catheter placement, one removal of the occluded catheter and one removal of the second catheter</t>
    </r>
  </si>
  <si>
    <t>Weighted Summary</t>
  </si>
  <si>
    <t>SDs Group</t>
  </si>
  <si>
    <t>BDs Group</t>
  </si>
  <si>
    <t>costs for R software</t>
  </si>
  <si>
    <t>State 1</t>
  </si>
  <si>
    <t>Event 4-8</t>
  </si>
  <si>
    <t>Event 2-3</t>
  </si>
  <si>
    <t>Event 5/7</t>
  </si>
  <si>
    <t>Event 8</t>
  </si>
  <si>
    <t>Event 6</t>
  </si>
  <si>
    <t>Event 4</t>
  </si>
  <si>
    <t>total cost</t>
  </si>
  <si>
    <t>24 hours</t>
  </si>
  <si>
    <t>Treatment for Phlebitis or local infection</t>
  </si>
  <si>
    <t>Treatment for Occlusion</t>
  </si>
  <si>
    <t>Treatment for Diffusion</t>
  </si>
  <si>
    <t>Treatment for Dislodgement</t>
  </si>
  <si>
    <t>+Daily use (* n days)</t>
  </si>
  <si>
    <t>Event 1.5</t>
  </si>
  <si>
    <t>Event 1.1</t>
  </si>
  <si>
    <t>Event 1.4</t>
  </si>
  <si>
    <t>Event 1.2</t>
  </si>
  <si>
    <t>Event 1.6</t>
  </si>
  <si>
    <t>Event 1.7</t>
  </si>
  <si>
    <t>Local infection</t>
  </si>
  <si>
    <t>Event 1.8</t>
  </si>
  <si>
    <t>Event 1.3</t>
  </si>
  <si>
    <r>
      <t xml:space="preserve">Total cost of </t>
    </r>
    <r>
      <rPr>
        <b/>
        <sz val="12"/>
        <color theme="1"/>
        <rFont val="Calibri"/>
        <family val="2"/>
        <scheme val="minor"/>
      </rPr>
      <t xml:space="preserve">a catheter scheduled for removal </t>
    </r>
    <r>
      <rPr>
        <sz val="12"/>
        <color theme="1"/>
        <rFont val="Calibri"/>
        <family val="2"/>
        <scheme val="minor"/>
      </rPr>
      <t>after n days of treatment: initial placement, n days of treatment and removal</t>
    </r>
  </si>
  <si>
    <r>
      <t xml:space="preserve">Total cost of an </t>
    </r>
    <r>
      <rPr>
        <b/>
        <sz val="12"/>
        <color theme="1"/>
        <rFont val="Calibri"/>
        <family val="2"/>
        <scheme val="minor"/>
      </rPr>
      <t>unnecessary catheter</t>
    </r>
    <r>
      <rPr>
        <sz val="12"/>
        <color theme="1"/>
        <rFont val="Calibri"/>
        <family val="2"/>
        <scheme val="minor"/>
      </rPr>
      <t xml:space="preserve"> after n days of treatment: initial placement, n days of treatment and removal</t>
    </r>
  </si>
  <si>
    <r>
      <t xml:space="preserve">Total cost of </t>
    </r>
    <r>
      <rPr>
        <b/>
        <sz val="12"/>
        <color theme="1"/>
        <rFont val="Calibri"/>
        <family val="2"/>
        <scheme val="minor"/>
      </rPr>
      <t>a catheter whose removal is related to a suspected infection</t>
    </r>
    <r>
      <rPr>
        <sz val="12"/>
        <color theme="1"/>
        <rFont val="Calibri"/>
        <family val="2"/>
        <scheme val="minor"/>
      </rPr>
      <t xml:space="preserve"> after n days of treatment: initial insertion, n days of treatment and removal</t>
    </r>
  </si>
  <si>
    <r>
      <t xml:space="preserve">Total cost of a catheter that is </t>
    </r>
    <r>
      <rPr>
        <b/>
        <sz val="12"/>
        <color theme="1"/>
        <rFont val="Calibri"/>
        <family val="2"/>
        <scheme val="minor"/>
      </rPr>
      <t>accidentally removed (dislodgement)</t>
    </r>
    <r>
      <rPr>
        <sz val="12"/>
        <color theme="1"/>
        <rFont val="Calibri"/>
        <family val="2"/>
        <scheme val="minor"/>
      </rPr>
      <t xml:space="preserve"> after n days of treatment: initial placement, n days of treatment, removal of the failed catheter, management of the accidental removal, and removal of the second catheter</t>
    </r>
  </si>
  <si>
    <r>
      <t>Total cost of a catheter with</t>
    </r>
    <r>
      <rPr>
        <b/>
        <sz val="12"/>
        <color theme="1"/>
        <rFont val="Calibri"/>
        <family val="2"/>
        <scheme val="minor"/>
      </rPr>
      <t xml:space="preserve"> a non-infectious complication (phlebitis)</t>
    </r>
    <r>
      <rPr>
        <sz val="12"/>
        <color theme="1"/>
        <rFont val="Calibri"/>
        <family val="2"/>
        <scheme val="minor"/>
      </rPr>
      <t>: initial placement, n days of treatment, replacement catheter placement, removal of the catheter with a complication, management of the complication, and removal of the second catheter</t>
    </r>
  </si>
  <si>
    <r>
      <t xml:space="preserve">Total cost of a catheter with </t>
    </r>
    <r>
      <rPr>
        <b/>
        <sz val="12"/>
        <color theme="1"/>
        <rFont val="Calibri"/>
        <family val="2"/>
        <scheme val="minor"/>
      </rPr>
      <t>a non-infectious complication (Diffusion)</t>
    </r>
    <r>
      <rPr>
        <sz val="12"/>
        <color theme="1"/>
        <rFont val="Calibri"/>
        <family val="2"/>
        <scheme val="minor"/>
      </rPr>
      <t>: initial placement, n days of treatment, replacement catheter placement, removal of the catheter with a complication, management of the complication and removal of the second catheter</t>
    </r>
  </si>
  <si>
    <r>
      <t xml:space="preserve">Total cost of a catheter with </t>
    </r>
    <r>
      <rPr>
        <b/>
        <sz val="12"/>
        <color theme="1"/>
        <rFont val="Calibri"/>
        <family val="2"/>
        <scheme val="minor"/>
      </rPr>
      <t>an infectious complication (local infection)</t>
    </r>
    <r>
      <rPr>
        <sz val="12"/>
        <color theme="1"/>
        <rFont val="Calibri"/>
        <family val="2"/>
        <scheme val="minor"/>
      </rPr>
      <t>: initial placement, n days of treatment, replacement catheter placement, removal of the catheter with a complication, management of the complication and removal of the second catheter</t>
    </r>
  </si>
  <si>
    <r>
      <t xml:space="preserve">Total cost of a </t>
    </r>
    <r>
      <rPr>
        <b/>
        <sz val="12"/>
        <color theme="1"/>
        <rFont val="Calibri"/>
        <family val="2"/>
        <scheme val="minor"/>
      </rPr>
      <t>catheter with occlusion</t>
    </r>
    <r>
      <rPr>
        <sz val="12"/>
        <color theme="1"/>
        <rFont val="Calibri"/>
        <family val="2"/>
        <scheme val="minor"/>
      </rPr>
      <t>: including initial placement, n days of treatment, management of the occlusion, one replacement catheter placement, one removal of the occluded catheter and one removal of the second catheter</t>
    </r>
  </si>
  <si>
    <t>State 4/5</t>
  </si>
  <si>
    <r>
      <t>Total cost of a catheter in</t>
    </r>
    <r>
      <rPr>
        <b/>
        <sz val="12"/>
        <color theme="1"/>
        <rFont val="Calibri"/>
        <family val="2"/>
        <scheme val="minor"/>
      </rPr>
      <t xml:space="preserve"> a patient who discharged or died </t>
    </r>
    <r>
      <rPr>
        <sz val="12"/>
        <color theme="1"/>
        <rFont val="Calibri"/>
        <family val="2"/>
        <scheme val="minor"/>
      </rPr>
      <t>after n days of treatment: initial placement, n days of treatment and removal</t>
    </r>
  </si>
  <si>
    <t> Markov State / Event*</t>
  </si>
  <si>
    <t>Euro 2022</t>
  </si>
  <si>
    <t>1.1 Event 1.1</t>
  </si>
  <si>
    <t>1.2 Event 1.2</t>
  </si>
  <si>
    <t>1.3 Event 1.3</t>
  </si>
  <si>
    <t>State 2. No Events*/ No PVC</t>
  </si>
  <si>
    <t>1.4 Event 1.4</t>
  </si>
  <si>
    <t>1.5 Event 1.5</t>
  </si>
  <si>
    <t>1.6 Event 1.6</t>
  </si>
  <si>
    <t>1.7 Event 1.7</t>
  </si>
  <si>
    <t>1.8 Event 1.8</t>
  </si>
  <si>
    <t>State 4. Discharge</t>
  </si>
  <si>
    <t>State 5. Death</t>
  </si>
  <si>
    <t>* Events: Event 1.1 scheduled PVC removal; Event 1.2 useless PVC; Event 1.3 suspected infection; Event 1.4 Dislodgement; Event 1.5 phlebitis; Event 1.6 diffusion; Event 1.7 local infection; Event 1.8 occlusion</t>
  </si>
  <si>
    <t>PVC: Peripheral Venous Catheter</t>
  </si>
  <si>
    <r>
      <t>1. No Events*/ 1</t>
    </r>
    <r>
      <rPr>
        <vertAlign val="superscript"/>
        <sz val="12"/>
        <color theme="1"/>
        <rFont val="Calibri"/>
        <family val="2"/>
      </rPr>
      <t>st</t>
    </r>
    <r>
      <rPr>
        <sz val="12"/>
        <color theme="1"/>
        <rFont val="Calibri"/>
        <family val="2"/>
      </rPr>
      <t xml:space="preserve"> PVC/1st day</t>
    </r>
  </si>
  <si>
    <r>
      <t>State 1. No Events*/ 1</t>
    </r>
    <r>
      <rPr>
        <vertAlign val="superscript"/>
        <sz val="12"/>
        <color theme="1"/>
        <rFont val="Calibri"/>
        <family val="2"/>
      </rPr>
      <t>st</t>
    </r>
    <r>
      <rPr>
        <sz val="12"/>
        <color theme="1"/>
        <rFont val="Calibri"/>
        <family val="2"/>
      </rPr>
      <t xml:space="preserve"> PVC</t>
    </r>
  </si>
  <si>
    <r>
      <t>State 3. No Events*/ 2</t>
    </r>
    <r>
      <rPr>
        <vertAlign val="superscript"/>
        <sz val="12"/>
        <color theme="1"/>
        <rFont val="Calibri"/>
        <family val="2"/>
      </rPr>
      <t>nd</t>
    </r>
    <r>
      <rPr>
        <sz val="12"/>
        <color theme="1"/>
        <rFont val="Calibri"/>
        <family val="2"/>
      </rPr>
      <t xml:space="preserve"> PVC</t>
    </r>
  </si>
  <si>
    <t>Costs for 1 patient SDs</t>
  </si>
  <si>
    <t>Costs for 1 patient BDs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</si>
</sst>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00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 (Corps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FFFF"/>
      <name val="Calibri"/>
      <family val="2"/>
    </font>
    <font>
      <vertAlign val="superscript"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/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/>
      <right style="medium">
        <color rgb="FF000080"/>
      </right>
      <top/>
      <bottom style="medium">
        <color rgb="FF00008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/>
    <xf numFmtId="0" fontId="6" fillId="0" borderId="0" xfId="0" applyFont="1" applyBorder="1" applyAlignment="1"/>
    <xf numFmtId="0" fontId="3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/>
    <xf numFmtId="0" fontId="6" fillId="0" borderId="0" xfId="0" applyFont="1" applyFill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1" xfId="0" applyBorder="1"/>
    <xf numFmtId="0" fontId="8" fillId="2" borderId="3" xfId="0" applyFont="1" applyFill="1" applyBorder="1"/>
    <xf numFmtId="0" fontId="8" fillId="2" borderId="5" xfId="0" applyFont="1" applyFill="1" applyBorder="1"/>
    <xf numFmtId="0" fontId="0" fillId="2" borderId="1" xfId="0" applyFill="1" applyBorder="1"/>
    <xf numFmtId="0" fontId="0" fillId="0" borderId="7" xfId="0" applyBorder="1"/>
    <xf numFmtId="0" fontId="12" fillId="4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/>
    <xf numFmtId="0" fontId="0" fillId="0" borderId="0" xfId="0" applyFont="1" applyFill="1"/>
    <xf numFmtId="164" fontId="0" fillId="0" borderId="0" xfId="0" applyNumberFormat="1"/>
    <xf numFmtId="164" fontId="0" fillId="0" borderId="0" xfId="0" applyNumberFormat="1" applyFont="1" applyFill="1"/>
    <xf numFmtId="0" fontId="15" fillId="0" borderId="0" xfId="0" applyFont="1" applyBorder="1" applyAlignment="1">
      <alignment horizontal="left"/>
    </xf>
    <xf numFmtId="2" fontId="0" fillId="0" borderId="0" xfId="0" applyNumberFormat="1" applyBorder="1" applyAlignment="1"/>
    <xf numFmtId="2" fontId="0" fillId="0" borderId="0" xfId="0" applyNumberFormat="1"/>
    <xf numFmtId="8" fontId="3" fillId="0" borderId="0" xfId="0" applyNumberFormat="1" applyFont="1"/>
    <xf numFmtId="0" fontId="6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4" fillId="0" borderId="0" xfId="0" applyFont="1" applyFill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 applyFont="1" applyBorder="1" applyAlignment="1"/>
    <xf numFmtId="2" fontId="2" fillId="0" borderId="0" xfId="0" applyNumberFormat="1" applyFont="1" applyBorder="1"/>
    <xf numFmtId="0" fontId="18" fillId="0" borderId="0" xfId="0" applyFont="1"/>
    <xf numFmtId="0" fontId="17" fillId="0" borderId="0" xfId="0" applyFont="1" applyBorder="1"/>
    <xf numFmtId="2" fontId="10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2" fontId="10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2" fontId="0" fillId="0" borderId="0" xfId="0" applyNumberFormat="1" applyFont="1" applyFill="1" applyBorder="1" applyAlignment="1"/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textRotation="255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2" fontId="0" fillId="0" borderId="2" xfId="0" applyNumberFormat="1" applyBorder="1"/>
    <xf numFmtId="2" fontId="0" fillId="0" borderId="4" xfId="0" applyNumberFormat="1" applyBorder="1"/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 applyAlignment="1">
      <alignment horizontal="left" wrapText="1"/>
    </xf>
    <xf numFmtId="0" fontId="1" fillId="4" borderId="0" xfId="0" applyFont="1" applyFill="1" applyBorder="1"/>
    <xf numFmtId="0" fontId="0" fillId="0" borderId="0" xfId="0" applyFont="1"/>
    <xf numFmtId="0" fontId="0" fillId="2" borderId="1" xfId="0" applyFont="1" applyFill="1" applyBorder="1"/>
    <xf numFmtId="0" fontId="2" fillId="2" borderId="7" xfId="0" applyFont="1" applyFill="1" applyBorder="1" applyAlignment="1">
      <alignment horizontal="center"/>
    </xf>
    <xf numFmtId="164" fontId="0" fillId="0" borderId="0" xfId="0" applyNumberFormat="1" applyFont="1"/>
    <xf numFmtId="0" fontId="2" fillId="2" borderId="3" xfId="0" applyFont="1" applyFill="1" applyBorder="1"/>
    <xf numFmtId="2" fontId="0" fillId="0" borderId="4" xfId="0" applyNumberFormat="1" applyFont="1" applyBorder="1" applyAlignment="1"/>
    <xf numFmtId="0" fontId="2" fillId="2" borderId="5" xfId="0" applyFont="1" applyFill="1" applyBorder="1"/>
    <xf numFmtId="2" fontId="0" fillId="0" borderId="8" xfId="0" applyNumberFormat="1" applyFont="1" applyBorder="1" applyAlignment="1"/>
    <xf numFmtId="2" fontId="0" fillId="0" borderId="6" xfId="0" applyNumberFormat="1" applyFont="1" applyBorder="1" applyAlignment="1"/>
    <xf numFmtId="0" fontId="2" fillId="2" borderId="0" xfId="0" applyFont="1" applyFill="1" applyAlignment="1">
      <alignment horizontal="center"/>
    </xf>
    <xf numFmtId="2" fontId="0" fillId="3" borderId="0" xfId="0" applyNumberFormat="1" applyFont="1" applyFill="1" applyBorder="1" applyAlignment="1"/>
    <xf numFmtId="2" fontId="0" fillId="3" borderId="4" xfId="0" applyNumberFormat="1" applyFont="1" applyFill="1" applyBorder="1" applyAlignment="1"/>
    <xf numFmtId="0" fontId="2" fillId="2" borderId="5" xfId="0" quotePrefix="1" applyFont="1" applyFill="1" applyBorder="1"/>
    <xf numFmtId="0" fontId="2" fillId="2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0" xfId="0" applyNumberFormat="1" applyFont="1"/>
    <xf numFmtId="0" fontId="0" fillId="4" borderId="0" xfId="0" applyFont="1" applyFill="1" applyBorder="1"/>
    <xf numFmtId="0" fontId="21" fillId="5" borderId="9" xfId="0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1" fillId="5" borderId="11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8" fontId="2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8" fontId="0" fillId="0" borderId="0" xfId="0" applyNumberFormat="1" applyFont="1"/>
    <xf numFmtId="8" fontId="20" fillId="0" borderId="13" xfId="0" applyNumberFormat="1" applyFont="1" applyBorder="1" applyAlignment="1">
      <alignment horizontal="right" vertical="center" wrapText="1"/>
    </xf>
    <xf numFmtId="2" fontId="2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96"/>
  <sheetViews>
    <sheetView tabSelected="1" zoomScale="80" zoomScaleNormal="80" workbookViewId="0">
      <selection activeCell="C2" sqref="C2"/>
    </sheetView>
  </sheetViews>
  <sheetFormatPr defaultColWidth="10.796875" defaultRowHeight="15.6"/>
  <cols>
    <col min="1" max="3" width="10.796875" style="2"/>
    <col min="4" max="4" width="27.296875" style="2" customWidth="1"/>
    <col min="5" max="6" width="10.796875" style="2"/>
    <col min="7" max="7" width="13.09765625" style="2" customWidth="1"/>
    <col min="8" max="8" width="13.69921875" style="2" customWidth="1"/>
    <col min="9" max="9" width="24.59765625" style="2" customWidth="1"/>
    <col min="10" max="11" width="10.796875" style="2"/>
    <col min="12" max="12" width="14.19921875" style="2" customWidth="1"/>
    <col min="13" max="13" width="2.5" style="2" customWidth="1"/>
    <col min="14" max="14" width="10.796875" style="2"/>
    <col min="15" max="15" width="23.19921875" style="2" customWidth="1"/>
    <col min="16" max="17" width="10.796875" style="2"/>
    <col min="18" max="18" width="14" style="2" customWidth="1"/>
    <col min="19" max="19" width="2.5" style="2" customWidth="1"/>
    <col min="20" max="20" width="10.796875" style="2"/>
    <col min="21" max="21" width="21.5" style="2" customWidth="1"/>
    <col min="22" max="23" width="10.796875" style="2"/>
    <col min="24" max="24" width="13" style="2" customWidth="1"/>
    <col min="25" max="16384" width="10.796875" style="2"/>
  </cols>
  <sheetData>
    <row r="1" spans="1:24" ht="24" customHeight="1">
      <c r="A1" s="60" t="s">
        <v>35</v>
      </c>
      <c r="B1" s="60"/>
      <c r="C1" s="63" t="s">
        <v>30</v>
      </c>
      <c r="D1" s="63"/>
      <c r="E1" s="63"/>
      <c r="F1" s="63"/>
      <c r="G1" s="63"/>
      <c r="H1" s="63" t="s">
        <v>71</v>
      </c>
      <c r="I1" s="63"/>
      <c r="J1" s="63"/>
      <c r="K1" s="63"/>
      <c r="L1" s="63"/>
      <c r="M1" s="38"/>
      <c r="N1" s="63" t="s">
        <v>3</v>
      </c>
      <c r="O1" s="63"/>
      <c r="P1" s="63"/>
      <c r="Q1" s="63"/>
      <c r="R1" s="63"/>
      <c r="S1" s="38"/>
      <c r="T1" s="63" t="s">
        <v>105</v>
      </c>
      <c r="U1" s="63"/>
      <c r="V1" s="63"/>
      <c r="W1" s="63"/>
      <c r="X1" s="63"/>
    </row>
    <row r="2" spans="1:24">
      <c r="A2" s="60"/>
      <c r="B2" s="60"/>
      <c r="C2" s="11"/>
      <c r="D2" s="6" t="s">
        <v>93</v>
      </c>
      <c r="E2" s="6" t="s">
        <v>29</v>
      </c>
      <c r="F2" s="6" t="s">
        <v>50</v>
      </c>
      <c r="G2" s="6" t="s">
        <v>78</v>
      </c>
      <c r="H2" s="62" t="s">
        <v>28</v>
      </c>
      <c r="I2" s="62"/>
      <c r="J2" s="62"/>
      <c r="K2" s="62"/>
      <c r="L2" s="62"/>
      <c r="M2" s="36"/>
      <c r="N2" s="62" t="s">
        <v>82</v>
      </c>
      <c r="O2" s="64"/>
      <c r="P2" s="64"/>
      <c r="Q2" s="64"/>
      <c r="R2" s="64"/>
      <c r="S2" s="39"/>
      <c r="T2" s="62" t="s">
        <v>129</v>
      </c>
      <c r="U2" s="62"/>
      <c r="V2" s="62"/>
      <c r="W2" s="62"/>
      <c r="X2" s="62"/>
    </row>
    <row r="3" spans="1:24" s="11" customFormat="1" ht="16.05" customHeight="1">
      <c r="A3" s="60"/>
      <c r="B3" s="60"/>
      <c r="C3" s="61" t="s">
        <v>36</v>
      </c>
      <c r="D3" s="61"/>
      <c r="E3" s="61"/>
      <c r="F3" s="61"/>
      <c r="G3" s="61"/>
      <c r="H3" s="6"/>
      <c r="I3" s="6" t="s">
        <v>93</v>
      </c>
      <c r="J3" s="6" t="s">
        <v>29</v>
      </c>
      <c r="K3" s="6" t="s">
        <v>50</v>
      </c>
      <c r="L3" s="6" t="s">
        <v>78</v>
      </c>
      <c r="M3" s="6"/>
      <c r="N3" s="62" t="s">
        <v>83</v>
      </c>
      <c r="O3" s="62"/>
      <c r="P3" s="62"/>
      <c r="Q3" s="62"/>
      <c r="R3" s="62"/>
      <c r="S3" s="36"/>
      <c r="T3" s="6"/>
      <c r="U3" s="6" t="s">
        <v>93</v>
      </c>
      <c r="V3" s="6" t="s">
        <v>29</v>
      </c>
      <c r="W3" s="6" t="s">
        <v>50</v>
      </c>
      <c r="X3" s="6" t="s">
        <v>78</v>
      </c>
    </row>
    <row r="4" spans="1:24">
      <c r="A4" s="60"/>
      <c r="B4" s="60"/>
      <c r="D4" s="2" t="s">
        <v>31</v>
      </c>
      <c r="E4" s="2">
        <v>1</v>
      </c>
      <c r="F4" s="41">
        <v>0.14000000000000001</v>
      </c>
      <c r="H4" s="61" t="s">
        <v>36</v>
      </c>
      <c r="I4" s="61"/>
      <c r="J4" s="61"/>
      <c r="K4" s="61"/>
      <c r="L4" s="61"/>
      <c r="M4" s="37"/>
      <c r="N4" s="6"/>
      <c r="O4" s="6" t="s">
        <v>93</v>
      </c>
      <c r="P4" s="6" t="s">
        <v>29</v>
      </c>
      <c r="Q4" s="6" t="s">
        <v>50</v>
      </c>
      <c r="R4" s="6" t="s">
        <v>78</v>
      </c>
      <c r="S4" s="6"/>
      <c r="T4" s="61" t="s">
        <v>36</v>
      </c>
      <c r="U4" s="61"/>
      <c r="V4" s="61"/>
      <c r="W4" s="61"/>
      <c r="X4" s="61"/>
    </row>
    <row r="5" spans="1:24">
      <c r="A5" s="60"/>
      <c r="B5" s="60"/>
      <c r="D5" s="2" t="s">
        <v>32</v>
      </c>
      <c r="E5" s="19" t="s">
        <v>7</v>
      </c>
      <c r="F5" s="41">
        <v>7.0000000000000001E-3</v>
      </c>
      <c r="I5" s="2" t="s">
        <v>31</v>
      </c>
      <c r="J5" s="2">
        <v>1</v>
      </c>
      <c r="K5" s="41">
        <v>0.14000000000000001</v>
      </c>
      <c r="N5" s="61" t="s">
        <v>36</v>
      </c>
      <c r="O5" s="61"/>
      <c r="P5" s="61"/>
      <c r="Q5" s="61"/>
      <c r="R5" s="61"/>
      <c r="S5" s="37"/>
      <c r="U5" s="2" t="s">
        <v>31</v>
      </c>
      <c r="V5" s="2">
        <v>3</v>
      </c>
      <c r="W5" s="47">
        <v>0.42</v>
      </c>
    </row>
    <row r="6" spans="1:24">
      <c r="A6" s="60"/>
      <c r="B6" s="60"/>
      <c r="D6" s="2" t="s">
        <v>33</v>
      </c>
      <c r="E6" s="19" t="s">
        <v>8</v>
      </c>
      <c r="F6" s="41">
        <v>1.4999999999999999E-4</v>
      </c>
      <c r="I6" s="2" t="s">
        <v>32</v>
      </c>
      <c r="J6" s="19" t="s">
        <v>7</v>
      </c>
      <c r="K6" s="41">
        <v>7.0000000000000001E-3</v>
      </c>
      <c r="O6" s="2" t="s">
        <v>31</v>
      </c>
      <c r="P6" s="2">
        <v>1</v>
      </c>
      <c r="Q6" s="41">
        <v>0.14000000000000001</v>
      </c>
      <c r="U6" s="2" t="s">
        <v>32</v>
      </c>
      <c r="V6" s="19" t="s">
        <v>12</v>
      </c>
      <c r="W6" s="47">
        <v>2.1000000000000001E-2</v>
      </c>
    </row>
    <row r="7" spans="1:24">
      <c r="A7" s="60"/>
      <c r="B7" s="60"/>
      <c r="D7" s="2" t="s">
        <v>34</v>
      </c>
      <c r="E7" s="2">
        <v>1</v>
      </c>
      <c r="F7" s="41">
        <v>0.02</v>
      </c>
      <c r="I7" s="2" t="s">
        <v>33</v>
      </c>
      <c r="J7" s="19" t="s">
        <v>8</v>
      </c>
      <c r="K7" s="41">
        <v>1.4999999999999999E-4</v>
      </c>
      <c r="O7" s="2" t="s">
        <v>32</v>
      </c>
      <c r="P7" s="19" t="s">
        <v>7</v>
      </c>
      <c r="Q7" s="41">
        <v>7.0000000000000001E-3</v>
      </c>
      <c r="U7" s="2" t="s">
        <v>33</v>
      </c>
      <c r="V7" s="19" t="s">
        <v>13</v>
      </c>
      <c r="W7" s="47">
        <v>4.4999999999999999E-4</v>
      </c>
    </row>
    <row r="8" spans="1:24">
      <c r="A8" s="60"/>
      <c r="B8" s="60"/>
      <c r="C8" s="61" t="s">
        <v>39</v>
      </c>
      <c r="D8" s="61"/>
      <c r="E8" s="61"/>
      <c r="F8" s="61"/>
      <c r="G8" s="61"/>
      <c r="I8" s="2" t="s">
        <v>34</v>
      </c>
      <c r="J8" s="2">
        <v>1</v>
      </c>
      <c r="K8" s="41">
        <v>0.02</v>
      </c>
      <c r="O8" s="2" t="s">
        <v>33</v>
      </c>
      <c r="P8" s="19" t="s">
        <v>8</v>
      </c>
      <c r="Q8" s="41">
        <v>1.4999999999999999E-4</v>
      </c>
      <c r="U8" s="2" t="s">
        <v>34</v>
      </c>
      <c r="V8" s="2">
        <v>3</v>
      </c>
      <c r="W8" s="47">
        <v>0.06</v>
      </c>
    </row>
    <row r="9" spans="1:24">
      <c r="A9" s="60"/>
      <c r="B9" s="60"/>
      <c r="D9" s="2" t="s">
        <v>37</v>
      </c>
      <c r="E9" s="2">
        <v>1</v>
      </c>
      <c r="F9" s="42">
        <v>0.35</v>
      </c>
      <c r="H9" s="61" t="s">
        <v>72</v>
      </c>
      <c r="I9" s="61"/>
      <c r="J9" s="61"/>
      <c r="K9" s="61"/>
      <c r="L9" s="61"/>
      <c r="M9" s="37"/>
      <c r="O9" s="2" t="s">
        <v>34</v>
      </c>
      <c r="P9" s="2">
        <v>1</v>
      </c>
      <c r="Q9" s="41">
        <v>0.02</v>
      </c>
      <c r="T9" s="61" t="s">
        <v>106</v>
      </c>
      <c r="U9" s="61"/>
      <c r="V9" s="61"/>
      <c r="W9" s="61"/>
      <c r="X9" s="61"/>
    </row>
    <row r="10" spans="1:24">
      <c r="A10" s="60"/>
      <c r="B10" s="60"/>
      <c r="D10" s="2" t="s">
        <v>38</v>
      </c>
      <c r="E10" s="2">
        <v>1</v>
      </c>
      <c r="F10" s="42">
        <v>0.62</v>
      </c>
      <c r="I10" s="2" t="s">
        <v>2</v>
      </c>
      <c r="J10" s="2">
        <v>1</v>
      </c>
      <c r="K10" s="42">
        <v>0.01</v>
      </c>
      <c r="N10" s="61" t="s">
        <v>84</v>
      </c>
      <c r="O10" s="61"/>
      <c r="P10" s="61"/>
      <c r="Q10" s="61"/>
      <c r="R10" s="61"/>
      <c r="S10" s="37"/>
      <c r="T10" s="7"/>
      <c r="U10" s="7" t="s">
        <v>94</v>
      </c>
      <c r="V10" s="15" t="s">
        <v>12</v>
      </c>
      <c r="W10" s="43">
        <v>8.1000000000000003E-2</v>
      </c>
      <c r="X10" s="7"/>
    </row>
    <row r="11" spans="1:24">
      <c r="A11" s="60"/>
      <c r="B11" s="60"/>
      <c r="C11" s="61" t="s">
        <v>40</v>
      </c>
      <c r="D11" s="61"/>
      <c r="E11" s="61"/>
      <c r="F11" s="61"/>
      <c r="G11" s="61"/>
      <c r="I11" s="2" t="s">
        <v>73</v>
      </c>
      <c r="J11" s="19" t="s">
        <v>11</v>
      </c>
      <c r="K11" s="42">
        <v>4.4000000000000003E-3</v>
      </c>
      <c r="O11" s="8" t="s">
        <v>2</v>
      </c>
      <c r="P11" s="2">
        <v>2</v>
      </c>
      <c r="Q11" s="42">
        <v>0.02</v>
      </c>
      <c r="T11" s="7"/>
      <c r="U11" s="7" t="s">
        <v>44</v>
      </c>
      <c r="V11" s="15" t="s">
        <v>20</v>
      </c>
      <c r="W11" s="43">
        <v>0.06</v>
      </c>
      <c r="X11" s="7"/>
    </row>
    <row r="12" spans="1:24">
      <c r="A12" s="60"/>
      <c r="B12" s="60"/>
      <c r="D12" s="2" t="s">
        <v>41</v>
      </c>
      <c r="E12" s="8">
        <v>1</v>
      </c>
      <c r="F12" s="42">
        <v>0.53</v>
      </c>
      <c r="H12" s="61" t="s">
        <v>74</v>
      </c>
      <c r="I12" s="61"/>
      <c r="J12" s="61"/>
      <c r="K12" s="9"/>
      <c r="L12" s="27"/>
      <c r="M12" s="27"/>
      <c r="O12" s="8" t="s">
        <v>85</v>
      </c>
      <c r="P12" s="19" t="s">
        <v>7</v>
      </c>
      <c r="Q12" s="42">
        <v>6.6E-3</v>
      </c>
      <c r="T12" s="7"/>
      <c r="U12" s="7" t="s">
        <v>107</v>
      </c>
      <c r="V12" s="15">
        <v>3</v>
      </c>
      <c r="W12" s="43">
        <f>V12*0.03</f>
        <v>0.09</v>
      </c>
      <c r="X12" s="7"/>
    </row>
    <row r="13" spans="1:24">
      <c r="A13" s="60"/>
      <c r="B13" s="60"/>
      <c r="C13" s="61" t="s">
        <v>42</v>
      </c>
      <c r="D13" s="61"/>
      <c r="E13" s="61"/>
      <c r="F13" s="61"/>
      <c r="G13" s="61"/>
      <c r="I13" s="2" t="s">
        <v>52</v>
      </c>
      <c r="K13" s="42">
        <f>L13/60*0.549</f>
        <v>0.27450000000000002</v>
      </c>
      <c r="L13" s="2">
        <v>30</v>
      </c>
      <c r="O13" s="8" t="s">
        <v>86</v>
      </c>
      <c r="P13" s="2">
        <v>1</v>
      </c>
      <c r="Q13" s="42">
        <v>0.94</v>
      </c>
      <c r="T13" s="61" t="s">
        <v>108</v>
      </c>
      <c r="U13" s="61"/>
      <c r="V13" s="61"/>
      <c r="W13" s="61"/>
      <c r="X13" s="61"/>
    </row>
    <row r="14" spans="1:24">
      <c r="A14" s="60"/>
      <c r="B14" s="60"/>
      <c r="D14" s="2" t="s">
        <v>0</v>
      </c>
      <c r="E14" s="2">
        <v>1</v>
      </c>
      <c r="F14" s="41">
        <v>0.51600000000000001</v>
      </c>
      <c r="I14" s="2" t="s">
        <v>75</v>
      </c>
      <c r="K14" s="41">
        <f t="shared" ref="K14:K17" si="0">L14/60*0.549</f>
        <v>0.27450000000000002</v>
      </c>
      <c r="L14" s="2">
        <v>30</v>
      </c>
      <c r="O14" s="8" t="s">
        <v>87</v>
      </c>
      <c r="P14" s="8">
        <v>8</v>
      </c>
      <c r="Q14" s="42">
        <f>P14*0.004</f>
        <v>3.2000000000000001E-2</v>
      </c>
      <c r="T14" s="26"/>
      <c r="U14" s="7" t="s">
        <v>38</v>
      </c>
      <c r="V14" s="2">
        <v>1</v>
      </c>
      <c r="W14" s="8">
        <v>0.62</v>
      </c>
      <c r="X14" s="26"/>
    </row>
    <row r="15" spans="1:24">
      <c r="A15" s="60"/>
      <c r="B15" s="60"/>
      <c r="C15" s="61" t="s">
        <v>43</v>
      </c>
      <c r="D15" s="61"/>
      <c r="E15" s="61"/>
      <c r="F15" s="61"/>
      <c r="G15" s="61"/>
      <c r="I15" s="2" t="s">
        <v>54</v>
      </c>
      <c r="K15" s="41">
        <f t="shared" si="0"/>
        <v>0.54900000000000004</v>
      </c>
      <c r="L15" s="2">
        <v>60</v>
      </c>
      <c r="N15" s="61" t="s">
        <v>47</v>
      </c>
      <c r="O15" s="61"/>
      <c r="P15" s="61"/>
      <c r="Q15" s="6" t="s">
        <v>49</v>
      </c>
      <c r="R15" s="6" t="s">
        <v>78</v>
      </c>
      <c r="S15" s="6"/>
      <c r="T15" s="61" t="s">
        <v>47</v>
      </c>
      <c r="U15" s="61"/>
      <c r="V15" s="61"/>
      <c r="W15" s="6" t="s">
        <v>49</v>
      </c>
      <c r="X15" s="6" t="s">
        <v>78</v>
      </c>
    </row>
    <row r="16" spans="1:24">
      <c r="A16" s="60"/>
      <c r="B16" s="60"/>
      <c r="C16" s="7"/>
      <c r="D16" s="7" t="s">
        <v>44</v>
      </c>
      <c r="E16" s="12">
        <v>2</v>
      </c>
      <c r="F16" s="43">
        <v>0.02</v>
      </c>
      <c r="G16" s="7"/>
      <c r="I16" s="2" t="s">
        <v>76</v>
      </c>
      <c r="K16" s="41">
        <f t="shared" si="0"/>
        <v>0.54900000000000004</v>
      </c>
      <c r="L16" s="8">
        <v>60</v>
      </c>
      <c r="M16" s="8"/>
      <c r="O16" s="2" t="s">
        <v>52</v>
      </c>
      <c r="Q16" s="41">
        <f>R16/60*0.549</f>
        <v>0.27450000000000002</v>
      </c>
      <c r="R16" s="2">
        <v>30</v>
      </c>
      <c r="U16" s="2" t="s">
        <v>52</v>
      </c>
      <c r="W16" s="41">
        <f>X16/60*0.549</f>
        <v>0.54900000000000004</v>
      </c>
      <c r="X16" s="2">
        <v>60</v>
      </c>
    </row>
    <row r="17" spans="1:24">
      <c r="A17" s="60"/>
      <c r="B17" s="60"/>
      <c r="D17" s="2" t="s">
        <v>45</v>
      </c>
      <c r="E17" s="2">
        <v>1</v>
      </c>
      <c r="F17" s="41">
        <v>0.27</v>
      </c>
      <c r="I17" s="2" t="s">
        <v>77</v>
      </c>
      <c r="K17" s="41">
        <f t="shared" si="0"/>
        <v>0.41175000000000006</v>
      </c>
      <c r="L17" s="8">
        <v>45</v>
      </c>
      <c r="M17" s="8"/>
      <c r="O17" s="2" t="s">
        <v>75</v>
      </c>
      <c r="Q17" s="41">
        <f t="shared" ref="Q17:Q22" si="1">R17/60*0.549</f>
        <v>0.27450000000000002</v>
      </c>
      <c r="R17" s="2">
        <v>30</v>
      </c>
      <c r="U17" s="2" t="s">
        <v>109</v>
      </c>
      <c r="W17" s="41">
        <f t="shared" ref="W17:W25" si="2">X17/60*0.549</f>
        <v>0.27450000000000002</v>
      </c>
      <c r="X17" s="2">
        <v>30</v>
      </c>
    </row>
    <row r="18" spans="1:24">
      <c r="A18" s="60"/>
      <c r="B18" s="60"/>
      <c r="D18" s="2" t="s">
        <v>46</v>
      </c>
      <c r="E18" s="2">
        <v>1</v>
      </c>
      <c r="F18" s="41">
        <v>0.3</v>
      </c>
      <c r="G18" s="40"/>
      <c r="H18" s="61" t="s">
        <v>66</v>
      </c>
      <c r="I18" s="61"/>
      <c r="J18" s="61"/>
      <c r="K18" s="61"/>
      <c r="L18" s="61"/>
      <c r="M18" s="37"/>
      <c r="O18" s="2" t="s">
        <v>88</v>
      </c>
      <c r="Q18" s="41">
        <f t="shared" si="1"/>
        <v>0.54900000000000004</v>
      </c>
      <c r="R18" s="2">
        <v>60</v>
      </c>
      <c r="U18" s="2" t="s">
        <v>110</v>
      </c>
      <c r="W18" s="41">
        <f t="shared" si="2"/>
        <v>0.54900000000000004</v>
      </c>
      <c r="X18" s="2">
        <v>60</v>
      </c>
    </row>
    <row r="19" spans="1:24">
      <c r="A19" s="60"/>
      <c r="B19" s="60"/>
      <c r="C19" s="61" t="s">
        <v>48</v>
      </c>
      <c r="D19" s="61"/>
      <c r="E19" s="61"/>
      <c r="F19" s="6" t="s">
        <v>49</v>
      </c>
      <c r="G19" s="6" t="s">
        <v>78</v>
      </c>
      <c r="I19" s="8" t="s">
        <v>67</v>
      </c>
      <c r="J19" s="2">
        <v>117</v>
      </c>
      <c r="K19" s="41">
        <f>'Unit Price'!H19*J19</f>
        <v>7.5728250000000011E-2</v>
      </c>
      <c r="O19" s="2" t="s">
        <v>89</v>
      </c>
      <c r="Q19" s="41">
        <f t="shared" si="1"/>
        <v>0.54900000000000004</v>
      </c>
      <c r="R19" s="8">
        <v>60</v>
      </c>
      <c r="S19" s="8"/>
      <c r="U19" s="2" t="s">
        <v>55</v>
      </c>
      <c r="W19" s="41">
        <f t="shared" si="2"/>
        <v>0.54900000000000004</v>
      </c>
      <c r="X19" s="8">
        <v>60</v>
      </c>
    </row>
    <row r="20" spans="1:24">
      <c r="A20" s="60"/>
      <c r="B20" s="60"/>
      <c r="C20" s="2">
        <v>30</v>
      </c>
      <c r="D20" s="2" t="s">
        <v>51</v>
      </c>
      <c r="F20" s="42">
        <f>G20/60*0.549</f>
        <v>0.27450000000000002</v>
      </c>
      <c r="G20" s="2">
        <v>30</v>
      </c>
      <c r="K20" s="6" t="s">
        <v>49</v>
      </c>
      <c r="O20" s="2" t="s">
        <v>90</v>
      </c>
      <c r="Q20" s="41">
        <f t="shared" si="1"/>
        <v>0.27450000000000002</v>
      </c>
      <c r="R20" s="8">
        <v>30</v>
      </c>
      <c r="S20" s="8"/>
      <c r="U20" s="8" t="s">
        <v>136</v>
      </c>
      <c r="W20" s="41">
        <f t="shared" si="2"/>
        <v>0.27450000000000002</v>
      </c>
      <c r="X20" s="8">
        <v>30</v>
      </c>
    </row>
    <row r="21" spans="1:24">
      <c r="A21" s="60"/>
      <c r="B21" s="60"/>
      <c r="C21" s="2">
        <v>90</v>
      </c>
      <c r="D21" s="2" t="s">
        <v>52</v>
      </c>
      <c r="F21" s="41">
        <f t="shared" ref="F21:F34" si="3">G21/60*0.549</f>
        <v>0.82350000000000012</v>
      </c>
      <c r="G21" s="2">
        <v>90</v>
      </c>
      <c r="I21" s="10" t="s">
        <v>68</v>
      </c>
      <c r="K21" s="41">
        <f>SUM(K13:K17)</f>
        <v>2.0587500000000003</v>
      </c>
      <c r="O21" s="8" t="s">
        <v>91</v>
      </c>
      <c r="Q21" s="41">
        <f t="shared" si="1"/>
        <v>0.41175000000000006</v>
      </c>
      <c r="R21" s="8">
        <v>45</v>
      </c>
      <c r="S21" s="8"/>
      <c r="U21" s="8" t="s">
        <v>111</v>
      </c>
      <c r="W21" s="41">
        <f t="shared" si="2"/>
        <v>9.1499999999999998E-2</v>
      </c>
      <c r="X21" s="8">
        <v>10</v>
      </c>
    </row>
    <row r="22" spans="1:24">
      <c r="A22" s="60"/>
      <c r="B22" s="60"/>
      <c r="C22" s="2">
        <v>30</v>
      </c>
      <c r="D22" s="2" t="s">
        <v>53</v>
      </c>
      <c r="F22" s="41">
        <f t="shared" si="3"/>
        <v>0.27450000000000002</v>
      </c>
      <c r="G22" s="2">
        <v>30</v>
      </c>
      <c r="I22" s="10" t="s">
        <v>69</v>
      </c>
      <c r="K22" s="41">
        <f>SUM(K5:K8,K10:K11)+K19</f>
        <v>0.25727825000000004</v>
      </c>
      <c r="O22" s="8" t="s">
        <v>65</v>
      </c>
      <c r="Q22" s="41">
        <f t="shared" si="1"/>
        <v>0.54900000000000004</v>
      </c>
      <c r="R22" s="8">
        <v>60</v>
      </c>
      <c r="S22" s="8"/>
      <c r="U22" s="8" t="s">
        <v>112</v>
      </c>
      <c r="W22" s="41">
        <f t="shared" si="2"/>
        <v>0.27450000000000002</v>
      </c>
      <c r="X22" s="8">
        <v>30</v>
      </c>
    </row>
    <row r="23" spans="1:24">
      <c r="A23" s="60"/>
      <c r="B23" s="60"/>
      <c r="C23" s="8">
        <v>60</v>
      </c>
      <c r="D23" s="2" t="s">
        <v>54</v>
      </c>
      <c r="F23" s="41">
        <f t="shared" si="3"/>
        <v>0.54900000000000004</v>
      </c>
      <c r="G23" s="8">
        <v>60</v>
      </c>
      <c r="I23" s="17" t="s">
        <v>80</v>
      </c>
      <c r="J23" s="18"/>
      <c r="K23" s="44">
        <f>SUM(K21:K22)</f>
        <v>2.3160282500000005</v>
      </c>
      <c r="N23" s="61" t="s">
        <v>66</v>
      </c>
      <c r="O23" s="61"/>
      <c r="P23" s="61"/>
      <c r="Q23" s="61"/>
      <c r="R23" s="61"/>
      <c r="S23" s="37"/>
      <c r="U23" s="8" t="s">
        <v>113</v>
      </c>
      <c r="W23" s="41">
        <f t="shared" si="2"/>
        <v>9.1499999999999998E-2</v>
      </c>
      <c r="X23" s="8">
        <v>10</v>
      </c>
    </row>
    <row r="24" spans="1:24">
      <c r="A24" s="60"/>
      <c r="B24" s="60"/>
      <c r="C24" s="2">
        <v>60</v>
      </c>
      <c r="D24" s="2" t="s">
        <v>55</v>
      </c>
      <c r="F24" s="41">
        <f t="shared" si="3"/>
        <v>0.54900000000000004</v>
      </c>
      <c r="G24" s="8">
        <v>60</v>
      </c>
      <c r="O24" s="8" t="s">
        <v>67</v>
      </c>
      <c r="P24" s="2">
        <v>192</v>
      </c>
      <c r="Q24" s="41">
        <f>P24*'Unit Price'!H19</f>
        <v>0.12427200000000001</v>
      </c>
      <c r="U24" s="8" t="s">
        <v>91</v>
      </c>
      <c r="W24" s="41">
        <f t="shared" si="2"/>
        <v>0.41175000000000006</v>
      </c>
      <c r="X24" s="8">
        <v>45</v>
      </c>
    </row>
    <row r="25" spans="1:24">
      <c r="A25" s="60"/>
      <c r="B25" s="60"/>
      <c r="C25" s="2">
        <v>30</v>
      </c>
      <c r="D25" s="2" t="s">
        <v>56</v>
      </c>
      <c r="F25" s="41">
        <f t="shared" si="3"/>
        <v>0.13725000000000001</v>
      </c>
      <c r="G25" s="8">
        <v>15</v>
      </c>
      <c r="H25" s="62" t="s">
        <v>79</v>
      </c>
      <c r="I25" s="62"/>
      <c r="J25" s="62"/>
      <c r="K25" s="62"/>
      <c r="L25" s="62"/>
      <c r="M25" s="36"/>
      <c r="U25" s="8" t="s">
        <v>65</v>
      </c>
      <c r="W25" s="41">
        <f t="shared" si="2"/>
        <v>0.54900000000000004</v>
      </c>
      <c r="X25" s="2">
        <v>60</v>
      </c>
    </row>
    <row r="26" spans="1:24">
      <c r="A26" s="60"/>
      <c r="B26" s="60"/>
      <c r="C26" s="2">
        <v>15</v>
      </c>
      <c r="D26" s="2" t="s">
        <v>57</v>
      </c>
      <c r="F26" s="41">
        <f t="shared" si="3"/>
        <v>0.27450000000000002</v>
      </c>
      <c r="G26" s="8">
        <v>30</v>
      </c>
      <c r="H26" s="6"/>
      <c r="I26" s="6" t="s">
        <v>93</v>
      </c>
      <c r="J26" s="6" t="s">
        <v>29</v>
      </c>
      <c r="K26" s="6" t="s">
        <v>50</v>
      </c>
      <c r="L26" s="6" t="s">
        <v>78</v>
      </c>
      <c r="M26" s="6"/>
      <c r="O26" s="10" t="s">
        <v>68</v>
      </c>
      <c r="P26" s="2" t="s">
        <v>14</v>
      </c>
      <c r="Q26" s="41">
        <f>(SUM(Q16:Q22)*3)</f>
        <v>8.6467500000000008</v>
      </c>
      <c r="T26" s="61" t="s">
        <v>66</v>
      </c>
      <c r="U26" s="61"/>
      <c r="V26" s="61"/>
      <c r="W26" s="61"/>
      <c r="X26" s="61"/>
    </row>
    <row r="27" spans="1:24">
      <c r="A27" s="60"/>
      <c r="B27" s="60"/>
      <c r="C27" s="8">
        <v>30</v>
      </c>
      <c r="D27" s="2" t="s">
        <v>58</v>
      </c>
      <c r="F27" s="41">
        <f t="shared" si="3"/>
        <v>0.27450000000000002</v>
      </c>
      <c r="G27" s="8">
        <v>30</v>
      </c>
      <c r="H27" s="26" t="s">
        <v>36</v>
      </c>
      <c r="I27" s="26"/>
      <c r="J27" s="26"/>
      <c r="O27" s="10" t="s">
        <v>69</v>
      </c>
      <c r="P27" s="2" t="s">
        <v>14</v>
      </c>
      <c r="Q27" s="41">
        <f>(SUM(Q6:Q9,Q11:Q14))*3+Q24</f>
        <v>3.6215220000000001</v>
      </c>
      <c r="U27" s="8" t="s">
        <v>67</v>
      </c>
      <c r="V27" s="2">
        <v>143</v>
      </c>
      <c r="W27" s="41">
        <f>V27*'Unit Price'!H19</f>
        <v>9.2556750000000007E-2</v>
      </c>
    </row>
    <row r="28" spans="1:24">
      <c r="A28" s="60"/>
      <c r="B28" s="60"/>
      <c r="C28" s="8">
        <v>45</v>
      </c>
      <c r="D28" s="2" t="s">
        <v>59</v>
      </c>
      <c r="F28" s="41">
        <f t="shared" si="3"/>
        <v>0.41175000000000006</v>
      </c>
      <c r="G28" s="8">
        <v>45</v>
      </c>
      <c r="I28" s="2" t="s">
        <v>31</v>
      </c>
      <c r="J28" s="12">
        <v>1</v>
      </c>
      <c r="K28" s="12">
        <v>0.14000000000000001</v>
      </c>
      <c r="L28" s="6"/>
      <c r="M28" s="6"/>
      <c r="O28" s="17" t="s">
        <v>92</v>
      </c>
      <c r="P28" s="18"/>
      <c r="Q28" s="44">
        <f>SUM(Q26:Q27)</f>
        <v>12.268272000000001</v>
      </c>
    </row>
    <row r="29" spans="1:24">
      <c r="A29" s="60"/>
      <c r="B29" s="60"/>
      <c r="C29" s="2">
        <v>60</v>
      </c>
      <c r="D29" s="2" t="s">
        <v>60</v>
      </c>
      <c r="F29" s="41">
        <f t="shared" si="3"/>
        <v>0.54900000000000004</v>
      </c>
      <c r="G29" s="8">
        <v>60</v>
      </c>
      <c r="I29" s="2" t="s">
        <v>32</v>
      </c>
      <c r="J29" s="15" t="s">
        <v>7</v>
      </c>
      <c r="K29" s="12">
        <v>7.0000000000000001E-3</v>
      </c>
      <c r="L29" s="26"/>
      <c r="M29" s="37"/>
      <c r="U29" s="10" t="s">
        <v>68</v>
      </c>
      <c r="V29" s="2" t="s">
        <v>14</v>
      </c>
      <c r="W29" s="41">
        <f>(SUM(W16:W25)*3)</f>
        <v>10.842750000000001</v>
      </c>
    </row>
    <row r="30" spans="1:24">
      <c r="A30" s="60"/>
      <c r="B30" s="60"/>
      <c r="C30" s="2">
        <v>15</v>
      </c>
      <c r="D30" s="2" t="s">
        <v>61</v>
      </c>
      <c r="F30" s="41">
        <f t="shared" si="3"/>
        <v>0.13725000000000001</v>
      </c>
      <c r="G30" s="8">
        <v>15</v>
      </c>
      <c r="H30" s="26" t="s">
        <v>39</v>
      </c>
      <c r="I30" s="26"/>
      <c r="N30" s="62" t="s">
        <v>4</v>
      </c>
      <c r="O30" s="62"/>
      <c r="P30" s="62"/>
      <c r="Q30" s="62"/>
      <c r="R30" s="62"/>
      <c r="S30" s="36"/>
      <c r="U30" s="10" t="s">
        <v>69</v>
      </c>
      <c r="W30" s="41">
        <f>SUM(W5:W8,W10:W12,W14:W14)+W27</f>
        <v>1.4450067499999999</v>
      </c>
    </row>
    <row r="31" spans="1:24">
      <c r="A31" s="60"/>
      <c r="B31" s="60"/>
      <c r="C31" s="8">
        <v>30</v>
      </c>
      <c r="D31" s="2" t="s">
        <v>62</v>
      </c>
      <c r="F31" s="41">
        <f t="shared" si="3"/>
        <v>0.27450000000000002</v>
      </c>
      <c r="G31" s="8">
        <v>30</v>
      </c>
      <c r="I31" s="2" t="s">
        <v>37</v>
      </c>
      <c r="J31" s="2">
        <v>1</v>
      </c>
      <c r="K31" s="8">
        <v>0.35</v>
      </c>
      <c r="N31" s="6"/>
      <c r="O31" s="6" t="s">
        <v>93</v>
      </c>
      <c r="P31" s="6" t="s">
        <v>29</v>
      </c>
      <c r="Q31" s="6" t="s">
        <v>50</v>
      </c>
      <c r="R31" s="6" t="s">
        <v>78</v>
      </c>
      <c r="S31" s="6"/>
      <c r="U31" s="17" t="s">
        <v>114</v>
      </c>
      <c r="V31" s="18"/>
      <c r="W31" s="44">
        <f>SUM(W29:W30)</f>
        <v>12.28775675</v>
      </c>
    </row>
    <row r="32" spans="1:24">
      <c r="A32" s="60"/>
      <c r="B32" s="60"/>
      <c r="C32" s="8">
        <v>45</v>
      </c>
      <c r="D32" s="2" t="s">
        <v>63</v>
      </c>
      <c r="F32" s="41">
        <f t="shared" si="3"/>
        <v>0.13725000000000001</v>
      </c>
      <c r="G32" s="8">
        <v>15</v>
      </c>
      <c r="I32" s="2" t="s">
        <v>38</v>
      </c>
      <c r="J32" s="2">
        <v>1</v>
      </c>
      <c r="K32" s="8">
        <v>0.62</v>
      </c>
      <c r="N32" s="26" t="s">
        <v>36</v>
      </c>
      <c r="O32" s="26"/>
      <c r="P32" s="26"/>
      <c r="Q32" s="26"/>
      <c r="R32" s="26"/>
      <c r="S32" s="37"/>
    </row>
    <row r="33" spans="1:19">
      <c r="A33" s="60"/>
      <c r="B33" s="60"/>
      <c r="C33" s="2">
        <v>60</v>
      </c>
      <c r="D33" s="2" t="s">
        <v>64</v>
      </c>
      <c r="F33" s="41">
        <f t="shared" si="3"/>
        <v>0.41175000000000006</v>
      </c>
      <c r="G33" s="8">
        <v>45</v>
      </c>
      <c r="H33" s="26" t="s">
        <v>40</v>
      </c>
      <c r="I33" s="26"/>
      <c r="O33" s="2" t="s">
        <v>31</v>
      </c>
      <c r="P33" s="2">
        <v>1</v>
      </c>
      <c r="Q33" s="41">
        <v>0.14000000000000001</v>
      </c>
    </row>
    <row r="34" spans="1:19">
      <c r="A34" s="60"/>
      <c r="B34" s="60"/>
      <c r="D34" s="8" t="s">
        <v>65</v>
      </c>
      <c r="F34" s="41">
        <f t="shared" si="3"/>
        <v>0.54900000000000004</v>
      </c>
      <c r="G34" s="2">
        <v>60</v>
      </c>
      <c r="H34" s="32">
        <f>SUM(G20:G34)</f>
        <v>615</v>
      </c>
      <c r="I34" s="2" t="s">
        <v>41</v>
      </c>
      <c r="J34" s="8">
        <v>1</v>
      </c>
      <c r="K34" s="8">
        <v>0.53</v>
      </c>
      <c r="L34" s="26"/>
      <c r="M34" s="37"/>
      <c r="O34" s="2" t="s">
        <v>32</v>
      </c>
      <c r="P34" s="19" t="s">
        <v>7</v>
      </c>
      <c r="Q34" s="41">
        <v>7.0000000000000001E-3</v>
      </c>
    </row>
    <row r="35" spans="1:19">
      <c r="A35" s="60"/>
      <c r="B35" s="60"/>
      <c r="C35" s="61" t="s">
        <v>66</v>
      </c>
      <c r="D35" s="61"/>
      <c r="E35" s="61"/>
      <c r="F35" s="61"/>
      <c r="G35" s="61"/>
      <c r="H35" s="26" t="s">
        <v>42</v>
      </c>
      <c r="I35" s="26"/>
      <c r="J35" s="26"/>
      <c r="O35" s="2" t="s">
        <v>33</v>
      </c>
      <c r="P35" s="19" t="s">
        <v>8</v>
      </c>
      <c r="Q35" s="41">
        <v>1.4999999999999999E-4</v>
      </c>
    </row>
    <row r="36" spans="1:19">
      <c r="A36" s="60"/>
      <c r="B36" s="60"/>
      <c r="D36" s="8" t="s">
        <v>67</v>
      </c>
      <c r="E36" s="2">
        <v>44</v>
      </c>
      <c r="F36" s="41">
        <f>E36*'Unit Price'!H19</f>
        <v>2.8479000000000001E-2</v>
      </c>
      <c r="I36" s="2" t="s">
        <v>0</v>
      </c>
      <c r="J36" s="2">
        <v>1</v>
      </c>
      <c r="K36" s="2">
        <v>0.51600000000000001</v>
      </c>
      <c r="O36" s="2" t="s">
        <v>34</v>
      </c>
      <c r="P36" s="2">
        <v>1</v>
      </c>
      <c r="Q36" s="41">
        <v>0.02</v>
      </c>
    </row>
    <row r="37" spans="1:19">
      <c r="A37" s="60"/>
      <c r="B37" s="60"/>
      <c r="D37" s="8"/>
      <c r="H37" s="26" t="s">
        <v>43</v>
      </c>
      <c r="I37" s="26"/>
      <c r="K37" s="26"/>
      <c r="L37" s="26"/>
      <c r="M37" s="37"/>
      <c r="N37" s="26" t="s">
        <v>84</v>
      </c>
      <c r="O37" s="26"/>
      <c r="P37" s="26"/>
      <c r="Q37" s="26"/>
      <c r="R37" s="26"/>
      <c r="S37" s="37"/>
    </row>
    <row r="38" spans="1:19">
      <c r="A38" s="60"/>
      <c r="B38" s="60"/>
      <c r="D38" s="10" t="s">
        <v>68</v>
      </c>
      <c r="F38" s="41">
        <f>SUM(F20:F34)</f>
        <v>5.627250000000001</v>
      </c>
      <c r="H38" s="26"/>
      <c r="I38" s="7" t="s">
        <v>44</v>
      </c>
      <c r="J38" s="12">
        <v>2</v>
      </c>
      <c r="K38" s="12">
        <v>0.02</v>
      </c>
      <c r="L38" s="26"/>
      <c r="M38" s="37"/>
      <c r="O38" s="8" t="s">
        <v>44</v>
      </c>
      <c r="P38" s="2">
        <v>2</v>
      </c>
      <c r="Q38" s="42">
        <v>0.02</v>
      </c>
    </row>
    <row r="39" spans="1:19">
      <c r="A39" s="60"/>
      <c r="B39" s="60"/>
      <c r="D39" s="10" t="s">
        <v>69</v>
      </c>
      <c r="F39" s="41">
        <f>SUM(F4:F7,F9:F10,F12,F14,F16:F18)+F36</f>
        <v>2.8016290000000001</v>
      </c>
      <c r="I39" s="2" t="s">
        <v>45</v>
      </c>
      <c r="J39" s="12">
        <v>1</v>
      </c>
      <c r="K39" s="12">
        <v>0.27</v>
      </c>
      <c r="O39" s="8" t="s">
        <v>94</v>
      </c>
      <c r="P39" s="19" t="s">
        <v>7</v>
      </c>
      <c r="Q39" s="41">
        <v>2.7E-2</v>
      </c>
    </row>
    <row r="40" spans="1:19">
      <c r="A40" s="60"/>
      <c r="B40" s="60"/>
      <c r="D40" s="17" t="s">
        <v>70</v>
      </c>
      <c r="E40" s="18"/>
      <c r="F40" s="44">
        <f>SUM(F38:F39)</f>
        <v>8.428879000000002</v>
      </c>
      <c r="I40" s="2" t="s">
        <v>46</v>
      </c>
      <c r="J40" s="12">
        <v>1</v>
      </c>
      <c r="K40" s="13">
        <v>0.3</v>
      </c>
      <c r="O40" s="8" t="s">
        <v>95</v>
      </c>
      <c r="P40" s="2">
        <v>1</v>
      </c>
      <c r="Q40" s="42">
        <v>0.01</v>
      </c>
    </row>
    <row r="41" spans="1:19">
      <c r="A41" s="60"/>
      <c r="B41" s="60"/>
      <c r="H41" s="61" t="s">
        <v>47</v>
      </c>
      <c r="I41" s="61"/>
      <c r="J41" s="61"/>
      <c r="K41" s="6" t="s">
        <v>49</v>
      </c>
      <c r="L41" s="6" t="s">
        <v>78</v>
      </c>
      <c r="M41" s="6"/>
      <c r="O41" s="8" t="s">
        <v>96</v>
      </c>
      <c r="P41" s="8">
        <v>1</v>
      </c>
      <c r="Q41" s="42">
        <v>7.0000000000000007E-2</v>
      </c>
    </row>
    <row r="42" spans="1:19">
      <c r="A42" s="60"/>
      <c r="B42" s="60"/>
      <c r="I42" s="2" t="s">
        <v>51</v>
      </c>
      <c r="K42" s="41">
        <f>L42/60*0.549</f>
        <v>0.27450000000000002</v>
      </c>
      <c r="L42" s="2">
        <v>30</v>
      </c>
      <c r="O42" s="8" t="s">
        <v>97</v>
      </c>
      <c r="P42" s="8">
        <v>1</v>
      </c>
      <c r="Q42" s="42">
        <v>0.04</v>
      </c>
    </row>
    <row r="43" spans="1:19">
      <c r="A43" s="60"/>
      <c r="B43" s="60"/>
      <c r="I43" s="2" t="s">
        <v>52</v>
      </c>
      <c r="K43" s="41">
        <f t="shared" ref="K43:K55" si="4">L43/60*0.549</f>
        <v>0.82350000000000012</v>
      </c>
      <c r="L43" s="2">
        <v>90</v>
      </c>
      <c r="N43" s="26" t="s">
        <v>47</v>
      </c>
      <c r="O43" s="26"/>
      <c r="P43" s="26"/>
      <c r="Q43" s="6" t="s">
        <v>49</v>
      </c>
      <c r="R43" s="6" t="s">
        <v>78</v>
      </c>
      <c r="S43" s="37"/>
    </row>
    <row r="44" spans="1:19">
      <c r="A44" s="60"/>
      <c r="B44" s="60"/>
      <c r="I44" s="2" t="s">
        <v>53</v>
      </c>
      <c r="K44" s="41">
        <f t="shared" si="4"/>
        <v>0.54900000000000004</v>
      </c>
      <c r="L44" s="8">
        <v>60</v>
      </c>
      <c r="M44" s="8"/>
      <c r="O44" s="2" t="s">
        <v>52</v>
      </c>
      <c r="Q44" s="41">
        <f>R44/60*0.549</f>
        <v>0.54900000000000004</v>
      </c>
      <c r="R44" s="2">
        <v>60</v>
      </c>
    </row>
    <row r="45" spans="1:19">
      <c r="A45" s="60"/>
      <c r="B45" s="60"/>
      <c r="I45" s="2" t="s">
        <v>54</v>
      </c>
      <c r="K45" s="41">
        <f t="shared" si="4"/>
        <v>0.54900000000000004</v>
      </c>
      <c r="L45" s="8">
        <v>60</v>
      </c>
      <c r="M45" s="8"/>
      <c r="O45" s="2" t="s">
        <v>75</v>
      </c>
      <c r="Q45" s="41">
        <f t="shared" ref="Q45:Q51" si="5">R45/60*0.549</f>
        <v>0.27450000000000002</v>
      </c>
      <c r="R45" s="2">
        <v>30</v>
      </c>
    </row>
    <row r="46" spans="1:19">
      <c r="A46" s="60"/>
      <c r="B46" s="60"/>
      <c r="I46" s="2" t="s">
        <v>55</v>
      </c>
      <c r="K46" s="41">
        <f t="shared" si="4"/>
        <v>0.13725000000000001</v>
      </c>
      <c r="L46" s="8">
        <v>15</v>
      </c>
      <c r="M46" s="8"/>
      <c r="O46" s="2" t="s">
        <v>54</v>
      </c>
      <c r="Q46" s="41">
        <f t="shared" si="5"/>
        <v>0.54900000000000004</v>
      </c>
      <c r="R46" s="2">
        <v>60</v>
      </c>
    </row>
    <row r="47" spans="1:19">
      <c r="A47" s="60"/>
      <c r="B47" s="60"/>
      <c r="I47" s="2" t="s">
        <v>56</v>
      </c>
      <c r="K47" s="41">
        <f t="shared" si="4"/>
        <v>0.27450000000000002</v>
      </c>
      <c r="L47" s="8">
        <v>30</v>
      </c>
      <c r="M47" s="8"/>
      <c r="O47" s="2" t="s">
        <v>55</v>
      </c>
      <c r="Q47" s="41">
        <f t="shared" si="5"/>
        <v>0.54900000000000004</v>
      </c>
      <c r="R47" s="8">
        <v>60</v>
      </c>
      <c r="S47" s="8"/>
    </row>
    <row r="48" spans="1:19">
      <c r="A48" s="60"/>
      <c r="B48" s="60"/>
      <c r="I48" s="2" t="s">
        <v>57</v>
      </c>
      <c r="K48" s="41">
        <f t="shared" si="4"/>
        <v>0.54900000000000004</v>
      </c>
      <c r="L48" s="8">
        <v>60</v>
      </c>
      <c r="M48" s="8"/>
      <c r="O48" s="8" t="s">
        <v>98</v>
      </c>
      <c r="Q48" s="41">
        <f t="shared" si="5"/>
        <v>0.13725000000000001</v>
      </c>
      <c r="R48" s="8">
        <v>15</v>
      </c>
      <c r="S48" s="8"/>
    </row>
    <row r="49" spans="1:19">
      <c r="A49" s="60"/>
      <c r="B49" s="60"/>
      <c r="I49" s="2" t="s">
        <v>58</v>
      </c>
      <c r="K49" s="41">
        <f t="shared" si="4"/>
        <v>0.41175000000000006</v>
      </c>
      <c r="L49" s="8">
        <v>45</v>
      </c>
      <c r="M49" s="8"/>
      <c r="O49" s="8" t="s">
        <v>5</v>
      </c>
      <c r="Q49" s="41">
        <f t="shared" si="5"/>
        <v>0.27450000000000002</v>
      </c>
      <c r="R49" s="8">
        <v>30</v>
      </c>
      <c r="S49" s="8"/>
    </row>
    <row r="50" spans="1:19">
      <c r="A50" s="60"/>
      <c r="B50" s="60"/>
      <c r="I50" s="2" t="s">
        <v>59</v>
      </c>
      <c r="K50" s="41">
        <f t="shared" si="4"/>
        <v>0.82350000000000012</v>
      </c>
      <c r="L50" s="8">
        <v>90</v>
      </c>
      <c r="M50" s="8"/>
      <c r="O50" s="8" t="s">
        <v>91</v>
      </c>
      <c r="Q50" s="41">
        <f t="shared" si="5"/>
        <v>0.41175000000000006</v>
      </c>
      <c r="R50" s="8">
        <v>45</v>
      </c>
      <c r="S50" s="8"/>
    </row>
    <row r="51" spans="1:19">
      <c r="A51" s="60"/>
      <c r="B51" s="60"/>
      <c r="I51" s="2" t="s">
        <v>60</v>
      </c>
      <c r="K51" s="41">
        <f t="shared" si="4"/>
        <v>0.13725000000000001</v>
      </c>
      <c r="L51" s="8">
        <v>15</v>
      </c>
      <c r="M51" s="8"/>
      <c r="O51" s="8" t="s">
        <v>65</v>
      </c>
      <c r="Q51" s="41">
        <f t="shared" si="5"/>
        <v>0.54900000000000004</v>
      </c>
      <c r="R51" s="8">
        <v>60</v>
      </c>
      <c r="S51" s="8"/>
    </row>
    <row r="52" spans="1:19">
      <c r="A52" s="60"/>
      <c r="B52" s="60"/>
      <c r="I52" s="2" t="s">
        <v>61</v>
      </c>
      <c r="K52" s="41">
        <f t="shared" si="4"/>
        <v>0.27450000000000002</v>
      </c>
      <c r="L52" s="8">
        <v>30</v>
      </c>
      <c r="M52" s="8"/>
      <c r="N52" s="61" t="s">
        <v>66</v>
      </c>
      <c r="O52" s="61"/>
      <c r="P52" s="61"/>
      <c r="Q52" s="61"/>
      <c r="R52" s="61"/>
      <c r="S52" s="37"/>
    </row>
    <row r="53" spans="1:19">
      <c r="A53" s="60"/>
      <c r="B53" s="60"/>
      <c r="I53" s="2" t="s">
        <v>62</v>
      </c>
      <c r="K53" s="41">
        <f t="shared" si="4"/>
        <v>0.13725000000000001</v>
      </c>
      <c r="L53" s="8">
        <v>15</v>
      </c>
      <c r="M53" s="8"/>
      <c r="O53" s="8" t="s">
        <v>67</v>
      </c>
      <c r="P53" s="2">
        <v>48</v>
      </c>
      <c r="Q53" s="41">
        <f>P53*'Unit Price'!H19</f>
        <v>3.1068000000000002E-2</v>
      </c>
    </row>
    <row r="54" spans="1:19">
      <c r="A54" s="60"/>
      <c r="B54" s="60"/>
      <c r="I54" s="2" t="s">
        <v>63</v>
      </c>
      <c r="K54" s="41">
        <f t="shared" si="4"/>
        <v>0.41175000000000006</v>
      </c>
      <c r="L54" s="8">
        <v>45</v>
      </c>
      <c r="M54" s="8"/>
    </row>
    <row r="55" spans="1:19">
      <c r="A55" s="60"/>
      <c r="B55" s="60"/>
      <c r="I55" s="8" t="s">
        <v>64</v>
      </c>
      <c r="K55" s="41">
        <f t="shared" si="4"/>
        <v>0.54900000000000004</v>
      </c>
      <c r="L55" s="2">
        <v>60</v>
      </c>
      <c r="O55" s="10" t="s">
        <v>68</v>
      </c>
      <c r="Q55" s="41">
        <f>SUM(Q44:Q51)</f>
        <v>3.294</v>
      </c>
    </row>
    <row r="56" spans="1:19">
      <c r="A56" s="60"/>
      <c r="B56" s="60"/>
      <c r="H56" s="61" t="s">
        <v>66</v>
      </c>
      <c r="I56" s="61"/>
      <c r="J56" s="61"/>
      <c r="K56" s="61"/>
      <c r="L56" s="61"/>
      <c r="M56" s="37"/>
      <c r="O56" s="10" t="s">
        <v>69</v>
      </c>
      <c r="Q56" s="41">
        <f>SUM(Q33:Q36,Q38:Q42)+Q53</f>
        <v>0.36521799999999999</v>
      </c>
    </row>
    <row r="57" spans="1:19">
      <c r="A57" s="60"/>
      <c r="B57" s="60"/>
      <c r="I57" s="8" t="s">
        <v>67</v>
      </c>
      <c r="J57" s="2">
        <v>27</v>
      </c>
      <c r="K57" s="41">
        <f>J57*'Unit Price'!H19</f>
        <v>1.7475750000000002E-2</v>
      </c>
      <c r="O57" s="17" t="s">
        <v>92</v>
      </c>
      <c r="P57" s="18"/>
      <c r="Q57" s="44">
        <f>SUM(Q55:Q56)</f>
        <v>3.6592180000000001</v>
      </c>
      <c r="S57" s="18"/>
    </row>
    <row r="58" spans="1:19">
      <c r="A58" s="60"/>
      <c r="B58" s="60"/>
    </row>
    <row r="59" spans="1:19">
      <c r="A59" s="60"/>
      <c r="B59" s="60"/>
      <c r="I59" s="10" t="s">
        <v>68</v>
      </c>
      <c r="K59" s="41">
        <f>SUM(K42:K55)</f>
        <v>5.9017500000000007</v>
      </c>
      <c r="N59" s="62" t="s">
        <v>23</v>
      </c>
      <c r="O59" s="62"/>
      <c r="P59" s="62"/>
      <c r="Q59" s="62"/>
      <c r="R59" s="62"/>
      <c r="S59" s="36"/>
    </row>
    <row r="60" spans="1:19">
      <c r="A60" s="60"/>
      <c r="B60" s="60"/>
      <c r="I60" s="10" t="s">
        <v>69</v>
      </c>
      <c r="K60" s="41">
        <f>SUM(K28:K29,K31:K32,K34,K36:K36,K38:K40)+K57</f>
        <v>2.7704757500000001</v>
      </c>
      <c r="N60" s="62" t="s">
        <v>100</v>
      </c>
      <c r="O60" s="62"/>
      <c r="P60" s="62"/>
      <c r="Q60" s="62"/>
      <c r="R60" s="62"/>
      <c r="S60" s="36"/>
    </row>
    <row r="61" spans="1:19">
      <c r="A61" s="60"/>
      <c r="B61" s="60"/>
      <c r="I61" s="17" t="s">
        <v>81</v>
      </c>
      <c r="J61" s="18"/>
      <c r="K61" s="44">
        <f>SUM(K59:K60)</f>
        <v>8.6722257500000008</v>
      </c>
      <c r="N61" s="6"/>
      <c r="O61" s="6" t="s">
        <v>93</v>
      </c>
      <c r="P61" s="6" t="s">
        <v>29</v>
      </c>
      <c r="Q61" s="6" t="s">
        <v>50</v>
      </c>
      <c r="R61" s="6" t="s">
        <v>78</v>
      </c>
      <c r="S61" s="6"/>
    </row>
    <row r="62" spans="1:19">
      <c r="N62" s="61" t="s">
        <v>36</v>
      </c>
      <c r="O62" s="61"/>
      <c r="P62" s="61"/>
      <c r="Q62" s="61"/>
      <c r="R62" s="61"/>
      <c r="S62" s="37"/>
    </row>
    <row r="63" spans="1:19">
      <c r="A63" s="46" t="s">
        <v>104</v>
      </c>
      <c r="O63" s="2" t="s">
        <v>31</v>
      </c>
      <c r="P63" s="2">
        <v>1</v>
      </c>
      <c r="Q63" s="41">
        <v>0.14000000000000001</v>
      </c>
    </row>
    <row r="64" spans="1:19">
      <c r="O64" s="2" t="s">
        <v>32</v>
      </c>
      <c r="P64" s="19" t="s">
        <v>7</v>
      </c>
      <c r="Q64" s="41">
        <v>7.0000000000000001E-3</v>
      </c>
    </row>
    <row r="65" spans="14:19">
      <c r="O65" s="2" t="s">
        <v>33</v>
      </c>
      <c r="P65" s="19" t="s">
        <v>8</v>
      </c>
      <c r="Q65" s="41">
        <v>1.4999999999999999E-4</v>
      </c>
    </row>
    <row r="66" spans="14:19">
      <c r="O66" s="2" t="s">
        <v>34</v>
      </c>
      <c r="P66" s="2">
        <v>1</v>
      </c>
      <c r="Q66" s="41">
        <v>0.02</v>
      </c>
    </row>
    <row r="67" spans="14:19">
      <c r="N67" s="61" t="s">
        <v>84</v>
      </c>
      <c r="O67" s="61"/>
      <c r="P67" s="61"/>
      <c r="Q67" s="61"/>
      <c r="R67" s="61"/>
      <c r="S67" s="37"/>
    </row>
    <row r="68" spans="14:19">
      <c r="O68" s="8" t="s">
        <v>2</v>
      </c>
      <c r="P68" s="2">
        <v>2</v>
      </c>
      <c r="Q68" s="42">
        <v>0.02</v>
      </c>
    </row>
    <row r="69" spans="14:19">
      <c r="O69" s="8" t="s">
        <v>85</v>
      </c>
      <c r="P69" s="19" t="s">
        <v>7</v>
      </c>
      <c r="Q69" s="42">
        <v>6.6E-3</v>
      </c>
    </row>
    <row r="70" spans="14:19">
      <c r="O70" s="8" t="s">
        <v>86</v>
      </c>
      <c r="P70" s="2">
        <v>1</v>
      </c>
      <c r="Q70" s="42">
        <v>0.94</v>
      </c>
    </row>
    <row r="71" spans="14:19">
      <c r="O71" s="8" t="s">
        <v>87</v>
      </c>
      <c r="P71" s="8">
        <v>8</v>
      </c>
      <c r="Q71" s="42">
        <f>P71*0.004</f>
        <v>3.2000000000000001E-2</v>
      </c>
    </row>
    <row r="72" spans="14:19">
      <c r="N72" s="27" t="s">
        <v>47</v>
      </c>
      <c r="O72" s="27"/>
      <c r="P72" s="27"/>
      <c r="Q72" s="6" t="s">
        <v>49</v>
      </c>
      <c r="R72" s="6" t="s">
        <v>78</v>
      </c>
      <c r="S72" s="37"/>
    </row>
    <row r="73" spans="14:19">
      <c r="O73" s="2" t="s">
        <v>52</v>
      </c>
      <c r="Q73" s="41">
        <f>R73/60*0.549</f>
        <v>0.27450000000000002</v>
      </c>
      <c r="R73" s="2">
        <v>30</v>
      </c>
    </row>
    <row r="74" spans="14:19">
      <c r="O74" s="2" t="s">
        <v>75</v>
      </c>
      <c r="Q74" s="41">
        <f t="shared" ref="Q74:Q79" si="6">R74/60*0.549</f>
        <v>0.27450000000000002</v>
      </c>
      <c r="R74" s="2">
        <v>30</v>
      </c>
    </row>
    <row r="75" spans="14:19">
      <c r="O75" s="2" t="s">
        <v>88</v>
      </c>
      <c r="Q75" s="41">
        <f t="shared" si="6"/>
        <v>0.54900000000000004</v>
      </c>
      <c r="R75" s="2">
        <v>60</v>
      </c>
    </row>
    <row r="76" spans="14:19">
      <c r="O76" s="2" t="s">
        <v>89</v>
      </c>
      <c r="Q76" s="41">
        <f t="shared" si="6"/>
        <v>0.54900000000000004</v>
      </c>
      <c r="R76" s="8">
        <v>60</v>
      </c>
      <c r="S76" s="8"/>
    </row>
    <row r="77" spans="14:19">
      <c r="O77" s="2" t="s">
        <v>90</v>
      </c>
      <c r="Q77" s="41">
        <f t="shared" si="6"/>
        <v>0.27450000000000002</v>
      </c>
      <c r="R77" s="8">
        <v>30</v>
      </c>
      <c r="S77" s="8"/>
    </row>
    <row r="78" spans="14:19">
      <c r="O78" s="8" t="s">
        <v>91</v>
      </c>
      <c r="Q78" s="41">
        <f t="shared" si="6"/>
        <v>0.41175000000000006</v>
      </c>
      <c r="R78" s="8">
        <v>45</v>
      </c>
      <c r="S78" s="8"/>
    </row>
    <row r="79" spans="14:19">
      <c r="O79" s="8" t="s">
        <v>65</v>
      </c>
      <c r="Q79" s="41">
        <f t="shared" si="6"/>
        <v>0.54900000000000004</v>
      </c>
      <c r="R79" s="8">
        <v>60</v>
      </c>
      <c r="S79" s="8"/>
    </row>
    <row r="80" spans="14:19">
      <c r="N80" s="61" t="s">
        <v>66</v>
      </c>
      <c r="O80" s="61"/>
      <c r="P80" s="61"/>
      <c r="Q80" s="61"/>
      <c r="R80" s="61"/>
      <c r="S80" s="37"/>
    </row>
    <row r="81" spans="14:19">
      <c r="O81" s="8" t="s">
        <v>67</v>
      </c>
      <c r="P81" s="2">
        <v>64</v>
      </c>
      <c r="Q81" s="41">
        <f>P81*'Unit Price'!H19</f>
        <v>4.1424000000000002E-2</v>
      </c>
    </row>
    <row r="83" spans="14:19">
      <c r="O83" s="49" t="s">
        <v>68</v>
      </c>
      <c r="Q83" s="41">
        <f>(SUM(Q73:Q79))</f>
        <v>2.8822500000000004</v>
      </c>
    </row>
    <row r="84" spans="14:19">
      <c r="O84" s="49" t="s">
        <v>69</v>
      </c>
      <c r="Q84" s="41">
        <f>(SUM(Q63:Q66,Q68:Q71))+Q81</f>
        <v>1.207174</v>
      </c>
    </row>
    <row r="85" spans="14:19">
      <c r="O85" s="50" t="s">
        <v>92</v>
      </c>
      <c r="P85" s="18"/>
      <c r="Q85" s="44">
        <f>SUM(Q83:Q84)</f>
        <v>4.0894240000000002</v>
      </c>
      <c r="S85" s="18"/>
    </row>
    <row r="87" spans="14:19">
      <c r="N87" s="62" t="s">
        <v>99</v>
      </c>
      <c r="O87" s="62"/>
      <c r="P87" s="62"/>
      <c r="Q87" s="62"/>
      <c r="R87" s="62"/>
      <c r="S87" s="36"/>
    </row>
    <row r="88" spans="14:19">
      <c r="N88" s="6"/>
      <c r="O88" s="6" t="s">
        <v>93</v>
      </c>
      <c r="P88" s="6" t="s">
        <v>29</v>
      </c>
      <c r="Q88" s="6" t="s">
        <v>50</v>
      </c>
      <c r="R88" s="6" t="s">
        <v>78</v>
      </c>
      <c r="S88" s="6"/>
    </row>
    <row r="89" spans="14:19">
      <c r="N89" s="61" t="s">
        <v>47</v>
      </c>
      <c r="O89" s="61"/>
      <c r="P89" s="61"/>
      <c r="Q89" s="61"/>
      <c r="R89" s="61"/>
      <c r="S89" s="37"/>
    </row>
    <row r="90" spans="14:19">
      <c r="O90" s="2" t="s">
        <v>101</v>
      </c>
      <c r="Q90" s="41">
        <f>R90/60*0.549</f>
        <v>2.7450000000000001</v>
      </c>
      <c r="R90" s="2">
        <v>300</v>
      </c>
    </row>
    <row r="91" spans="14:19">
      <c r="O91" s="2" t="s">
        <v>102</v>
      </c>
      <c r="Q91" s="41">
        <f t="shared" ref="Q91" si="7">R91/60*0.549</f>
        <v>2.7450000000000001</v>
      </c>
      <c r="R91" s="2">
        <v>300</v>
      </c>
    </row>
    <row r="93" spans="14:19">
      <c r="O93" s="17" t="s">
        <v>92</v>
      </c>
      <c r="Q93" s="28">
        <f>SUM(Q90:Q91)</f>
        <v>5.49</v>
      </c>
      <c r="S93" s="28"/>
    </row>
    <row r="94" spans="14:19">
      <c r="R94" s="8"/>
      <c r="S94" s="8"/>
    </row>
    <row r="95" spans="14:19">
      <c r="O95" s="8"/>
      <c r="R95" s="8"/>
      <c r="S95" s="8"/>
    </row>
    <row r="96" spans="14:19">
      <c r="N96" s="45"/>
      <c r="O96" s="8"/>
      <c r="R96" s="8"/>
      <c r="S96" s="8"/>
    </row>
  </sheetData>
  <mergeCells count="41">
    <mergeCell ref="N87:R87"/>
    <mergeCell ref="N89:R89"/>
    <mergeCell ref="N59:R59"/>
    <mergeCell ref="N62:R62"/>
    <mergeCell ref="N67:R67"/>
    <mergeCell ref="N80:R80"/>
    <mergeCell ref="N60:R60"/>
    <mergeCell ref="H1:L1"/>
    <mergeCell ref="H2:L2"/>
    <mergeCell ref="C19:E19"/>
    <mergeCell ref="H12:J12"/>
    <mergeCell ref="C35:G35"/>
    <mergeCell ref="T26:X26"/>
    <mergeCell ref="N1:R1"/>
    <mergeCell ref="T1:X1"/>
    <mergeCell ref="N2:R2"/>
    <mergeCell ref="N3:R3"/>
    <mergeCell ref="T4:X4"/>
    <mergeCell ref="T2:X2"/>
    <mergeCell ref="N5:R5"/>
    <mergeCell ref="T9:X9"/>
    <mergeCell ref="N10:R10"/>
    <mergeCell ref="T13:X13"/>
    <mergeCell ref="N15:P15"/>
    <mergeCell ref="T15:V15"/>
    <mergeCell ref="A1:B61"/>
    <mergeCell ref="H18:L18"/>
    <mergeCell ref="H56:L56"/>
    <mergeCell ref="N23:R23"/>
    <mergeCell ref="N52:R52"/>
    <mergeCell ref="N30:R30"/>
    <mergeCell ref="H41:J41"/>
    <mergeCell ref="C1:G1"/>
    <mergeCell ref="C15:G15"/>
    <mergeCell ref="C13:G13"/>
    <mergeCell ref="C11:G11"/>
    <mergeCell ref="C8:G8"/>
    <mergeCell ref="C3:G3"/>
    <mergeCell ref="H4:L4"/>
    <mergeCell ref="H9:L9"/>
    <mergeCell ref="H25:L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93"/>
  <sheetViews>
    <sheetView topLeftCell="A2" zoomScale="80" zoomScaleNormal="80" workbookViewId="0">
      <selection activeCell="C2" sqref="C2"/>
    </sheetView>
  </sheetViews>
  <sheetFormatPr defaultColWidth="10.796875" defaultRowHeight="15.6"/>
  <cols>
    <col min="1" max="3" width="10.796875" style="2"/>
    <col min="4" max="4" width="25.19921875" style="2" customWidth="1"/>
    <col min="5" max="6" width="10.796875" style="2"/>
    <col min="7" max="7" width="14.69921875" style="2" customWidth="1"/>
    <col min="8" max="8" width="10.796875" style="2"/>
    <col min="9" max="9" width="21.5" style="2" customWidth="1"/>
    <col min="10" max="10" width="13.69921875" style="2" customWidth="1"/>
    <col min="11" max="11" width="10.796875" style="2"/>
    <col min="12" max="12" width="13" style="2" customWidth="1"/>
    <col min="13" max="13" width="10.796875" style="2"/>
    <col min="14" max="14" width="21.5" style="2" customWidth="1"/>
    <col min="15" max="16" width="10.796875" style="2"/>
    <col min="17" max="17" width="13.8984375" style="2" customWidth="1"/>
    <col min="18" max="18" width="10.796875" style="2"/>
    <col min="19" max="19" width="21.5" style="2" customWidth="1"/>
    <col min="20" max="21" width="10.796875" style="2"/>
    <col min="22" max="22" width="15.3984375" style="2" customWidth="1"/>
    <col min="23" max="16384" width="10.796875" style="2"/>
  </cols>
  <sheetData>
    <row r="1" spans="1:22" ht="24" customHeight="1">
      <c r="A1" s="66" t="s">
        <v>115</v>
      </c>
      <c r="B1" s="66"/>
      <c r="C1" s="67" t="s">
        <v>30</v>
      </c>
      <c r="D1" s="67"/>
      <c r="E1" s="67"/>
      <c r="F1" s="67"/>
      <c r="G1" s="67"/>
      <c r="H1" s="67" t="s">
        <v>71</v>
      </c>
      <c r="I1" s="67"/>
      <c r="J1" s="67"/>
      <c r="K1" s="67"/>
      <c r="L1" s="67"/>
      <c r="M1" s="67" t="s">
        <v>3</v>
      </c>
      <c r="N1" s="67"/>
      <c r="O1" s="67"/>
      <c r="P1" s="67"/>
      <c r="Q1" s="67"/>
      <c r="R1" s="67" t="s">
        <v>105</v>
      </c>
      <c r="S1" s="67"/>
      <c r="T1" s="67"/>
      <c r="U1" s="67"/>
      <c r="V1" s="67"/>
    </row>
    <row r="2" spans="1:22">
      <c r="A2" s="66"/>
      <c r="B2" s="66"/>
      <c r="C2" s="11"/>
      <c r="D2" s="48" t="s">
        <v>93</v>
      </c>
      <c r="E2" s="48" t="s">
        <v>29</v>
      </c>
      <c r="F2" s="48" t="s">
        <v>50</v>
      </c>
      <c r="G2" s="48" t="s">
        <v>78</v>
      </c>
      <c r="H2" s="68" t="s">
        <v>28</v>
      </c>
      <c r="I2" s="68"/>
      <c r="J2" s="68"/>
      <c r="K2" s="68"/>
      <c r="L2" s="68"/>
      <c r="M2" s="68" t="s">
        <v>82</v>
      </c>
      <c r="N2" s="69"/>
      <c r="O2" s="69"/>
      <c r="P2" s="69"/>
      <c r="Q2" s="69"/>
      <c r="R2" s="68" t="s">
        <v>128</v>
      </c>
      <c r="S2" s="68"/>
      <c r="T2" s="68"/>
      <c r="U2" s="68"/>
      <c r="V2" s="68"/>
    </row>
    <row r="3" spans="1:22">
      <c r="A3" s="66"/>
      <c r="B3" s="66"/>
      <c r="C3" s="61" t="s">
        <v>36</v>
      </c>
      <c r="D3" s="61"/>
      <c r="E3" s="61"/>
      <c r="F3" s="61"/>
      <c r="G3" s="61"/>
      <c r="H3" s="48"/>
      <c r="I3" s="48" t="s">
        <v>93</v>
      </c>
      <c r="J3" s="48" t="s">
        <v>29</v>
      </c>
      <c r="K3" s="48" t="s">
        <v>50</v>
      </c>
      <c r="L3" s="48" t="s">
        <v>78</v>
      </c>
      <c r="M3" s="68" t="s">
        <v>83</v>
      </c>
      <c r="N3" s="68"/>
      <c r="O3" s="68"/>
      <c r="P3" s="68"/>
      <c r="Q3" s="68"/>
      <c r="R3" s="48"/>
      <c r="S3" s="48" t="s">
        <v>93</v>
      </c>
      <c r="T3" s="48" t="s">
        <v>29</v>
      </c>
      <c r="U3" s="48" t="s">
        <v>50</v>
      </c>
      <c r="V3" s="48" t="s">
        <v>78</v>
      </c>
    </row>
    <row r="4" spans="1:22">
      <c r="A4" s="66"/>
      <c r="B4" s="66"/>
      <c r="D4" t="s">
        <v>31</v>
      </c>
      <c r="E4" s="16">
        <v>1</v>
      </c>
      <c r="F4" s="41">
        <v>0.14000000000000001</v>
      </c>
      <c r="H4" s="65" t="s">
        <v>36</v>
      </c>
      <c r="I4" s="65"/>
      <c r="J4" s="65"/>
      <c r="K4" s="65"/>
      <c r="L4" s="65"/>
      <c r="M4" s="48"/>
      <c r="N4" s="48" t="s">
        <v>93</v>
      </c>
      <c r="O4" s="48" t="s">
        <v>29</v>
      </c>
      <c r="P4" s="48" t="s">
        <v>50</v>
      </c>
      <c r="Q4" s="48" t="s">
        <v>78</v>
      </c>
      <c r="R4" s="65" t="s">
        <v>36</v>
      </c>
      <c r="S4" s="65"/>
      <c r="T4" s="65"/>
      <c r="U4" s="65"/>
      <c r="V4" s="65"/>
    </row>
    <row r="5" spans="1:22">
      <c r="A5" s="66"/>
      <c r="B5" s="66"/>
      <c r="D5" t="s">
        <v>32</v>
      </c>
      <c r="E5" s="19" t="s">
        <v>7</v>
      </c>
      <c r="F5" s="41">
        <v>7.0000000000000001E-3</v>
      </c>
      <c r="I5" t="s">
        <v>31</v>
      </c>
      <c r="J5" s="2">
        <v>1</v>
      </c>
      <c r="K5" s="41">
        <v>0.14000000000000001</v>
      </c>
      <c r="M5" s="65" t="s">
        <v>36</v>
      </c>
      <c r="N5" s="65"/>
      <c r="O5" s="65"/>
      <c r="P5" s="65"/>
      <c r="Q5" s="65"/>
      <c r="R5"/>
      <c r="S5" t="s">
        <v>31</v>
      </c>
      <c r="T5">
        <v>3</v>
      </c>
      <c r="U5" s="54">
        <v>0.42</v>
      </c>
      <c r="V5"/>
    </row>
    <row r="6" spans="1:22">
      <c r="A6" s="66"/>
      <c r="B6" s="66"/>
      <c r="D6" t="s">
        <v>33</v>
      </c>
      <c r="E6" s="19" t="s">
        <v>8</v>
      </c>
      <c r="F6" s="41">
        <v>1.4999999999999999E-4</v>
      </c>
      <c r="I6" t="s">
        <v>32</v>
      </c>
      <c r="J6" s="19" t="s">
        <v>7</v>
      </c>
      <c r="K6" s="41">
        <v>7.0000000000000001E-3</v>
      </c>
      <c r="N6" t="s">
        <v>31</v>
      </c>
      <c r="O6" s="2">
        <v>1</v>
      </c>
      <c r="P6" s="41">
        <v>0.14000000000000001</v>
      </c>
      <c r="R6"/>
      <c r="S6" t="s">
        <v>32</v>
      </c>
      <c r="T6" s="52" t="s">
        <v>12</v>
      </c>
      <c r="U6" s="54">
        <v>2.1000000000000001E-2</v>
      </c>
      <c r="V6"/>
    </row>
    <row r="7" spans="1:22">
      <c r="A7" s="66"/>
      <c r="B7" s="66"/>
      <c r="D7" t="s">
        <v>34</v>
      </c>
      <c r="E7" s="16">
        <v>1</v>
      </c>
      <c r="F7" s="41">
        <v>0.02</v>
      </c>
      <c r="I7" t="s">
        <v>33</v>
      </c>
      <c r="J7" s="19" t="s">
        <v>8</v>
      </c>
      <c r="K7" s="41">
        <v>1.4999999999999999E-4</v>
      </c>
      <c r="N7" t="s">
        <v>32</v>
      </c>
      <c r="O7" s="19" t="s">
        <v>7</v>
      </c>
      <c r="P7" s="41">
        <v>7.0000000000000001E-3</v>
      </c>
      <c r="R7"/>
      <c r="S7" t="s">
        <v>33</v>
      </c>
      <c r="T7" s="52" t="s">
        <v>13</v>
      </c>
      <c r="U7" s="54">
        <v>4.4999999999999999E-4</v>
      </c>
      <c r="V7"/>
    </row>
    <row r="8" spans="1:22">
      <c r="A8" s="66"/>
      <c r="B8" s="66"/>
      <c r="C8" s="65" t="s">
        <v>40</v>
      </c>
      <c r="D8" s="65"/>
      <c r="E8" s="65"/>
      <c r="F8" s="65"/>
      <c r="G8" s="65"/>
      <c r="I8" t="s">
        <v>34</v>
      </c>
      <c r="J8" s="2">
        <v>1</v>
      </c>
      <c r="K8" s="41">
        <v>0.02</v>
      </c>
      <c r="N8" t="s">
        <v>33</v>
      </c>
      <c r="O8" s="19" t="s">
        <v>8</v>
      </c>
      <c r="P8" s="41">
        <v>1.4999999999999999E-4</v>
      </c>
      <c r="R8"/>
      <c r="S8" t="s">
        <v>34</v>
      </c>
      <c r="T8">
        <v>3</v>
      </c>
      <c r="U8" s="54">
        <v>0.06</v>
      </c>
      <c r="V8"/>
    </row>
    <row r="9" spans="1:22">
      <c r="A9" s="66"/>
      <c r="B9" s="66"/>
      <c r="C9" s="7"/>
      <c r="D9" s="7" t="s">
        <v>44</v>
      </c>
      <c r="E9" s="16">
        <v>2</v>
      </c>
      <c r="F9" s="42">
        <v>0.02</v>
      </c>
      <c r="G9" s="7"/>
      <c r="H9" s="65" t="s">
        <v>72</v>
      </c>
      <c r="I9" s="65"/>
      <c r="J9" s="65"/>
      <c r="K9" s="65"/>
      <c r="L9" s="65"/>
      <c r="N9" t="s">
        <v>34</v>
      </c>
      <c r="O9" s="2">
        <v>1</v>
      </c>
      <c r="P9" s="41">
        <v>0.02</v>
      </c>
      <c r="R9" s="65" t="s">
        <v>106</v>
      </c>
      <c r="S9" s="65"/>
      <c r="T9" s="65"/>
      <c r="U9" s="65"/>
      <c r="V9" s="65"/>
    </row>
    <row r="10" spans="1:22">
      <c r="A10" s="66"/>
      <c r="B10" s="66"/>
      <c r="C10" s="7"/>
      <c r="D10" s="7" t="s">
        <v>94</v>
      </c>
      <c r="E10" s="19" t="s">
        <v>7</v>
      </c>
      <c r="F10" s="41">
        <v>2.7E-2</v>
      </c>
      <c r="G10" s="7"/>
      <c r="I10" t="s">
        <v>2</v>
      </c>
      <c r="J10" s="2">
        <v>1</v>
      </c>
      <c r="K10" s="42">
        <v>0.01</v>
      </c>
      <c r="M10" s="65" t="s">
        <v>84</v>
      </c>
      <c r="N10" s="65"/>
      <c r="O10" s="65"/>
      <c r="P10" s="65"/>
      <c r="Q10" s="65"/>
      <c r="S10" s="8" t="s">
        <v>116</v>
      </c>
      <c r="T10" s="2">
        <v>6</v>
      </c>
      <c r="U10" s="41">
        <f>T10*'Unit Price'!E42</f>
        <v>1.62</v>
      </c>
    </row>
    <row r="11" spans="1:22">
      <c r="A11" s="66"/>
      <c r="B11" s="66"/>
      <c r="C11" s="7"/>
      <c r="D11" s="7" t="s">
        <v>116</v>
      </c>
      <c r="E11" s="12">
        <v>1</v>
      </c>
      <c r="F11" s="43">
        <f>E11*'Unit Price'!E42</f>
        <v>0.27</v>
      </c>
      <c r="G11" s="7"/>
      <c r="I11" t="s">
        <v>73</v>
      </c>
      <c r="J11" s="19" t="s">
        <v>11</v>
      </c>
      <c r="K11" s="42">
        <v>4.4000000000000003E-3</v>
      </c>
      <c r="N11" t="s">
        <v>2</v>
      </c>
      <c r="O11" s="2">
        <v>2</v>
      </c>
      <c r="P11" s="42">
        <v>0.02</v>
      </c>
      <c r="S11" s="8" t="s">
        <v>117</v>
      </c>
      <c r="T11" s="2">
        <v>3</v>
      </c>
      <c r="U11" s="41">
        <f>T11*'Unit Price'!E44</f>
        <v>0.66</v>
      </c>
    </row>
    <row r="12" spans="1:22">
      <c r="A12" s="66"/>
      <c r="B12" s="66"/>
      <c r="C12" s="7"/>
      <c r="D12" s="7" t="s">
        <v>117</v>
      </c>
      <c r="E12" s="12">
        <v>1</v>
      </c>
      <c r="F12" s="43">
        <f>E12*'Unit Price'!E44</f>
        <v>0.22</v>
      </c>
      <c r="G12" s="7"/>
      <c r="H12" s="65" t="s">
        <v>74</v>
      </c>
      <c r="I12" s="65"/>
      <c r="J12" s="65"/>
      <c r="K12" s="9"/>
      <c r="L12" s="27"/>
      <c r="N12" t="s">
        <v>85</v>
      </c>
      <c r="O12" s="19" t="s">
        <v>7</v>
      </c>
      <c r="P12" s="42">
        <v>6.6E-3</v>
      </c>
      <c r="R12" s="61" t="s">
        <v>108</v>
      </c>
      <c r="S12" s="61"/>
      <c r="T12" s="61"/>
      <c r="U12" s="61"/>
      <c r="V12" s="61"/>
    </row>
    <row r="13" spans="1:22">
      <c r="A13" s="66"/>
      <c r="B13" s="66"/>
      <c r="D13" s="2" t="s">
        <v>118</v>
      </c>
      <c r="E13" s="13">
        <v>1</v>
      </c>
      <c r="F13" s="33">
        <f>E13*'Unit Price'!E40</f>
        <v>2.65</v>
      </c>
      <c r="I13" t="s">
        <v>52</v>
      </c>
      <c r="K13" s="41">
        <f>L13/60*0.549</f>
        <v>0.27450000000000002</v>
      </c>
      <c r="L13" s="2">
        <v>30</v>
      </c>
      <c r="N13" t="s">
        <v>86</v>
      </c>
      <c r="O13" s="2">
        <v>1</v>
      </c>
      <c r="P13" s="42">
        <v>0.94</v>
      </c>
      <c r="S13" s="2" t="s">
        <v>108</v>
      </c>
      <c r="T13" s="2">
        <v>3</v>
      </c>
    </row>
    <row r="14" spans="1:22">
      <c r="A14" s="66"/>
      <c r="B14" s="66"/>
      <c r="C14" s="65" t="s">
        <v>42</v>
      </c>
      <c r="D14" s="65"/>
      <c r="E14" s="65"/>
      <c r="F14" s="65"/>
      <c r="G14" s="65"/>
      <c r="I14" t="s">
        <v>75</v>
      </c>
      <c r="K14" s="41">
        <f t="shared" ref="K14:K17" si="0">L14/60*0.549</f>
        <v>0.27450000000000002</v>
      </c>
      <c r="L14" s="2">
        <v>30</v>
      </c>
      <c r="N14" t="s">
        <v>87</v>
      </c>
      <c r="O14" s="8">
        <v>8</v>
      </c>
      <c r="P14" s="42">
        <f>O14*0.004</f>
        <v>3.2000000000000001E-2</v>
      </c>
      <c r="R14" s="61" t="s">
        <v>47</v>
      </c>
      <c r="S14" s="61"/>
      <c r="T14" s="61"/>
      <c r="U14" s="61"/>
      <c r="V14" s="61"/>
    </row>
    <row r="15" spans="1:22">
      <c r="A15" s="66"/>
      <c r="B15" s="66"/>
      <c r="D15" s="2" t="s">
        <v>0</v>
      </c>
      <c r="E15" s="2">
        <v>1</v>
      </c>
      <c r="F15" s="41">
        <v>0.51600000000000001</v>
      </c>
      <c r="I15" t="s">
        <v>54</v>
      </c>
      <c r="K15" s="41">
        <f t="shared" si="0"/>
        <v>0.54900000000000004</v>
      </c>
      <c r="L15" s="2">
        <v>60</v>
      </c>
      <c r="M15" s="61" t="s">
        <v>47</v>
      </c>
      <c r="N15" s="61"/>
      <c r="O15" s="61"/>
      <c r="P15" s="61"/>
      <c r="Q15" s="61"/>
      <c r="S15" s="2" t="s">
        <v>52</v>
      </c>
      <c r="U15" s="41">
        <f>V15/60*0.549</f>
        <v>0.54900000000000004</v>
      </c>
      <c r="V15" s="2">
        <v>60</v>
      </c>
    </row>
    <row r="16" spans="1:22">
      <c r="A16" s="66"/>
      <c r="B16" s="66"/>
      <c r="C16" s="65" t="s">
        <v>43</v>
      </c>
      <c r="D16" s="65"/>
      <c r="E16" s="65"/>
      <c r="F16" s="65"/>
      <c r="G16" s="65"/>
      <c r="I16" t="s">
        <v>76</v>
      </c>
      <c r="K16" s="41">
        <f t="shared" si="0"/>
        <v>0.54900000000000004</v>
      </c>
      <c r="L16" s="8">
        <v>60</v>
      </c>
      <c r="N16" t="s">
        <v>52</v>
      </c>
      <c r="P16" s="41">
        <f>Q16/60*0.549</f>
        <v>0.27450000000000002</v>
      </c>
      <c r="Q16" s="2">
        <v>30</v>
      </c>
      <c r="S16" s="2" t="s">
        <v>75</v>
      </c>
      <c r="U16" s="41">
        <f t="shared" ref="U16:U24" si="1">V16/60*0.549</f>
        <v>0.27450000000000002</v>
      </c>
      <c r="V16" s="2">
        <v>30</v>
      </c>
    </row>
    <row r="17" spans="1:22">
      <c r="A17" s="66"/>
      <c r="B17" s="66"/>
      <c r="D17" t="s">
        <v>45</v>
      </c>
      <c r="E17" s="2">
        <v>1</v>
      </c>
      <c r="F17" s="41">
        <v>0.27</v>
      </c>
      <c r="I17" t="s">
        <v>77</v>
      </c>
      <c r="K17" s="41">
        <f t="shared" si="0"/>
        <v>0.41175000000000006</v>
      </c>
      <c r="L17" s="8">
        <v>45</v>
      </c>
      <c r="N17" t="s">
        <v>75</v>
      </c>
      <c r="P17" s="41">
        <f t="shared" ref="P17:P22" si="2">Q17/60*0.549</f>
        <v>0.27450000000000002</v>
      </c>
      <c r="Q17" s="2">
        <v>30</v>
      </c>
      <c r="S17" s="2" t="s">
        <v>130</v>
      </c>
      <c r="U17" s="41">
        <f t="shared" si="1"/>
        <v>0.54900000000000004</v>
      </c>
      <c r="V17" s="2">
        <v>60</v>
      </c>
    </row>
    <row r="18" spans="1:22">
      <c r="A18" s="66"/>
      <c r="B18" s="66"/>
      <c r="D18" t="s">
        <v>46</v>
      </c>
      <c r="E18" s="2">
        <v>1</v>
      </c>
      <c r="F18" s="41">
        <v>0.3</v>
      </c>
      <c r="H18" s="65" t="s">
        <v>66</v>
      </c>
      <c r="I18" s="65"/>
      <c r="J18" s="65"/>
      <c r="K18" s="65"/>
      <c r="L18" s="65"/>
      <c r="N18" t="s">
        <v>88</v>
      </c>
      <c r="P18" s="41">
        <f t="shared" si="2"/>
        <v>0.54900000000000004</v>
      </c>
      <c r="Q18" s="2">
        <v>60</v>
      </c>
      <c r="S18" s="2" t="s">
        <v>131</v>
      </c>
      <c r="U18" s="41">
        <f t="shared" si="1"/>
        <v>0.54900000000000004</v>
      </c>
      <c r="V18" s="8">
        <v>60</v>
      </c>
    </row>
    <row r="19" spans="1:22">
      <c r="A19" s="66"/>
      <c r="B19" s="66"/>
      <c r="C19" s="61" t="s">
        <v>48</v>
      </c>
      <c r="D19" s="61"/>
      <c r="E19" s="61"/>
      <c r="F19" s="48" t="s">
        <v>49</v>
      </c>
      <c r="G19" s="48" t="s">
        <v>78</v>
      </c>
      <c r="I19" t="s">
        <v>67</v>
      </c>
      <c r="J19" s="2">
        <v>30</v>
      </c>
      <c r="K19" s="41">
        <f>J19*'Unit Price'!H19</f>
        <v>1.9417500000000001E-2</v>
      </c>
      <c r="N19" t="s">
        <v>89</v>
      </c>
      <c r="P19" s="41">
        <f t="shared" si="2"/>
        <v>0.54900000000000004</v>
      </c>
      <c r="Q19" s="8">
        <v>60</v>
      </c>
      <c r="S19" s="8" t="s">
        <v>56</v>
      </c>
      <c r="U19" s="41">
        <f t="shared" si="1"/>
        <v>9.1499999999999998E-2</v>
      </c>
      <c r="V19" s="8">
        <v>10</v>
      </c>
    </row>
    <row r="20" spans="1:22">
      <c r="A20" s="66"/>
      <c r="B20" s="66"/>
      <c r="D20" s="2" t="s">
        <v>51</v>
      </c>
      <c r="F20" s="41">
        <f>G20/60*0.549</f>
        <v>0.27450000000000002</v>
      </c>
      <c r="G20" s="2">
        <v>30</v>
      </c>
      <c r="N20" t="s">
        <v>90</v>
      </c>
      <c r="P20" s="41">
        <f t="shared" si="2"/>
        <v>0.27450000000000002</v>
      </c>
      <c r="Q20" s="8">
        <v>30</v>
      </c>
      <c r="S20" s="8" t="s">
        <v>112</v>
      </c>
      <c r="U20" s="41">
        <f t="shared" si="1"/>
        <v>0.27450000000000002</v>
      </c>
      <c r="V20" s="8">
        <v>30</v>
      </c>
    </row>
    <row r="21" spans="1:22">
      <c r="A21" s="66"/>
      <c r="B21" s="66"/>
      <c r="D21" s="2" t="s">
        <v>52</v>
      </c>
      <c r="F21" s="41">
        <f t="shared" ref="F21:F33" si="3">G21/60*0.549</f>
        <v>0.82350000000000012</v>
      </c>
      <c r="G21" s="2">
        <v>90</v>
      </c>
      <c r="I21" s="49" t="s">
        <v>68</v>
      </c>
      <c r="L21" s="41">
        <f>SUM(K13:K17)</f>
        <v>2.0587500000000003</v>
      </c>
      <c r="N21" t="s">
        <v>91</v>
      </c>
      <c r="P21" s="41">
        <f t="shared" si="2"/>
        <v>0.41175000000000006</v>
      </c>
      <c r="Q21" s="8">
        <v>45</v>
      </c>
      <c r="S21" s="8" t="s">
        <v>21</v>
      </c>
      <c r="U21" s="41">
        <f t="shared" si="1"/>
        <v>0.13725000000000001</v>
      </c>
      <c r="V21" s="8">
        <v>15</v>
      </c>
    </row>
    <row r="22" spans="1:22">
      <c r="A22" s="66"/>
      <c r="B22" s="66"/>
      <c r="D22" s="2" t="s">
        <v>53</v>
      </c>
      <c r="F22" s="41">
        <f t="shared" si="3"/>
        <v>0.27450000000000002</v>
      </c>
      <c r="G22" s="2">
        <v>30</v>
      </c>
      <c r="I22" s="49" t="s">
        <v>69</v>
      </c>
      <c r="L22" s="41">
        <f>SUM(K5:K8,K10:K11)+K19</f>
        <v>0.20096750000000002</v>
      </c>
      <c r="N22" t="s">
        <v>65</v>
      </c>
      <c r="P22" s="41">
        <f t="shared" si="2"/>
        <v>0.54900000000000004</v>
      </c>
      <c r="Q22" s="8">
        <v>60</v>
      </c>
      <c r="S22" s="8" t="s">
        <v>113</v>
      </c>
      <c r="U22" s="41">
        <f t="shared" si="1"/>
        <v>9.1499999999999998E-2</v>
      </c>
      <c r="V22" s="8">
        <v>10</v>
      </c>
    </row>
    <row r="23" spans="1:22">
      <c r="A23" s="66"/>
      <c r="B23" s="66"/>
      <c r="D23" s="2" t="s">
        <v>54</v>
      </c>
      <c r="F23" s="41">
        <f t="shared" si="3"/>
        <v>0.54900000000000004</v>
      </c>
      <c r="G23" s="8">
        <v>60</v>
      </c>
      <c r="I23" s="50" t="s">
        <v>80</v>
      </c>
      <c r="J23" s="18"/>
      <c r="K23" s="18"/>
      <c r="L23" s="44">
        <f>SUM(L21:L22)</f>
        <v>2.2597175000000003</v>
      </c>
      <c r="M23" s="65" t="s">
        <v>66</v>
      </c>
      <c r="N23" s="65"/>
      <c r="O23" s="65"/>
      <c r="P23" s="65"/>
      <c r="Q23" s="65"/>
      <c r="S23" s="8" t="s">
        <v>91</v>
      </c>
      <c r="U23" s="41">
        <f t="shared" si="1"/>
        <v>0.41175000000000006</v>
      </c>
      <c r="V23" s="8">
        <v>45</v>
      </c>
    </row>
    <row r="24" spans="1:22">
      <c r="A24" s="66"/>
      <c r="B24" s="66"/>
      <c r="D24" s="2" t="s">
        <v>55</v>
      </c>
      <c r="F24" s="41">
        <f t="shared" si="3"/>
        <v>0.54900000000000004</v>
      </c>
      <c r="G24" s="2">
        <v>60</v>
      </c>
      <c r="N24" t="s">
        <v>67</v>
      </c>
      <c r="O24" s="2">
        <v>192</v>
      </c>
      <c r="P24" s="41">
        <f>O24*'Unit Price'!H19</f>
        <v>0.12427200000000001</v>
      </c>
      <c r="S24" s="8" t="s">
        <v>65</v>
      </c>
      <c r="U24" s="41">
        <f t="shared" si="1"/>
        <v>0.54900000000000004</v>
      </c>
      <c r="V24" s="2">
        <v>60</v>
      </c>
    </row>
    <row r="25" spans="1:22">
      <c r="A25" s="66"/>
      <c r="B25" s="66"/>
      <c r="D25" s="2" t="s">
        <v>57</v>
      </c>
      <c r="F25" s="41">
        <f t="shared" si="3"/>
        <v>0.27450000000000002</v>
      </c>
      <c r="G25" s="2">
        <v>30</v>
      </c>
      <c r="H25" s="68" t="s">
        <v>79</v>
      </c>
      <c r="I25" s="68"/>
      <c r="J25" s="68"/>
      <c r="K25" s="68"/>
      <c r="L25" s="68"/>
      <c r="R25" s="65" t="s">
        <v>66</v>
      </c>
      <c r="S25" s="65"/>
      <c r="T25" s="65"/>
      <c r="U25" s="65"/>
      <c r="V25" s="65"/>
    </row>
    <row r="26" spans="1:22">
      <c r="A26" s="66"/>
      <c r="B26" s="66"/>
      <c r="D26" s="8" t="s">
        <v>119</v>
      </c>
      <c r="F26" s="41">
        <f t="shared" si="3"/>
        <v>0.13725000000000001</v>
      </c>
      <c r="G26" s="2">
        <v>15</v>
      </c>
      <c r="H26" s="48"/>
      <c r="I26" s="48" t="s">
        <v>93</v>
      </c>
      <c r="J26" s="48" t="s">
        <v>29</v>
      </c>
      <c r="K26" s="48" t="s">
        <v>50</v>
      </c>
      <c r="L26" s="48" t="s">
        <v>78</v>
      </c>
      <c r="N26" s="49" t="s">
        <v>68</v>
      </c>
      <c r="O26" s="2" t="s">
        <v>14</v>
      </c>
      <c r="P26" s="41">
        <f>(SUM(P16:P22))*3</f>
        <v>8.6467500000000008</v>
      </c>
      <c r="S26" t="s">
        <v>67</v>
      </c>
      <c r="T26" s="2">
        <v>96</v>
      </c>
      <c r="U26" s="41">
        <f>T26*'Unit Price'!H19</f>
        <v>6.2136000000000004E-2</v>
      </c>
    </row>
    <row r="27" spans="1:22">
      <c r="A27" s="66"/>
      <c r="B27" s="66"/>
      <c r="D27" s="2" t="s">
        <v>58</v>
      </c>
      <c r="F27" s="41">
        <f t="shared" si="3"/>
        <v>0.27450000000000002</v>
      </c>
      <c r="G27" s="8">
        <v>30</v>
      </c>
      <c r="H27" s="51" t="s">
        <v>36</v>
      </c>
      <c r="I27" s="51"/>
      <c r="J27" s="51"/>
      <c r="K27"/>
      <c r="L27"/>
      <c r="N27" s="49" t="s">
        <v>69</v>
      </c>
      <c r="O27" s="2" t="s">
        <v>14</v>
      </c>
      <c r="P27" s="41">
        <f>(SUM(P6:P9,P11:P14))*3+P24</f>
        <v>3.6215220000000001</v>
      </c>
    </row>
    <row r="28" spans="1:22">
      <c r="A28" s="66"/>
      <c r="B28" s="66"/>
      <c r="D28" s="2" t="s">
        <v>120</v>
      </c>
      <c r="F28" s="41">
        <f t="shared" si="3"/>
        <v>0.41175000000000006</v>
      </c>
      <c r="G28" s="8">
        <v>45</v>
      </c>
      <c r="I28" t="s">
        <v>31</v>
      </c>
      <c r="J28" s="2">
        <v>1</v>
      </c>
      <c r="K28" s="41">
        <v>0.14000000000000001</v>
      </c>
      <c r="N28" s="50" t="s">
        <v>92</v>
      </c>
      <c r="O28" s="18"/>
      <c r="P28" s="44">
        <f>SUM(P26:P27)</f>
        <v>12.268272000000001</v>
      </c>
      <c r="S28" s="49" t="s">
        <v>68</v>
      </c>
      <c r="T28" s="2" t="s">
        <v>14</v>
      </c>
      <c r="U28" s="41">
        <f>(SUM(U15:U24)*3)</f>
        <v>10.430999999999999</v>
      </c>
    </row>
    <row r="29" spans="1:22">
      <c r="A29" s="66"/>
      <c r="B29" s="66"/>
      <c r="D29" s="2" t="s">
        <v>121</v>
      </c>
      <c r="F29" s="41">
        <f t="shared" si="3"/>
        <v>0.54900000000000004</v>
      </c>
      <c r="G29" s="2">
        <v>60</v>
      </c>
      <c r="I29" t="s">
        <v>32</v>
      </c>
      <c r="J29" s="19" t="s">
        <v>7</v>
      </c>
      <c r="K29" s="41">
        <v>7.0000000000000001E-3</v>
      </c>
      <c r="S29" s="49" t="s">
        <v>69</v>
      </c>
      <c r="U29" s="41">
        <f>SUM(U5:U8,U10:U11,U13)+U26</f>
        <v>2.8435860000000006</v>
      </c>
    </row>
    <row r="30" spans="1:22">
      <c r="A30" s="66"/>
      <c r="B30" s="66"/>
      <c r="D30" s="2" t="s">
        <v>122</v>
      </c>
      <c r="F30" s="41">
        <f t="shared" si="3"/>
        <v>0.13725000000000001</v>
      </c>
      <c r="G30" s="2">
        <v>15</v>
      </c>
      <c r="H30" s="61" t="s">
        <v>40</v>
      </c>
      <c r="I30" s="61"/>
      <c r="J30" s="61"/>
      <c r="K30" s="61"/>
      <c r="L30" s="61"/>
      <c r="M30" s="62" t="s">
        <v>4</v>
      </c>
      <c r="N30" s="62"/>
      <c r="O30" s="62"/>
      <c r="P30" s="62"/>
      <c r="Q30" s="62"/>
      <c r="S30" s="50" t="s">
        <v>114</v>
      </c>
      <c r="T30" s="18"/>
      <c r="U30" s="44">
        <f>SUM(U28:U29)</f>
        <v>13.274585999999999</v>
      </c>
    </row>
    <row r="31" spans="1:22">
      <c r="A31" s="66"/>
      <c r="B31" s="66"/>
      <c r="D31" s="2" t="s">
        <v>123</v>
      </c>
      <c r="F31" s="41">
        <f t="shared" si="3"/>
        <v>0.27450000000000002</v>
      </c>
      <c r="G31" s="8">
        <v>30</v>
      </c>
      <c r="H31" s="7"/>
      <c r="I31" s="7" t="s">
        <v>44</v>
      </c>
      <c r="J31" s="16">
        <v>2</v>
      </c>
      <c r="K31" s="42">
        <v>0.02</v>
      </c>
      <c r="L31" s="7"/>
      <c r="M31" s="48"/>
      <c r="N31" s="48" t="s">
        <v>93</v>
      </c>
      <c r="O31" s="48" t="s">
        <v>29</v>
      </c>
      <c r="P31" s="48" t="s">
        <v>50</v>
      </c>
      <c r="Q31" s="48" t="s">
        <v>78</v>
      </c>
    </row>
    <row r="32" spans="1:22">
      <c r="A32" s="66"/>
      <c r="B32" s="66"/>
      <c r="D32" s="2" t="s">
        <v>124</v>
      </c>
      <c r="F32" s="41">
        <f t="shared" si="3"/>
        <v>0.41175000000000006</v>
      </c>
      <c r="G32" s="8">
        <v>45</v>
      </c>
      <c r="H32" s="7"/>
      <c r="I32" s="7" t="s">
        <v>94</v>
      </c>
      <c r="J32" s="19" t="s">
        <v>7</v>
      </c>
      <c r="K32" s="41">
        <v>2.7E-2</v>
      </c>
      <c r="L32" s="7"/>
      <c r="M32" s="51" t="s">
        <v>36</v>
      </c>
      <c r="N32" s="51"/>
      <c r="O32" s="51"/>
      <c r="P32" s="51"/>
      <c r="Q32" s="51"/>
    </row>
    <row r="33" spans="1:17">
      <c r="A33" s="66"/>
      <c r="B33" s="66"/>
      <c r="D33" s="8" t="s">
        <v>65</v>
      </c>
      <c r="F33" s="41">
        <f t="shared" si="3"/>
        <v>0.54900000000000004</v>
      </c>
      <c r="G33" s="2">
        <v>60</v>
      </c>
      <c r="H33" s="7"/>
      <c r="I33" s="7" t="s">
        <v>116</v>
      </c>
      <c r="J33" s="7">
        <v>1</v>
      </c>
      <c r="K33" s="43">
        <f>J33*'Unit Price'!E42</f>
        <v>0.27</v>
      </c>
      <c r="L33" s="7"/>
      <c r="N33" t="s">
        <v>31</v>
      </c>
      <c r="O33" s="2">
        <v>1</v>
      </c>
      <c r="P33" s="41">
        <v>0.14000000000000001</v>
      </c>
    </row>
    <row r="34" spans="1:17">
      <c r="A34" s="66"/>
      <c r="B34" s="66"/>
      <c r="C34" s="65" t="s">
        <v>66</v>
      </c>
      <c r="D34" s="65"/>
      <c r="E34" s="65"/>
      <c r="F34" s="65"/>
      <c r="G34" s="65"/>
      <c r="H34" s="32">
        <f>SUM(G20:G33)</f>
        <v>600</v>
      </c>
      <c r="I34" s="7" t="s">
        <v>117</v>
      </c>
      <c r="J34" s="7">
        <v>1</v>
      </c>
      <c r="K34" s="43">
        <f>J34*'Unit Price'!E44</f>
        <v>0.22</v>
      </c>
      <c r="L34" s="7"/>
      <c r="N34" t="s">
        <v>32</v>
      </c>
      <c r="O34" s="19" t="s">
        <v>7</v>
      </c>
      <c r="P34" s="41">
        <v>7.0000000000000001E-3</v>
      </c>
    </row>
    <row r="35" spans="1:17">
      <c r="A35" s="66"/>
      <c r="B35" s="66"/>
      <c r="D35" t="s">
        <v>67</v>
      </c>
      <c r="E35" s="2">
        <v>53</v>
      </c>
      <c r="F35" s="41">
        <f>E35*'Unit Price'!H19</f>
        <v>3.4304250000000001E-2</v>
      </c>
      <c r="I35" s="2" t="s">
        <v>118</v>
      </c>
      <c r="J35" s="14">
        <v>1</v>
      </c>
      <c r="K35" s="33">
        <f>J35*'Unit Price'!E40</f>
        <v>2.65</v>
      </c>
      <c r="N35" t="s">
        <v>33</v>
      </c>
      <c r="O35" s="19" t="s">
        <v>8</v>
      </c>
      <c r="P35" s="41">
        <v>1.4999999999999999E-4</v>
      </c>
    </row>
    <row r="36" spans="1:17">
      <c r="A36" s="66"/>
      <c r="B36" s="66"/>
      <c r="G36" s="41"/>
      <c r="H36" s="65" t="s">
        <v>42</v>
      </c>
      <c r="I36" s="65"/>
      <c r="J36" s="65"/>
      <c r="K36" s="65"/>
      <c r="L36" s="65"/>
      <c r="N36" t="s">
        <v>34</v>
      </c>
      <c r="O36" s="2">
        <v>1</v>
      </c>
      <c r="P36" s="41">
        <v>0.02</v>
      </c>
    </row>
    <row r="37" spans="1:17">
      <c r="A37" s="66"/>
      <c r="B37" s="66"/>
      <c r="D37" s="49" t="s">
        <v>68</v>
      </c>
      <c r="G37" s="41">
        <f>SUM(F20:F33)</f>
        <v>5.4900000000000011</v>
      </c>
      <c r="I37" s="2" t="s">
        <v>0</v>
      </c>
      <c r="J37" s="2">
        <v>1</v>
      </c>
      <c r="K37" s="41">
        <v>0.51600000000000001</v>
      </c>
      <c r="M37" s="51" t="s">
        <v>84</v>
      </c>
      <c r="N37" s="26"/>
      <c r="O37" s="26"/>
      <c r="P37" s="26"/>
      <c r="Q37" s="26"/>
    </row>
    <row r="38" spans="1:17">
      <c r="A38" s="66"/>
      <c r="B38" s="66"/>
      <c r="D38" s="49" t="s">
        <v>69</v>
      </c>
      <c r="G38" s="41">
        <f>SUM(F4:F7,F9:F13,F15,F17:F18)+F35</f>
        <v>4.47445425</v>
      </c>
      <c r="H38" s="65" t="s">
        <v>43</v>
      </c>
      <c r="I38" s="65"/>
      <c r="J38" s="65"/>
      <c r="K38" s="65"/>
      <c r="L38" s="65"/>
      <c r="N38" t="s">
        <v>44</v>
      </c>
      <c r="O38" s="2">
        <v>2</v>
      </c>
      <c r="P38" s="42">
        <v>0.02</v>
      </c>
    </row>
    <row r="39" spans="1:17">
      <c r="A39" s="66"/>
      <c r="B39" s="66"/>
      <c r="D39" s="50" t="s">
        <v>70</v>
      </c>
      <c r="E39" s="18"/>
      <c r="F39" s="18"/>
      <c r="G39" s="44">
        <f>SUM(G37:G38)</f>
        <v>9.9644542500000011</v>
      </c>
      <c r="I39" t="s">
        <v>45</v>
      </c>
      <c r="J39" s="2">
        <v>1</v>
      </c>
      <c r="K39" s="41">
        <v>0.27</v>
      </c>
      <c r="N39" t="s">
        <v>94</v>
      </c>
      <c r="O39" s="19" t="s">
        <v>7</v>
      </c>
      <c r="P39" s="41">
        <v>2.7E-2</v>
      </c>
    </row>
    <row r="40" spans="1:17">
      <c r="A40" s="66"/>
      <c r="B40" s="66"/>
      <c r="I40" t="s">
        <v>46</v>
      </c>
      <c r="J40" s="2">
        <v>1</v>
      </c>
      <c r="K40" s="41">
        <v>0.3</v>
      </c>
      <c r="N40" t="s">
        <v>95</v>
      </c>
      <c r="O40" s="2">
        <v>1</v>
      </c>
      <c r="P40" s="42">
        <v>0.01</v>
      </c>
    </row>
    <row r="41" spans="1:17">
      <c r="A41" s="66"/>
      <c r="B41" s="66"/>
      <c r="H41" s="61" t="s">
        <v>1</v>
      </c>
      <c r="I41" s="61"/>
      <c r="J41" s="61"/>
      <c r="K41" s="6" t="s">
        <v>49</v>
      </c>
      <c r="L41" s="6" t="s">
        <v>78</v>
      </c>
      <c r="N41" t="s">
        <v>96</v>
      </c>
      <c r="O41" s="8">
        <v>1</v>
      </c>
      <c r="P41" s="42">
        <v>7.0000000000000007E-2</v>
      </c>
    </row>
    <row r="42" spans="1:17">
      <c r="A42" s="66"/>
      <c r="B42" s="66"/>
      <c r="I42" s="2" t="s">
        <v>52</v>
      </c>
      <c r="K42" s="41">
        <f>L42/60*0.549</f>
        <v>0.82350000000000012</v>
      </c>
      <c r="L42" s="2">
        <v>90</v>
      </c>
      <c r="N42" t="s">
        <v>97</v>
      </c>
      <c r="O42" s="8">
        <v>1</v>
      </c>
      <c r="P42" s="42">
        <v>0.04</v>
      </c>
    </row>
    <row r="43" spans="1:17">
      <c r="A43" s="66"/>
      <c r="B43" s="66"/>
      <c r="I43" s="2" t="s">
        <v>109</v>
      </c>
      <c r="K43" s="41">
        <f t="shared" ref="K43:K54" si="4">L43/60*0.549</f>
        <v>0.27450000000000002</v>
      </c>
      <c r="L43" s="2">
        <v>30</v>
      </c>
      <c r="M43" s="51" t="s">
        <v>47</v>
      </c>
      <c r="N43" s="26"/>
      <c r="O43" s="26"/>
      <c r="P43" s="48" t="s">
        <v>49</v>
      </c>
      <c r="Q43" s="48" t="s">
        <v>78</v>
      </c>
    </row>
    <row r="44" spans="1:17">
      <c r="A44" s="66"/>
      <c r="B44" s="66"/>
      <c r="I44" s="2" t="s">
        <v>54</v>
      </c>
      <c r="K44" s="41">
        <f t="shared" si="4"/>
        <v>0.54900000000000004</v>
      </c>
      <c r="L44" s="8">
        <v>60</v>
      </c>
      <c r="N44" t="s">
        <v>52</v>
      </c>
      <c r="P44" s="41">
        <f>Q44/60*0.549</f>
        <v>0.54900000000000004</v>
      </c>
      <c r="Q44" s="2">
        <v>60</v>
      </c>
    </row>
    <row r="45" spans="1:17">
      <c r="A45" s="66"/>
      <c r="B45" s="66"/>
      <c r="I45" s="2" t="s">
        <v>55</v>
      </c>
      <c r="K45" s="41">
        <f t="shared" si="4"/>
        <v>0.54900000000000004</v>
      </c>
      <c r="L45" s="2">
        <v>60</v>
      </c>
      <c r="N45" t="s">
        <v>75</v>
      </c>
      <c r="P45" s="41">
        <f t="shared" ref="P45:P51" si="5">Q45/60*0.549</f>
        <v>0.27450000000000002</v>
      </c>
      <c r="Q45" s="2">
        <v>30</v>
      </c>
    </row>
    <row r="46" spans="1:17">
      <c r="A46" s="66"/>
      <c r="B46" s="66"/>
      <c r="I46" s="2" t="s">
        <v>57</v>
      </c>
      <c r="K46" s="41">
        <f t="shared" si="4"/>
        <v>0.27450000000000002</v>
      </c>
      <c r="L46" s="2">
        <v>30</v>
      </c>
      <c r="N46" t="s">
        <v>54</v>
      </c>
      <c r="P46" s="41">
        <f t="shared" si="5"/>
        <v>0.54900000000000004</v>
      </c>
      <c r="Q46" s="2">
        <v>60</v>
      </c>
    </row>
    <row r="47" spans="1:17">
      <c r="A47" s="66"/>
      <c r="B47" s="66"/>
      <c r="I47" s="8" t="s">
        <v>119</v>
      </c>
      <c r="K47" s="41">
        <f t="shared" si="4"/>
        <v>0.13725000000000001</v>
      </c>
      <c r="L47" s="2">
        <v>15</v>
      </c>
      <c r="N47" t="s">
        <v>55</v>
      </c>
      <c r="P47" s="41">
        <f t="shared" si="5"/>
        <v>0.54900000000000004</v>
      </c>
      <c r="Q47" s="8">
        <v>60</v>
      </c>
    </row>
    <row r="48" spans="1:17">
      <c r="A48" s="66"/>
      <c r="B48" s="66"/>
      <c r="I48" s="2" t="s">
        <v>58</v>
      </c>
      <c r="K48" s="41">
        <f t="shared" si="4"/>
        <v>0.54900000000000004</v>
      </c>
      <c r="L48" s="8">
        <v>60</v>
      </c>
      <c r="N48" t="s">
        <v>98</v>
      </c>
      <c r="P48" s="41">
        <f t="shared" si="5"/>
        <v>0.13725000000000001</v>
      </c>
      <c r="Q48" s="8">
        <v>15</v>
      </c>
    </row>
    <row r="49" spans="1:17">
      <c r="A49" s="66"/>
      <c r="B49" s="66"/>
      <c r="I49" s="2" t="s">
        <v>125</v>
      </c>
      <c r="K49" s="41">
        <f t="shared" si="4"/>
        <v>0.41175000000000006</v>
      </c>
      <c r="L49" s="8">
        <v>45</v>
      </c>
      <c r="N49" t="s">
        <v>5</v>
      </c>
      <c r="P49" s="41">
        <f t="shared" si="5"/>
        <v>0.27450000000000002</v>
      </c>
      <c r="Q49" s="8">
        <v>30</v>
      </c>
    </row>
    <row r="50" spans="1:17">
      <c r="A50" s="66"/>
      <c r="B50" s="66"/>
      <c r="I50" s="2" t="s">
        <v>121</v>
      </c>
      <c r="K50" s="41">
        <f t="shared" si="4"/>
        <v>0.82350000000000012</v>
      </c>
      <c r="L50" s="2">
        <v>90</v>
      </c>
      <c r="N50" t="s">
        <v>91</v>
      </c>
      <c r="P50" s="41">
        <f t="shared" si="5"/>
        <v>0.41175000000000006</v>
      </c>
      <c r="Q50" s="8">
        <v>45</v>
      </c>
    </row>
    <row r="51" spans="1:17">
      <c r="A51" s="66"/>
      <c r="B51" s="66"/>
      <c r="I51" s="2" t="s">
        <v>126</v>
      </c>
      <c r="K51" s="41">
        <f t="shared" si="4"/>
        <v>0.13725000000000001</v>
      </c>
      <c r="L51" s="2">
        <v>15</v>
      </c>
      <c r="N51" t="s">
        <v>65</v>
      </c>
      <c r="P51" s="41">
        <f t="shared" si="5"/>
        <v>0.54900000000000004</v>
      </c>
      <c r="Q51" s="8">
        <v>60</v>
      </c>
    </row>
    <row r="52" spans="1:17">
      <c r="A52" s="66"/>
      <c r="B52" s="66"/>
      <c r="I52" s="2" t="s">
        <v>123</v>
      </c>
      <c r="K52" s="41">
        <f t="shared" si="4"/>
        <v>0.27450000000000002</v>
      </c>
      <c r="L52" s="8">
        <v>30</v>
      </c>
      <c r="M52" s="65" t="s">
        <v>66</v>
      </c>
      <c r="N52" s="65"/>
      <c r="O52" s="65"/>
      <c r="P52" s="65"/>
      <c r="Q52" s="65"/>
    </row>
    <row r="53" spans="1:17">
      <c r="A53" s="66"/>
      <c r="B53" s="66"/>
      <c r="I53" s="2" t="s">
        <v>124</v>
      </c>
      <c r="K53" s="41">
        <f t="shared" si="4"/>
        <v>0.41175000000000006</v>
      </c>
      <c r="L53" s="8">
        <v>45</v>
      </c>
      <c r="N53" t="s">
        <v>67</v>
      </c>
      <c r="O53" s="2">
        <v>48</v>
      </c>
      <c r="P53" s="41">
        <f>O53*'Unit Price'!H19</f>
        <v>3.1068000000000002E-2</v>
      </c>
    </row>
    <row r="54" spans="1:17">
      <c r="A54" s="66"/>
      <c r="B54" s="66"/>
      <c r="I54" s="8" t="s">
        <v>127</v>
      </c>
      <c r="K54" s="41">
        <f t="shared" si="4"/>
        <v>0.54900000000000004</v>
      </c>
      <c r="L54" s="8">
        <v>60</v>
      </c>
    </row>
    <row r="55" spans="1:17">
      <c r="A55" s="66"/>
      <c r="B55" s="66"/>
      <c r="H55" s="65" t="s">
        <v>66</v>
      </c>
      <c r="I55" s="65"/>
      <c r="J55" s="65"/>
      <c r="K55" s="65"/>
      <c r="L55" s="65"/>
      <c r="N55" s="49" t="s">
        <v>68</v>
      </c>
      <c r="P55" s="41">
        <f>SUM(P44:P51)</f>
        <v>3.294</v>
      </c>
    </row>
    <row r="56" spans="1:17">
      <c r="A56" s="66"/>
      <c r="B56" s="66"/>
      <c r="I56" t="s">
        <v>67</v>
      </c>
      <c r="J56" s="2">
        <v>39</v>
      </c>
      <c r="K56" s="41">
        <f>J56*'Unit Price'!H19</f>
        <v>2.5242750000000001E-2</v>
      </c>
      <c r="N56" s="49" t="s">
        <v>69</v>
      </c>
      <c r="P56" s="41">
        <f>SUM(P33:P36,P38:P42)+P53</f>
        <v>0.36521799999999999</v>
      </c>
    </row>
    <row r="57" spans="1:17">
      <c r="A57" s="66"/>
      <c r="B57" s="66"/>
      <c r="N57" s="50" t="s">
        <v>92</v>
      </c>
      <c r="O57" s="18"/>
      <c r="P57" s="44">
        <f>SUM(P55:P56)</f>
        <v>3.6592180000000001</v>
      </c>
    </row>
    <row r="58" spans="1:17">
      <c r="A58" s="66"/>
      <c r="B58" s="66"/>
      <c r="I58" s="49" t="s">
        <v>68</v>
      </c>
      <c r="K58" s="41">
        <f>SUM(K42:K54)</f>
        <v>5.7645000000000008</v>
      </c>
    </row>
    <row r="59" spans="1:17">
      <c r="A59" s="66"/>
      <c r="B59" s="66"/>
      <c r="I59" s="49" t="s">
        <v>69</v>
      </c>
      <c r="K59" s="41">
        <f>SUM(K28:K29,K31:K35,K37,K39:K40)+K56</f>
        <v>4.4452427500000002</v>
      </c>
      <c r="M59" s="68" t="s">
        <v>23</v>
      </c>
      <c r="N59" s="68"/>
      <c r="O59" s="68"/>
      <c r="P59" s="68"/>
      <c r="Q59" s="68"/>
    </row>
    <row r="60" spans="1:17">
      <c r="A60" s="66"/>
      <c r="B60" s="66"/>
      <c r="I60" s="50" t="s">
        <v>81</v>
      </c>
      <c r="J60" s="18"/>
      <c r="K60" s="44">
        <f>SUM(K58:K59)</f>
        <v>10.20974275</v>
      </c>
      <c r="M60" s="68" t="s">
        <v>100</v>
      </c>
      <c r="N60" s="68"/>
      <c r="O60" s="68"/>
      <c r="P60" s="68"/>
      <c r="Q60" s="68"/>
    </row>
    <row r="61" spans="1:17">
      <c r="A61" s="46" t="s">
        <v>104</v>
      </c>
      <c r="L61" s="41"/>
      <c r="M61" s="48"/>
      <c r="N61" s="48" t="s">
        <v>93</v>
      </c>
      <c r="O61" s="48" t="s">
        <v>29</v>
      </c>
      <c r="P61" s="48" t="s">
        <v>50</v>
      </c>
      <c r="Q61" s="48" t="s">
        <v>78</v>
      </c>
    </row>
    <row r="62" spans="1:17">
      <c r="M62" s="65" t="s">
        <v>36</v>
      </c>
      <c r="N62" s="65"/>
      <c r="O62" s="65"/>
      <c r="P62" s="65"/>
      <c r="Q62" s="65"/>
    </row>
    <row r="63" spans="1:17">
      <c r="N63" t="s">
        <v>31</v>
      </c>
      <c r="O63" s="2">
        <v>1</v>
      </c>
      <c r="P63" s="41">
        <v>0.14000000000000001</v>
      </c>
    </row>
    <row r="64" spans="1:17">
      <c r="N64" t="s">
        <v>32</v>
      </c>
      <c r="O64" s="19" t="s">
        <v>7</v>
      </c>
      <c r="P64" s="41">
        <v>7.0000000000000001E-3</v>
      </c>
    </row>
    <row r="65" spans="13:17">
      <c r="N65" t="s">
        <v>33</v>
      </c>
      <c r="O65" s="19" t="s">
        <v>8</v>
      </c>
      <c r="P65" s="41">
        <v>1.4999999999999999E-4</v>
      </c>
    </row>
    <row r="66" spans="13:17">
      <c r="N66" t="s">
        <v>34</v>
      </c>
      <c r="O66" s="2">
        <v>1</v>
      </c>
      <c r="P66" s="41">
        <v>0.02</v>
      </c>
    </row>
    <row r="67" spans="13:17">
      <c r="M67" s="65" t="s">
        <v>84</v>
      </c>
      <c r="N67" s="65"/>
      <c r="O67" s="65"/>
      <c r="P67" s="65"/>
      <c r="Q67" s="65"/>
    </row>
    <row r="68" spans="13:17">
      <c r="M68"/>
      <c r="N68" t="s">
        <v>2</v>
      </c>
      <c r="O68">
        <v>2</v>
      </c>
      <c r="P68" s="34">
        <v>0.02</v>
      </c>
      <c r="Q68"/>
    </row>
    <row r="69" spans="13:17">
      <c r="M69"/>
      <c r="N69" t="s">
        <v>85</v>
      </c>
      <c r="O69" s="52" t="s">
        <v>7</v>
      </c>
      <c r="P69" s="34">
        <v>6.6E-3</v>
      </c>
      <c r="Q69"/>
    </row>
    <row r="70" spans="13:17">
      <c r="M70"/>
      <c r="N70" t="s">
        <v>86</v>
      </c>
      <c r="O70">
        <v>1</v>
      </c>
      <c r="P70" s="34">
        <v>0.94</v>
      </c>
      <c r="Q70"/>
    </row>
    <row r="71" spans="13:17">
      <c r="M71"/>
      <c r="N71" t="s">
        <v>87</v>
      </c>
      <c r="O71">
        <v>8</v>
      </c>
      <c r="P71" s="34">
        <f>O71*0.004</f>
        <v>3.2000000000000001E-2</v>
      </c>
      <c r="Q71"/>
    </row>
    <row r="72" spans="13:17">
      <c r="M72" s="53" t="s">
        <v>47</v>
      </c>
      <c r="N72" s="53"/>
      <c r="O72" s="53"/>
      <c r="P72" s="48" t="s">
        <v>49</v>
      </c>
      <c r="Q72" s="48" t="s">
        <v>78</v>
      </c>
    </row>
    <row r="73" spans="13:17">
      <c r="M73"/>
      <c r="N73" t="s">
        <v>52</v>
      </c>
      <c r="O73"/>
      <c r="P73" s="34">
        <f>Q73/60*0.549</f>
        <v>0.27450000000000002</v>
      </c>
      <c r="Q73">
        <v>30</v>
      </c>
    </row>
    <row r="74" spans="13:17">
      <c r="M74"/>
      <c r="N74" t="s">
        <v>75</v>
      </c>
      <c r="O74"/>
      <c r="P74" s="34">
        <f t="shared" ref="P74:P79" si="6">Q74/60*0.549</f>
        <v>0.27450000000000002</v>
      </c>
      <c r="Q74">
        <v>30</v>
      </c>
    </row>
    <row r="75" spans="13:17">
      <c r="M75"/>
      <c r="N75" t="s">
        <v>88</v>
      </c>
      <c r="O75"/>
      <c r="P75" s="34">
        <f t="shared" si="6"/>
        <v>0.54900000000000004</v>
      </c>
      <c r="Q75">
        <v>60</v>
      </c>
    </row>
    <row r="76" spans="13:17">
      <c r="M76"/>
      <c r="N76" t="s">
        <v>89</v>
      </c>
      <c r="O76"/>
      <c r="P76" s="34">
        <f t="shared" si="6"/>
        <v>0.54900000000000004</v>
      </c>
      <c r="Q76">
        <v>60</v>
      </c>
    </row>
    <row r="77" spans="13:17">
      <c r="M77"/>
      <c r="N77" t="s">
        <v>90</v>
      </c>
      <c r="O77"/>
      <c r="P77" s="34">
        <f t="shared" si="6"/>
        <v>0.27450000000000002</v>
      </c>
      <c r="Q77">
        <v>30</v>
      </c>
    </row>
    <row r="78" spans="13:17">
      <c r="M78"/>
      <c r="N78" t="s">
        <v>91</v>
      </c>
      <c r="O78"/>
      <c r="P78" s="34">
        <f t="shared" si="6"/>
        <v>0.41175000000000006</v>
      </c>
      <c r="Q78">
        <v>45</v>
      </c>
    </row>
    <row r="79" spans="13:17">
      <c r="M79"/>
      <c r="N79" t="s">
        <v>65</v>
      </c>
      <c r="O79"/>
      <c r="P79" s="34">
        <f t="shared" si="6"/>
        <v>0.54900000000000004</v>
      </c>
      <c r="Q79">
        <v>60</v>
      </c>
    </row>
    <row r="80" spans="13:17">
      <c r="M80" s="65" t="s">
        <v>66</v>
      </c>
      <c r="N80" s="65"/>
      <c r="O80" s="65"/>
      <c r="P80" s="65"/>
      <c r="Q80" s="65"/>
    </row>
    <row r="81" spans="13:17">
      <c r="N81" t="s">
        <v>67</v>
      </c>
      <c r="O81" s="2">
        <v>64</v>
      </c>
      <c r="P81" s="41">
        <f>O81*'Unit Price'!H19</f>
        <v>4.1424000000000002E-2</v>
      </c>
    </row>
    <row r="83" spans="13:17">
      <c r="N83" s="49" t="s">
        <v>68</v>
      </c>
      <c r="P83" s="41">
        <f>(SUM(P73:P79))</f>
        <v>2.8822500000000004</v>
      </c>
    </row>
    <row r="84" spans="13:17">
      <c r="N84" s="49" t="s">
        <v>69</v>
      </c>
      <c r="P84" s="41">
        <f>(SUM(P63:P66,P68:P71))+P81</f>
        <v>1.207174</v>
      </c>
    </row>
    <row r="85" spans="13:17">
      <c r="N85" s="50" t="s">
        <v>92</v>
      </c>
      <c r="O85" s="18"/>
      <c r="P85" s="44">
        <f>SUM(P83:P84)</f>
        <v>4.0894240000000002</v>
      </c>
    </row>
    <row r="87" spans="13:17">
      <c r="M87" s="68" t="s">
        <v>99</v>
      </c>
      <c r="N87" s="68"/>
      <c r="O87" s="68"/>
      <c r="P87" s="68"/>
      <c r="Q87" s="68"/>
    </row>
    <row r="88" spans="13:17">
      <c r="M88" s="48"/>
      <c r="N88" s="48" t="s">
        <v>93</v>
      </c>
      <c r="O88" s="48" t="s">
        <v>29</v>
      </c>
      <c r="P88" s="48" t="s">
        <v>50</v>
      </c>
      <c r="Q88" s="48" t="s">
        <v>78</v>
      </c>
    </row>
    <row r="89" spans="13:17">
      <c r="M89" s="65" t="s">
        <v>47</v>
      </c>
      <c r="N89" s="65"/>
      <c r="O89" s="65"/>
      <c r="P89" s="65"/>
      <c r="Q89" s="65"/>
    </row>
    <row r="90" spans="13:17">
      <c r="N90" t="s">
        <v>101</v>
      </c>
      <c r="P90" s="41">
        <f>Q90/60*0.549</f>
        <v>2.7450000000000001</v>
      </c>
      <c r="Q90" s="2">
        <v>300</v>
      </c>
    </row>
    <row r="91" spans="13:17">
      <c r="N91" t="s">
        <v>102</v>
      </c>
      <c r="P91" s="41">
        <f t="shared" ref="P91" si="7">Q91/60*0.549</f>
        <v>2.7450000000000001</v>
      </c>
      <c r="Q91" s="2">
        <v>300</v>
      </c>
    </row>
    <row r="93" spans="13:17">
      <c r="N93" s="50" t="s">
        <v>92</v>
      </c>
      <c r="P93" s="28">
        <f>SUM(P90:P91)</f>
        <v>5.49</v>
      </c>
    </row>
  </sheetData>
  <mergeCells count="43">
    <mergeCell ref="M80:Q80"/>
    <mergeCell ref="M87:Q87"/>
    <mergeCell ref="M89:Q89"/>
    <mergeCell ref="M59:Q59"/>
    <mergeCell ref="M60:Q60"/>
    <mergeCell ref="M62:Q62"/>
    <mergeCell ref="M67:Q67"/>
    <mergeCell ref="H38:L38"/>
    <mergeCell ref="H41:J41"/>
    <mergeCell ref="H12:J12"/>
    <mergeCell ref="H30:L30"/>
    <mergeCell ref="C1:G1"/>
    <mergeCell ref="H1:L1"/>
    <mergeCell ref="H2:L2"/>
    <mergeCell ref="C3:G3"/>
    <mergeCell ref="H4:L4"/>
    <mergeCell ref="H9:L9"/>
    <mergeCell ref="C8:G8"/>
    <mergeCell ref="C14:G14"/>
    <mergeCell ref="C16:G16"/>
    <mergeCell ref="H25:L25"/>
    <mergeCell ref="C19:E19"/>
    <mergeCell ref="M5:Q5"/>
    <mergeCell ref="M10:Q10"/>
    <mergeCell ref="M15:Q15"/>
    <mergeCell ref="M3:Q3"/>
    <mergeCell ref="H36:L36"/>
    <mergeCell ref="R25:V25"/>
    <mergeCell ref="A1:B60"/>
    <mergeCell ref="C34:G34"/>
    <mergeCell ref="H18:L18"/>
    <mergeCell ref="H55:L55"/>
    <mergeCell ref="M52:Q52"/>
    <mergeCell ref="M23:Q23"/>
    <mergeCell ref="R1:V1"/>
    <mergeCell ref="R4:V4"/>
    <mergeCell ref="R9:V9"/>
    <mergeCell ref="R12:V12"/>
    <mergeCell ref="R14:V14"/>
    <mergeCell ref="R2:V2"/>
    <mergeCell ref="M30:Q30"/>
    <mergeCell ref="M1:Q1"/>
    <mergeCell ref="M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93"/>
  <sheetViews>
    <sheetView topLeftCell="A2" zoomScale="80" zoomScaleNormal="80" workbookViewId="0">
      <selection activeCell="C2" sqref="C2"/>
    </sheetView>
  </sheetViews>
  <sheetFormatPr defaultColWidth="10.796875" defaultRowHeight="15.6"/>
  <cols>
    <col min="1" max="3" width="10.796875" style="2"/>
    <col min="4" max="4" width="27.296875" style="2" customWidth="1"/>
    <col min="5" max="6" width="10.796875" style="2"/>
    <col min="7" max="7" width="14.3984375" style="2" customWidth="1"/>
    <col min="8" max="8" width="10.796875" style="2" customWidth="1"/>
    <col min="9" max="9" width="22.59765625" style="2" customWidth="1"/>
    <col min="10" max="10" width="13.8984375" style="2" customWidth="1"/>
    <col min="11" max="11" width="10.796875" style="2"/>
    <col min="12" max="12" width="14" style="2" customWidth="1"/>
    <col min="13" max="13" width="10.796875" style="2"/>
    <col min="14" max="14" width="24.296875" style="2" customWidth="1"/>
    <col min="15" max="16" width="10.796875" style="2"/>
    <col min="17" max="17" width="13.796875" style="2" customWidth="1"/>
    <col min="18" max="18" width="10.796875" style="2"/>
    <col min="19" max="19" width="21.5" style="2" customWidth="1"/>
    <col min="20" max="21" width="10.796875" style="2"/>
    <col min="22" max="22" width="16.296875" style="2" customWidth="1"/>
    <col min="23" max="16384" width="10.796875" style="2"/>
  </cols>
  <sheetData>
    <row r="1" spans="1:22" ht="24" customHeight="1">
      <c r="A1" s="60" t="s">
        <v>35</v>
      </c>
      <c r="B1" s="60"/>
      <c r="C1" s="67" t="s">
        <v>30</v>
      </c>
      <c r="D1" s="67"/>
      <c r="E1" s="67"/>
      <c r="F1" s="67"/>
      <c r="G1" s="67"/>
      <c r="H1" s="67" t="s">
        <v>71</v>
      </c>
      <c r="I1" s="67"/>
      <c r="J1" s="67"/>
      <c r="K1" s="67"/>
      <c r="L1" s="67"/>
      <c r="M1" s="67" t="s">
        <v>3</v>
      </c>
      <c r="N1" s="67"/>
      <c r="O1" s="67"/>
      <c r="P1" s="67"/>
      <c r="Q1" s="67"/>
      <c r="R1" s="67" t="s">
        <v>105</v>
      </c>
      <c r="S1" s="67"/>
      <c r="T1" s="67"/>
      <c r="U1" s="67"/>
      <c r="V1" s="67"/>
    </row>
    <row r="2" spans="1:22">
      <c r="A2" s="60"/>
      <c r="B2" s="60"/>
      <c r="C2"/>
      <c r="D2" s="48" t="s">
        <v>93</v>
      </c>
      <c r="E2" s="48" t="s">
        <v>29</v>
      </c>
      <c r="F2" s="48" t="s">
        <v>50</v>
      </c>
      <c r="G2" s="48" t="s">
        <v>78</v>
      </c>
      <c r="H2" s="68" t="s">
        <v>28</v>
      </c>
      <c r="I2" s="68"/>
      <c r="J2" s="68"/>
      <c r="K2" s="68"/>
      <c r="L2" s="68"/>
      <c r="M2" s="68" t="s">
        <v>82</v>
      </c>
      <c r="N2" s="69"/>
      <c r="O2" s="69"/>
      <c r="P2" s="69"/>
      <c r="Q2" s="69"/>
      <c r="R2" s="68" t="s">
        <v>128</v>
      </c>
      <c r="S2" s="68"/>
      <c r="T2" s="68"/>
      <c r="U2" s="68"/>
      <c r="V2" s="68"/>
    </row>
    <row r="3" spans="1:22" s="11" customFormat="1" ht="16.05" customHeight="1">
      <c r="A3" s="60"/>
      <c r="B3" s="60"/>
      <c r="C3" s="65" t="s">
        <v>36</v>
      </c>
      <c r="D3" s="65"/>
      <c r="E3" s="65"/>
      <c r="F3" s="65"/>
      <c r="G3" s="65"/>
      <c r="H3" s="48"/>
      <c r="I3" s="48" t="s">
        <v>93</v>
      </c>
      <c r="J3" s="48" t="s">
        <v>29</v>
      </c>
      <c r="K3" s="48" t="s">
        <v>50</v>
      </c>
      <c r="L3" s="48" t="s">
        <v>78</v>
      </c>
      <c r="M3" s="68" t="s">
        <v>83</v>
      </c>
      <c r="N3" s="68"/>
      <c r="O3" s="68"/>
      <c r="P3" s="68"/>
      <c r="Q3" s="68"/>
      <c r="R3" s="48"/>
      <c r="S3" s="48" t="s">
        <v>93</v>
      </c>
      <c r="T3" s="48" t="s">
        <v>29</v>
      </c>
      <c r="U3" s="48" t="s">
        <v>50</v>
      </c>
      <c r="V3" s="48" t="s">
        <v>78</v>
      </c>
    </row>
    <row r="4" spans="1:22">
      <c r="A4" s="60"/>
      <c r="B4" s="60"/>
      <c r="D4" t="s">
        <v>31</v>
      </c>
      <c r="E4" s="2">
        <v>1</v>
      </c>
      <c r="F4" s="2">
        <v>0.14000000000000001</v>
      </c>
      <c r="H4" s="65" t="s">
        <v>36</v>
      </c>
      <c r="I4" s="65"/>
      <c r="J4" s="65"/>
      <c r="K4" s="65"/>
      <c r="L4" s="65"/>
      <c r="M4" s="48"/>
      <c r="N4" s="48" t="s">
        <v>93</v>
      </c>
      <c r="O4" s="48" t="s">
        <v>29</v>
      </c>
      <c r="P4" s="48" t="s">
        <v>50</v>
      </c>
      <c r="Q4" s="48" t="s">
        <v>78</v>
      </c>
      <c r="R4" s="65" t="s">
        <v>36</v>
      </c>
      <c r="S4" s="65"/>
      <c r="T4" s="65"/>
      <c r="U4" s="65"/>
      <c r="V4" s="65"/>
    </row>
    <row r="5" spans="1:22">
      <c r="A5" s="60"/>
      <c r="B5" s="60"/>
      <c r="D5" t="s">
        <v>32</v>
      </c>
      <c r="E5" s="19" t="s">
        <v>7</v>
      </c>
      <c r="F5" s="41">
        <v>7.0000000000000001E-3</v>
      </c>
      <c r="H5"/>
      <c r="I5" t="s">
        <v>31</v>
      </c>
      <c r="J5">
        <v>1</v>
      </c>
      <c r="K5" s="34">
        <v>0.14000000000000001</v>
      </c>
      <c r="L5"/>
      <c r="M5" s="65" t="s">
        <v>36</v>
      </c>
      <c r="N5" s="65"/>
      <c r="O5" s="65"/>
      <c r="P5" s="65"/>
      <c r="Q5" s="65"/>
      <c r="R5"/>
      <c r="S5" t="s">
        <v>31</v>
      </c>
      <c r="T5">
        <v>3</v>
      </c>
      <c r="U5" s="54">
        <v>0.42</v>
      </c>
      <c r="V5"/>
    </row>
    <row r="6" spans="1:22">
      <c r="A6" s="60"/>
      <c r="B6" s="60"/>
      <c r="D6" t="s">
        <v>33</v>
      </c>
      <c r="E6" s="19" t="s">
        <v>8</v>
      </c>
      <c r="F6" s="41">
        <v>1.4999999999999999E-4</v>
      </c>
      <c r="H6"/>
      <c r="I6" t="s">
        <v>32</v>
      </c>
      <c r="J6" s="52" t="s">
        <v>7</v>
      </c>
      <c r="K6" s="34">
        <v>7.0000000000000001E-3</v>
      </c>
      <c r="L6"/>
      <c r="M6"/>
      <c r="N6" t="s">
        <v>31</v>
      </c>
      <c r="O6">
        <v>1</v>
      </c>
      <c r="P6" s="34">
        <v>0.14000000000000001</v>
      </c>
      <c r="Q6"/>
      <c r="R6"/>
      <c r="S6" t="s">
        <v>32</v>
      </c>
      <c r="T6" s="52" t="s">
        <v>12</v>
      </c>
      <c r="U6" s="54">
        <v>2.1000000000000001E-2</v>
      </c>
      <c r="V6"/>
    </row>
    <row r="7" spans="1:22">
      <c r="A7" s="60"/>
      <c r="B7" s="60"/>
      <c r="D7" t="s">
        <v>34</v>
      </c>
      <c r="E7" s="2">
        <v>1</v>
      </c>
      <c r="F7" s="2">
        <v>0.02</v>
      </c>
      <c r="H7"/>
      <c r="I7" t="s">
        <v>33</v>
      </c>
      <c r="J7" s="52" t="s">
        <v>8</v>
      </c>
      <c r="K7" s="34">
        <v>1.4999999999999999E-4</v>
      </c>
      <c r="L7"/>
      <c r="M7"/>
      <c r="N7" t="s">
        <v>32</v>
      </c>
      <c r="O7" s="52" t="s">
        <v>7</v>
      </c>
      <c r="P7" s="34">
        <v>7.0000000000000001E-3</v>
      </c>
      <c r="Q7"/>
      <c r="R7"/>
      <c r="S7" t="s">
        <v>33</v>
      </c>
      <c r="T7" s="52" t="s">
        <v>13</v>
      </c>
      <c r="U7" s="54">
        <v>4.4999999999999999E-4</v>
      </c>
      <c r="V7"/>
    </row>
    <row r="8" spans="1:22">
      <c r="A8" s="60"/>
      <c r="B8" s="60"/>
      <c r="C8" s="65" t="s">
        <v>39</v>
      </c>
      <c r="D8" s="65"/>
      <c r="E8" s="65"/>
      <c r="F8" s="65"/>
      <c r="G8" s="65"/>
      <c r="H8"/>
      <c r="I8" t="s">
        <v>34</v>
      </c>
      <c r="J8">
        <v>1</v>
      </c>
      <c r="K8" s="34">
        <v>0.02</v>
      </c>
      <c r="L8"/>
      <c r="M8"/>
      <c r="N8" t="s">
        <v>33</v>
      </c>
      <c r="O8" s="52" t="s">
        <v>8</v>
      </c>
      <c r="P8" s="34">
        <v>1.4999999999999999E-4</v>
      </c>
      <c r="Q8"/>
      <c r="R8"/>
      <c r="S8" t="s">
        <v>34</v>
      </c>
      <c r="T8">
        <v>3</v>
      </c>
      <c r="U8" s="54">
        <v>0.06</v>
      </c>
      <c r="V8"/>
    </row>
    <row r="9" spans="1:22">
      <c r="A9" s="60"/>
      <c r="B9" s="60"/>
      <c r="C9"/>
      <c r="D9" t="s">
        <v>37</v>
      </c>
      <c r="E9">
        <v>1</v>
      </c>
      <c r="F9" s="34">
        <v>0.35</v>
      </c>
      <c r="G9"/>
      <c r="H9" s="65" t="s">
        <v>72</v>
      </c>
      <c r="I9" s="65"/>
      <c r="J9" s="65"/>
      <c r="K9" s="65"/>
      <c r="L9" s="65"/>
      <c r="M9"/>
      <c r="N9" t="s">
        <v>34</v>
      </c>
      <c r="O9">
        <v>1</v>
      </c>
      <c r="P9" s="34">
        <v>0.02</v>
      </c>
      <c r="Q9"/>
      <c r="R9" s="65" t="s">
        <v>106</v>
      </c>
      <c r="S9" s="65"/>
      <c r="T9" s="65"/>
      <c r="U9" s="65"/>
      <c r="V9" s="65"/>
    </row>
    <row r="10" spans="1:22">
      <c r="A10" s="60"/>
      <c r="B10" s="60"/>
      <c r="C10"/>
      <c r="D10" t="s">
        <v>38</v>
      </c>
      <c r="E10">
        <v>1</v>
      </c>
      <c r="F10" s="34">
        <v>0.62</v>
      </c>
      <c r="G10"/>
      <c r="H10"/>
      <c r="I10" t="s">
        <v>2</v>
      </c>
      <c r="J10">
        <v>1</v>
      </c>
      <c r="K10" s="34">
        <v>0.01</v>
      </c>
      <c r="L10"/>
      <c r="M10" s="65" t="s">
        <v>84</v>
      </c>
      <c r="N10" s="65"/>
      <c r="O10" s="65"/>
      <c r="P10" s="65"/>
      <c r="Q10" s="65"/>
      <c r="R10" s="7"/>
      <c r="S10" s="55" t="s">
        <v>94</v>
      </c>
      <c r="T10" s="15" t="s">
        <v>12</v>
      </c>
      <c r="U10" s="12">
        <v>0.12</v>
      </c>
      <c r="V10" s="7"/>
    </row>
    <row r="11" spans="1:22">
      <c r="A11" s="60"/>
      <c r="B11" s="60"/>
      <c r="C11" s="65" t="s">
        <v>40</v>
      </c>
      <c r="D11" s="65"/>
      <c r="E11" s="65"/>
      <c r="F11" s="65"/>
      <c r="G11" s="65"/>
      <c r="H11"/>
      <c r="I11" t="s">
        <v>73</v>
      </c>
      <c r="J11" s="52" t="s">
        <v>11</v>
      </c>
      <c r="K11" s="34">
        <v>4.4000000000000003E-3</v>
      </c>
      <c r="L11"/>
      <c r="M11"/>
      <c r="N11" t="s">
        <v>2</v>
      </c>
      <c r="O11">
        <v>2</v>
      </c>
      <c r="P11" s="34">
        <v>0.02</v>
      </c>
      <c r="Q11"/>
      <c r="R11" s="7"/>
      <c r="S11" s="55" t="s">
        <v>44</v>
      </c>
      <c r="T11" s="15" t="s">
        <v>20</v>
      </c>
      <c r="U11" s="12">
        <v>0.06</v>
      </c>
      <c r="V11" s="7"/>
    </row>
    <row r="12" spans="1:22">
      <c r="A12" s="60"/>
      <c r="B12" s="60"/>
      <c r="C12"/>
      <c r="D12" t="s">
        <v>41</v>
      </c>
      <c r="E12">
        <v>1</v>
      </c>
      <c r="F12" s="34">
        <v>0.53</v>
      </c>
      <c r="G12"/>
      <c r="H12" s="65" t="s">
        <v>74</v>
      </c>
      <c r="I12" s="65"/>
      <c r="J12" s="65"/>
      <c r="K12" s="50"/>
      <c r="L12" s="53"/>
      <c r="M12"/>
      <c r="N12" t="s">
        <v>85</v>
      </c>
      <c r="O12" s="52" t="s">
        <v>7</v>
      </c>
      <c r="P12" s="34">
        <v>6.6E-3</v>
      </c>
      <c r="Q12"/>
      <c r="R12" s="7"/>
      <c r="S12" s="55" t="s">
        <v>107</v>
      </c>
      <c r="T12" s="15">
        <v>3</v>
      </c>
      <c r="U12" s="12">
        <f>T12*0.03</f>
        <v>0.09</v>
      </c>
      <c r="V12" s="7"/>
    </row>
    <row r="13" spans="1:22">
      <c r="A13" s="60"/>
      <c r="B13" s="60"/>
      <c r="C13" s="65" t="s">
        <v>42</v>
      </c>
      <c r="D13" s="65"/>
      <c r="E13" s="65"/>
      <c r="F13" s="65"/>
      <c r="G13" s="65"/>
      <c r="H13"/>
      <c r="I13" t="s">
        <v>52</v>
      </c>
      <c r="J13"/>
      <c r="K13" s="34">
        <f>L13/60*0.549</f>
        <v>0.27450000000000002</v>
      </c>
      <c r="L13">
        <v>30</v>
      </c>
      <c r="M13"/>
      <c r="N13" t="s">
        <v>86</v>
      </c>
      <c r="O13">
        <v>1</v>
      </c>
      <c r="P13" s="34">
        <v>0.94</v>
      </c>
      <c r="Q13"/>
      <c r="R13" s="65" t="s">
        <v>108</v>
      </c>
      <c r="S13" s="65"/>
      <c r="T13" s="65"/>
      <c r="U13" s="65"/>
      <c r="V13" s="65"/>
    </row>
    <row r="14" spans="1:22">
      <c r="A14" s="60"/>
      <c r="B14" s="60"/>
      <c r="D14" s="2" t="s">
        <v>132</v>
      </c>
      <c r="E14" s="19" t="s">
        <v>7</v>
      </c>
      <c r="F14" s="8">
        <v>0.04</v>
      </c>
      <c r="H14"/>
      <c r="I14" t="s">
        <v>75</v>
      </c>
      <c r="J14"/>
      <c r="K14" s="34">
        <f t="shared" ref="K14:K17" si="0">L14/60*0.549</f>
        <v>0.27450000000000002</v>
      </c>
      <c r="L14">
        <v>30</v>
      </c>
      <c r="M14"/>
      <c r="N14" t="s">
        <v>87</v>
      </c>
      <c r="O14">
        <v>8</v>
      </c>
      <c r="P14" s="34">
        <f>O14*0.004</f>
        <v>3.2000000000000001E-2</v>
      </c>
      <c r="Q14"/>
      <c r="R14" s="51"/>
      <c r="S14" s="55" t="s">
        <v>38</v>
      </c>
      <c r="T14">
        <v>1</v>
      </c>
      <c r="U14">
        <v>0.62</v>
      </c>
      <c r="V14" s="51"/>
    </row>
    <row r="15" spans="1:22">
      <c r="A15" s="60"/>
      <c r="B15" s="60"/>
      <c r="D15" s="2" t="s">
        <v>2</v>
      </c>
      <c r="E15" s="2">
        <v>2</v>
      </c>
      <c r="F15" s="2">
        <v>0.02</v>
      </c>
      <c r="H15"/>
      <c r="I15" t="s">
        <v>54</v>
      </c>
      <c r="J15"/>
      <c r="K15" s="34">
        <f t="shared" si="0"/>
        <v>0.54900000000000004</v>
      </c>
      <c r="L15">
        <v>60</v>
      </c>
      <c r="M15" s="65" t="s">
        <v>47</v>
      </c>
      <c r="N15" s="65"/>
      <c r="O15" s="65"/>
      <c r="P15" s="48" t="s">
        <v>49</v>
      </c>
      <c r="Q15" s="48" t="s">
        <v>78</v>
      </c>
      <c r="R15" s="61" t="s">
        <v>47</v>
      </c>
      <c r="S15" s="61"/>
      <c r="T15" s="61"/>
      <c r="U15" s="48" t="s">
        <v>49</v>
      </c>
      <c r="V15" s="48" t="s">
        <v>78</v>
      </c>
    </row>
    <row r="16" spans="1:22">
      <c r="A16" s="60"/>
      <c r="B16" s="60"/>
      <c r="C16" s="65" t="s">
        <v>43</v>
      </c>
      <c r="D16" s="65"/>
      <c r="E16" s="65"/>
      <c r="F16" s="65"/>
      <c r="G16" s="65"/>
      <c r="H16"/>
      <c r="I16" t="s">
        <v>76</v>
      </c>
      <c r="J16"/>
      <c r="K16" s="34">
        <f t="shared" si="0"/>
        <v>0.54900000000000004</v>
      </c>
      <c r="L16">
        <v>60</v>
      </c>
      <c r="M16"/>
      <c r="N16" t="s">
        <v>52</v>
      </c>
      <c r="O16"/>
      <c r="P16" s="34">
        <f>Q16/60*0.549</f>
        <v>0.27450000000000002</v>
      </c>
      <c r="Q16">
        <v>30</v>
      </c>
      <c r="S16" t="s">
        <v>52</v>
      </c>
      <c r="U16" s="41">
        <f>V16/60*0.549</f>
        <v>0.54900000000000004</v>
      </c>
      <c r="V16" s="2">
        <v>60</v>
      </c>
    </row>
    <row r="17" spans="1:22">
      <c r="A17" s="60"/>
      <c r="B17" s="60"/>
      <c r="C17" s="55"/>
      <c r="D17" s="55" t="s">
        <v>44</v>
      </c>
      <c r="E17">
        <v>2</v>
      </c>
      <c r="F17" s="34">
        <v>0.02</v>
      </c>
      <c r="G17" s="55"/>
      <c r="H17"/>
      <c r="I17" t="s">
        <v>77</v>
      </c>
      <c r="J17"/>
      <c r="K17" s="34">
        <f t="shared" si="0"/>
        <v>0.41175000000000006</v>
      </c>
      <c r="L17">
        <v>45</v>
      </c>
      <c r="M17"/>
      <c r="N17" t="s">
        <v>75</v>
      </c>
      <c r="O17"/>
      <c r="P17" s="34">
        <f t="shared" ref="P17:P22" si="1">Q17/60*0.549</f>
        <v>0.27450000000000002</v>
      </c>
      <c r="Q17">
        <v>30</v>
      </c>
      <c r="S17" t="s">
        <v>109</v>
      </c>
      <c r="U17" s="41">
        <f t="shared" ref="U17:U25" si="2">V17/60*0.549</f>
        <v>0.27450000000000002</v>
      </c>
      <c r="V17" s="2">
        <v>30</v>
      </c>
    </row>
    <row r="18" spans="1:22">
      <c r="A18" s="60"/>
      <c r="B18" s="60"/>
      <c r="C18"/>
      <c r="D18" t="s">
        <v>45</v>
      </c>
      <c r="E18">
        <v>1</v>
      </c>
      <c r="F18" s="34">
        <v>0.27</v>
      </c>
      <c r="G18"/>
      <c r="H18" s="65" t="s">
        <v>66</v>
      </c>
      <c r="I18" s="65"/>
      <c r="J18" s="65"/>
      <c r="K18" s="65"/>
      <c r="L18" s="65"/>
      <c r="M18"/>
      <c r="N18" t="s">
        <v>88</v>
      </c>
      <c r="O18"/>
      <c r="P18" s="34">
        <f t="shared" si="1"/>
        <v>0.54900000000000004</v>
      </c>
      <c r="Q18">
        <v>60</v>
      </c>
      <c r="S18" t="s">
        <v>110</v>
      </c>
      <c r="U18" s="41">
        <f t="shared" si="2"/>
        <v>0.54900000000000004</v>
      </c>
      <c r="V18" s="2">
        <v>60</v>
      </c>
    </row>
    <row r="19" spans="1:22">
      <c r="A19" s="60"/>
      <c r="B19" s="60"/>
      <c r="C19"/>
      <c r="D19" t="s">
        <v>46</v>
      </c>
      <c r="E19">
        <v>1</v>
      </c>
      <c r="F19" s="34">
        <v>0.3</v>
      </c>
      <c r="G19" s="56"/>
      <c r="I19" t="s">
        <v>67</v>
      </c>
      <c r="J19" s="2">
        <v>117</v>
      </c>
      <c r="K19" s="41">
        <f>J19*'Unit Price'!H19</f>
        <v>7.5728250000000011E-2</v>
      </c>
      <c r="M19"/>
      <c r="N19" t="s">
        <v>89</v>
      </c>
      <c r="O19"/>
      <c r="P19" s="34">
        <f t="shared" si="1"/>
        <v>0.54900000000000004</v>
      </c>
      <c r="Q19">
        <v>60</v>
      </c>
      <c r="S19" t="s">
        <v>55</v>
      </c>
      <c r="U19" s="41">
        <f t="shared" si="2"/>
        <v>0.54900000000000004</v>
      </c>
      <c r="V19" s="8">
        <v>60</v>
      </c>
    </row>
    <row r="20" spans="1:22">
      <c r="A20" s="60"/>
      <c r="B20" s="60"/>
      <c r="C20" s="65" t="s">
        <v>48</v>
      </c>
      <c r="D20" s="65"/>
      <c r="E20" s="65"/>
      <c r="F20" s="48" t="s">
        <v>49</v>
      </c>
      <c r="G20" s="48" t="s">
        <v>78</v>
      </c>
      <c r="M20"/>
      <c r="N20" t="s">
        <v>90</v>
      </c>
      <c r="O20"/>
      <c r="P20" s="34">
        <f t="shared" si="1"/>
        <v>0.27450000000000002</v>
      </c>
      <c r="Q20">
        <v>30</v>
      </c>
      <c r="S20" t="s">
        <v>136</v>
      </c>
      <c r="U20" s="41">
        <f t="shared" si="2"/>
        <v>0.27450000000000002</v>
      </c>
      <c r="V20" s="8">
        <v>30</v>
      </c>
    </row>
    <row r="21" spans="1:22">
      <c r="A21" s="60"/>
      <c r="B21" s="60"/>
      <c r="D21" s="2" t="s">
        <v>51</v>
      </c>
      <c r="F21" s="41">
        <f>G21/60*0.549</f>
        <v>0.27450000000000002</v>
      </c>
      <c r="G21" s="2">
        <v>30</v>
      </c>
      <c r="I21" s="49" t="s">
        <v>68</v>
      </c>
      <c r="K21" s="41">
        <f>SUM(K13:K17)</f>
        <v>2.0587500000000003</v>
      </c>
      <c r="M21"/>
      <c r="N21" t="s">
        <v>91</v>
      </c>
      <c r="O21"/>
      <c r="P21" s="34">
        <f t="shared" si="1"/>
        <v>0.41175000000000006</v>
      </c>
      <c r="Q21">
        <v>45</v>
      </c>
      <c r="S21" t="s">
        <v>111</v>
      </c>
      <c r="U21" s="41">
        <f t="shared" si="2"/>
        <v>9.1499999999999998E-2</v>
      </c>
      <c r="V21" s="8">
        <v>10</v>
      </c>
    </row>
    <row r="22" spans="1:22">
      <c r="A22" s="60"/>
      <c r="B22" s="60"/>
      <c r="D22" s="2" t="s">
        <v>52</v>
      </c>
      <c r="F22" s="41">
        <f t="shared" ref="F22:F35" si="3">G22/60*0.549</f>
        <v>0.82350000000000012</v>
      </c>
      <c r="G22" s="2">
        <v>90</v>
      </c>
      <c r="I22" s="49" t="s">
        <v>69</v>
      </c>
      <c r="K22" s="41">
        <f>SUM(K5:K8,K10:K11)+K19</f>
        <v>0.25727825000000004</v>
      </c>
      <c r="M22"/>
      <c r="N22" t="s">
        <v>65</v>
      </c>
      <c r="O22"/>
      <c r="P22" s="34">
        <f t="shared" si="1"/>
        <v>0.54900000000000004</v>
      </c>
      <c r="Q22">
        <v>60</v>
      </c>
      <c r="S22" t="s">
        <v>112</v>
      </c>
      <c r="U22" s="41">
        <f t="shared" si="2"/>
        <v>0.27450000000000002</v>
      </c>
      <c r="V22" s="8">
        <v>30</v>
      </c>
    </row>
    <row r="23" spans="1:22">
      <c r="A23" s="60"/>
      <c r="B23" s="60"/>
      <c r="D23" s="2" t="s">
        <v>53</v>
      </c>
      <c r="F23" s="41">
        <f t="shared" si="3"/>
        <v>0.27450000000000002</v>
      </c>
      <c r="G23" s="2">
        <v>30</v>
      </c>
      <c r="I23" s="50" t="s">
        <v>80</v>
      </c>
      <c r="J23" s="18"/>
      <c r="K23" s="44">
        <f>SUM(K21:K22)</f>
        <v>2.3160282500000005</v>
      </c>
      <c r="M23" s="65" t="s">
        <v>66</v>
      </c>
      <c r="N23" s="65"/>
      <c r="O23" s="65"/>
      <c r="P23" s="65"/>
      <c r="Q23" s="65"/>
      <c r="S23" t="s">
        <v>113</v>
      </c>
      <c r="U23" s="41">
        <f t="shared" si="2"/>
        <v>9.1499999999999998E-2</v>
      </c>
      <c r="V23" s="8">
        <v>10</v>
      </c>
    </row>
    <row r="24" spans="1:22">
      <c r="A24" s="60"/>
      <c r="B24" s="60"/>
      <c r="D24" s="2" t="s">
        <v>54</v>
      </c>
      <c r="F24" s="41">
        <f t="shared" si="3"/>
        <v>0.54900000000000004</v>
      </c>
      <c r="G24" s="8">
        <v>60</v>
      </c>
      <c r="N24" t="s">
        <v>67</v>
      </c>
      <c r="O24" s="2">
        <v>192</v>
      </c>
      <c r="P24" s="2">
        <f>O24*'Unit Price'!H19</f>
        <v>0.12427200000000001</v>
      </c>
      <c r="S24" t="s">
        <v>91</v>
      </c>
      <c r="U24" s="41">
        <f t="shared" si="2"/>
        <v>0.41175000000000006</v>
      </c>
      <c r="V24" s="8">
        <v>45</v>
      </c>
    </row>
    <row r="25" spans="1:22">
      <c r="A25" s="60"/>
      <c r="B25" s="60"/>
      <c r="D25" s="2" t="s">
        <v>55</v>
      </c>
      <c r="F25" s="41">
        <f t="shared" si="3"/>
        <v>0.54900000000000004</v>
      </c>
      <c r="G25" s="8">
        <v>60</v>
      </c>
      <c r="H25" s="68" t="s">
        <v>79</v>
      </c>
      <c r="I25" s="68"/>
      <c r="J25" s="68"/>
      <c r="K25" s="68"/>
      <c r="L25" s="68"/>
      <c r="S25" t="s">
        <v>65</v>
      </c>
      <c r="U25" s="41">
        <f t="shared" si="2"/>
        <v>0.54900000000000004</v>
      </c>
      <c r="V25" s="2">
        <v>60</v>
      </c>
    </row>
    <row r="26" spans="1:22">
      <c r="A26" s="60"/>
      <c r="B26" s="60"/>
      <c r="D26" s="2" t="s">
        <v>56</v>
      </c>
      <c r="F26" s="41">
        <f t="shared" si="3"/>
        <v>0.13725000000000001</v>
      </c>
      <c r="G26" s="8">
        <v>15</v>
      </c>
      <c r="H26" s="48"/>
      <c r="I26" s="48" t="s">
        <v>93</v>
      </c>
      <c r="J26" s="48" t="s">
        <v>29</v>
      </c>
      <c r="K26" s="48" t="s">
        <v>50</v>
      </c>
      <c r="L26" s="48" t="s">
        <v>78</v>
      </c>
      <c r="N26" s="49" t="s">
        <v>68</v>
      </c>
      <c r="O26" s="2" t="s">
        <v>10</v>
      </c>
      <c r="P26" s="41">
        <f>(SUM(P16:P22)*3)</f>
        <v>8.6467500000000008</v>
      </c>
      <c r="R26" s="65" t="s">
        <v>66</v>
      </c>
      <c r="S26" s="65"/>
      <c r="T26" s="65"/>
      <c r="U26" s="65"/>
      <c r="V26" s="65"/>
    </row>
    <row r="27" spans="1:22">
      <c r="A27" s="60"/>
      <c r="B27" s="60"/>
      <c r="D27" s="2" t="s">
        <v>57</v>
      </c>
      <c r="F27" s="41">
        <f t="shared" si="3"/>
        <v>0.27450000000000002</v>
      </c>
      <c r="G27" s="8">
        <v>30</v>
      </c>
      <c r="H27" s="51" t="s">
        <v>36</v>
      </c>
      <c r="I27" s="51"/>
      <c r="J27" s="51"/>
      <c r="K27"/>
      <c r="L27"/>
      <c r="N27" s="49" t="s">
        <v>69</v>
      </c>
      <c r="O27" s="2" t="s">
        <v>10</v>
      </c>
      <c r="P27" s="41">
        <f>(SUM(P6:P9,P11:P14))*3+P24</f>
        <v>3.6215220000000001</v>
      </c>
      <c r="S27" t="s">
        <v>67</v>
      </c>
      <c r="T27" s="2">
        <v>143</v>
      </c>
      <c r="U27" s="2">
        <f>T27*'Unit Price'!H19</f>
        <v>9.2556750000000007E-2</v>
      </c>
    </row>
    <row r="28" spans="1:22">
      <c r="A28" s="60"/>
      <c r="B28" s="60"/>
      <c r="D28" s="2" t="s">
        <v>58</v>
      </c>
      <c r="F28" s="41">
        <f t="shared" si="3"/>
        <v>0.27450000000000002</v>
      </c>
      <c r="G28" s="8">
        <v>30</v>
      </c>
      <c r="H28"/>
      <c r="I28" t="s">
        <v>31</v>
      </c>
      <c r="J28">
        <v>1</v>
      </c>
      <c r="K28">
        <v>0.14000000000000001</v>
      </c>
      <c r="L28" s="48"/>
      <c r="N28" s="50" t="s">
        <v>92</v>
      </c>
      <c r="O28" s="18"/>
      <c r="P28" s="44">
        <f>SUM(P26:P27)</f>
        <v>12.268272000000001</v>
      </c>
    </row>
    <row r="29" spans="1:22">
      <c r="A29" s="60"/>
      <c r="B29" s="60"/>
      <c r="D29" s="2" t="s">
        <v>59</v>
      </c>
      <c r="F29" s="41">
        <f t="shared" si="3"/>
        <v>0.41175000000000006</v>
      </c>
      <c r="G29" s="8">
        <v>45</v>
      </c>
      <c r="H29"/>
      <c r="I29" t="s">
        <v>32</v>
      </c>
      <c r="J29" s="52" t="s">
        <v>7</v>
      </c>
      <c r="K29">
        <v>7.0000000000000001E-3</v>
      </c>
      <c r="L29" s="51"/>
      <c r="S29" s="49" t="s">
        <v>68</v>
      </c>
      <c r="T29" s="2" t="s">
        <v>14</v>
      </c>
      <c r="U29" s="41">
        <f>(SUM(U16:U25))*3</f>
        <v>10.842750000000001</v>
      </c>
    </row>
    <row r="30" spans="1:22">
      <c r="A30" s="60"/>
      <c r="B30" s="60"/>
      <c r="D30" s="2" t="s">
        <v>60</v>
      </c>
      <c r="F30" s="41">
        <f t="shared" si="3"/>
        <v>0.54900000000000004</v>
      </c>
      <c r="G30" s="8">
        <v>60</v>
      </c>
      <c r="H30" s="51" t="s">
        <v>39</v>
      </c>
      <c r="I30" s="51"/>
      <c r="J30"/>
      <c r="K30"/>
      <c r="L30"/>
      <c r="M30" s="68" t="s">
        <v>4</v>
      </c>
      <c r="N30" s="68"/>
      <c r="O30" s="68"/>
      <c r="P30" s="68"/>
      <c r="Q30" s="68"/>
      <c r="S30" s="49" t="s">
        <v>69</v>
      </c>
      <c r="U30" s="41">
        <f>SUM(U5:U8,U10:U12,U14:U14)+U27</f>
        <v>1.4840067499999998</v>
      </c>
    </row>
    <row r="31" spans="1:22">
      <c r="A31" s="60"/>
      <c r="B31" s="60"/>
      <c r="D31" s="2" t="s">
        <v>61</v>
      </c>
      <c r="F31" s="41">
        <f t="shared" si="3"/>
        <v>0.13725000000000001</v>
      </c>
      <c r="G31" s="8">
        <v>15</v>
      </c>
      <c r="H31"/>
      <c r="I31" t="s">
        <v>37</v>
      </c>
      <c r="J31">
        <v>1</v>
      </c>
      <c r="K31">
        <v>0.35</v>
      </c>
      <c r="L31"/>
      <c r="M31" s="48"/>
      <c r="N31" s="48" t="s">
        <v>93</v>
      </c>
      <c r="O31" s="48" t="s">
        <v>29</v>
      </c>
      <c r="P31" s="48" t="s">
        <v>50</v>
      </c>
      <c r="Q31" s="48" t="s">
        <v>78</v>
      </c>
      <c r="S31" s="50" t="s">
        <v>114</v>
      </c>
      <c r="T31" s="18"/>
      <c r="U31" s="44">
        <f>SUM(U29:U30)</f>
        <v>12.326756750000001</v>
      </c>
    </row>
    <row r="32" spans="1:22">
      <c r="A32" s="60"/>
      <c r="B32" s="60"/>
      <c r="D32" s="2" t="s">
        <v>62</v>
      </c>
      <c r="F32" s="41">
        <f t="shared" si="3"/>
        <v>0.27450000000000002</v>
      </c>
      <c r="G32" s="8">
        <v>30</v>
      </c>
      <c r="H32"/>
      <c r="I32" t="s">
        <v>38</v>
      </c>
      <c r="J32">
        <v>1</v>
      </c>
      <c r="K32">
        <v>0.62</v>
      </c>
      <c r="L32"/>
      <c r="M32" s="51" t="s">
        <v>36</v>
      </c>
      <c r="N32" s="51"/>
      <c r="O32" s="51"/>
      <c r="P32" s="51"/>
      <c r="Q32" s="51"/>
    </row>
    <row r="33" spans="1:17">
      <c r="A33" s="60"/>
      <c r="B33" s="60"/>
      <c r="D33" s="2" t="s">
        <v>63</v>
      </c>
      <c r="F33" s="41">
        <f t="shared" si="3"/>
        <v>0.13725000000000001</v>
      </c>
      <c r="G33" s="8">
        <v>15</v>
      </c>
      <c r="H33" s="51" t="s">
        <v>40</v>
      </c>
      <c r="I33" s="51"/>
      <c r="J33"/>
      <c r="K33"/>
      <c r="L33"/>
      <c r="M33"/>
      <c r="N33" t="s">
        <v>31</v>
      </c>
      <c r="O33">
        <v>1</v>
      </c>
      <c r="P33" s="34">
        <v>0.14000000000000001</v>
      </c>
      <c r="Q33"/>
    </row>
    <row r="34" spans="1:17">
      <c r="A34" s="60"/>
      <c r="B34" s="60"/>
      <c r="D34" s="2" t="s">
        <v>64</v>
      </c>
      <c r="F34" s="41">
        <f t="shared" si="3"/>
        <v>0.41175000000000006</v>
      </c>
      <c r="G34" s="8">
        <v>45</v>
      </c>
      <c r="H34" s="57">
        <f>SUM(G20:G34)</f>
        <v>555</v>
      </c>
      <c r="I34" t="s">
        <v>41</v>
      </c>
      <c r="J34">
        <v>1</v>
      </c>
      <c r="K34">
        <v>0.53</v>
      </c>
      <c r="L34" s="51"/>
      <c r="M34"/>
      <c r="N34" t="s">
        <v>32</v>
      </c>
      <c r="O34" s="52" t="s">
        <v>7</v>
      </c>
      <c r="P34" s="34">
        <v>7.0000000000000001E-3</v>
      </c>
      <c r="Q34"/>
    </row>
    <row r="35" spans="1:17">
      <c r="A35" s="60"/>
      <c r="B35" s="60"/>
      <c r="D35" s="8" t="s">
        <v>65</v>
      </c>
      <c r="F35" s="41">
        <f t="shared" si="3"/>
        <v>0.54900000000000004</v>
      </c>
      <c r="G35" s="2">
        <v>60</v>
      </c>
      <c r="H35" s="51" t="s">
        <v>42</v>
      </c>
      <c r="I35" s="51"/>
      <c r="J35" s="51"/>
      <c r="K35"/>
      <c r="L35"/>
      <c r="M35"/>
      <c r="N35" t="s">
        <v>33</v>
      </c>
      <c r="O35" s="52" t="s">
        <v>8</v>
      </c>
      <c r="P35" s="34">
        <v>1.4999999999999999E-4</v>
      </c>
      <c r="Q35"/>
    </row>
    <row r="36" spans="1:17">
      <c r="A36" s="60"/>
      <c r="B36" s="60"/>
      <c r="C36" s="65" t="s">
        <v>66</v>
      </c>
      <c r="D36" s="65"/>
      <c r="E36" s="65"/>
      <c r="F36" s="65"/>
      <c r="G36" s="65"/>
      <c r="I36" s="2" t="s">
        <v>132</v>
      </c>
      <c r="J36" s="19" t="s">
        <v>7</v>
      </c>
      <c r="K36" s="8">
        <v>0.04</v>
      </c>
      <c r="M36"/>
      <c r="N36" t="s">
        <v>34</v>
      </c>
      <c r="O36">
        <v>1</v>
      </c>
      <c r="P36" s="34">
        <v>0.02</v>
      </c>
      <c r="Q36"/>
    </row>
    <row r="37" spans="1:17">
      <c r="A37" s="60"/>
      <c r="B37" s="60"/>
      <c r="D37" t="s">
        <v>67</v>
      </c>
      <c r="E37" s="2">
        <v>44</v>
      </c>
      <c r="F37" s="41">
        <f>E37*'Unit Price'!H19</f>
        <v>2.8479000000000001E-2</v>
      </c>
      <c r="I37" s="2" t="s">
        <v>2</v>
      </c>
      <c r="J37" s="2">
        <v>2</v>
      </c>
      <c r="K37" s="2">
        <v>0.02</v>
      </c>
      <c r="L37" s="26"/>
      <c r="M37" s="51" t="s">
        <v>84</v>
      </c>
      <c r="N37" s="51"/>
      <c r="O37" s="51"/>
      <c r="P37" s="51"/>
      <c r="Q37" s="51"/>
    </row>
    <row r="38" spans="1:17">
      <c r="A38" s="60"/>
      <c r="B38" s="60"/>
      <c r="H38" s="65" t="s">
        <v>43</v>
      </c>
      <c r="I38" s="65"/>
      <c r="J38" s="65"/>
      <c r="K38" s="65"/>
      <c r="L38" s="65"/>
      <c r="M38"/>
      <c r="N38" t="s">
        <v>44</v>
      </c>
      <c r="O38">
        <v>2</v>
      </c>
      <c r="P38" s="34">
        <v>0.02</v>
      </c>
      <c r="Q38"/>
    </row>
    <row r="39" spans="1:17">
      <c r="A39" s="60"/>
      <c r="B39" s="60"/>
      <c r="D39" s="49" t="s">
        <v>68</v>
      </c>
      <c r="F39" s="41">
        <f>SUM(F21:F35)</f>
        <v>5.627250000000001</v>
      </c>
      <c r="H39" s="26"/>
      <c r="I39" s="55" t="s">
        <v>44</v>
      </c>
      <c r="J39" s="12">
        <v>2</v>
      </c>
      <c r="K39" s="12">
        <v>0.02</v>
      </c>
      <c r="L39" s="26"/>
      <c r="M39"/>
      <c r="N39" t="s">
        <v>94</v>
      </c>
      <c r="O39" s="52" t="s">
        <v>7</v>
      </c>
      <c r="P39" s="34">
        <v>2.7E-2</v>
      </c>
      <c r="Q39"/>
    </row>
    <row r="40" spans="1:17">
      <c r="A40" s="60"/>
      <c r="B40" s="60"/>
      <c r="D40" s="49" t="s">
        <v>69</v>
      </c>
      <c r="F40" s="41">
        <f>SUM(F4:F7,F9:F10,F12,F14:F15,F17:F19)+F37</f>
        <v>2.3456289999999997</v>
      </c>
      <c r="I40" t="s">
        <v>45</v>
      </c>
      <c r="J40" s="12">
        <v>1</v>
      </c>
      <c r="K40" s="12">
        <v>0.27</v>
      </c>
      <c r="M40"/>
      <c r="N40" t="s">
        <v>95</v>
      </c>
      <c r="O40">
        <v>1</v>
      </c>
      <c r="P40" s="34">
        <v>0.01</v>
      </c>
      <c r="Q40"/>
    </row>
    <row r="41" spans="1:17">
      <c r="A41" s="60"/>
      <c r="B41" s="60"/>
      <c r="D41" s="50" t="s">
        <v>70</v>
      </c>
      <c r="E41" s="18"/>
      <c r="F41" s="44">
        <f>SUM(F39:F40)</f>
        <v>7.9728790000000007</v>
      </c>
      <c r="I41" t="s">
        <v>46</v>
      </c>
      <c r="J41" s="12">
        <v>1</v>
      </c>
      <c r="K41" s="58">
        <v>0.3</v>
      </c>
      <c r="M41"/>
      <c r="N41" t="s">
        <v>96</v>
      </c>
      <c r="O41">
        <v>1</v>
      </c>
      <c r="P41" s="34">
        <v>7.0000000000000007E-2</v>
      </c>
      <c r="Q41"/>
    </row>
    <row r="42" spans="1:17">
      <c r="A42" s="60"/>
      <c r="B42" s="60"/>
      <c r="H42" s="61" t="s">
        <v>47</v>
      </c>
      <c r="I42" s="61"/>
      <c r="J42" s="61"/>
      <c r="K42" s="48" t="s">
        <v>49</v>
      </c>
      <c r="L42" s="48" t="s">
        <v>78</v>
      </c>
      <c r="M42"/>
      <c r="N42" t="s">
        <v>97</v>
      </c>
      <c r="O42">
        <v>1</v>
      </c>
      <c r="P42" s="34">
        <v>0.04</v>
      </c>
      <c r="Q42"/>
    </row>
    <row r="43" spans="1:17">
      <c r="A43" s="60"/>
      <c r="B43" s="60"/>
      <c r="H43" s="7"/>
      <c r="I43" s="7" t="s">
        <v>51</v>
      </c>
      <c r="J43" s="7"/>
      <c r="K43" s="59">
        <f>L43/60*0.549</f>
        <v>0.27450000000000002</v>
      </c>
      <c r="L43" s="2">
        <v>30</v>
      </c>
      <c r="M43" s="51" t="s">
        <v>47</v>
      </c>
      <c r="N43" s="51"/>
      <c r="O43" s="51"/>
      <c r="P43" s="48" t="s">
        <v>49</v>
      </c>
      <c r="Q43" s="48" t="s">
        <v>78</v>
      </c>
    </row>
    <row r="44" spans="1:17">
      <c r="A44" s="60"/>
      <c r="B44" s="60"/>
      <c r="I44" s="2" t="s">
        <v>54</v>
      </c>
      <c r="K44" s="59">
        <f t="shared" ref="K44:K56" si="4">L44/60*0.549</f>
        <v>0.54900000000000004</v>
      </c>
      <c r="L44" s="2">
        <v>60</v>
      </c>
      <c r="M44"/>
      <c r="N44" t="s">
        <v>52</v>
      </c>
      <c r="O44"/>
      <c r="P44" s="34">
        <f>Q44/60*0.549</f>
        <v>0.54900000000000004</v>
      </c>
      <c r="Q44">
        <v>60</v>
      </c>
    </row>
    <row r="45" spans="1:17">
      <c r="A45" s="60"/>
      <c r="B45" s="60"/>
      <c r="I45" s="8" t="s">
        <v>52</v>
      </c>
      <c r="K45" s="59">
        <f t="shared" si="4"/>
        <v>0.82350000000000012</v>
      </c>
      <c r="L45" s="8">
        <v>90</v>
      </c>
      <c r="M45"/>
      <c r="N45" t="s">
        <v>75</v>
      </c>
      <c r="O45"/>
      <c r="P45" s="34">
        <f t="shared" ref="P45:P51" si="5">Q45/60*0.549</f>
        <v>0.27450000000000002</v>
      </c>
      <c r="Q45">
        <v>30</v>
      </c>
    </row>
    <row r="46" spans="1:17">
      <c r="A46" s="60"/>
      <c r="B46" s="60"/>
      <c r="I46" s="2" t="s">
        <v>55</v>
      </c>
      <c r="K46" s="59">
        <f t="shared" si="4"/>
        <v>0.54900000000000004</v>
      </c>
      <c r="L46" s="8">
        <v>60</v>
      </c>
      <c r="M46"/>
      <c r="N46" t="s">
        <v>54</v>
      </c>
      <c r="O46"/>
      <c r="P46" s="34">
        <f t="shared" si="5"/>
        <v>0.54900000000000004</v>
      </c>
      <c r="Q46">
        <v>60</v>
      </c>
    </row>
    <row r="47" spans="1:17">
      <c r="A47" s="60"/>
      <c r="B47" s="60"/>
      <c r="I47" s="2" t="s">
        <v>56</v>
      </c>
      <c r="J47" s="26"/>
      <c r="K47" s="59">
        <f t="shared" si="4"/>
        <v>0.13725000000000001</v>
      </c>
      <c r="L47" s="8">
        <v>15</v>
      </c>
      <c r="M47"/>
      <c r="N47" t="s">
        <v>55</v>
      </c>
      <c r="O47"/>
      <c r="P47" s="34">
        <f t="shared" si="5"/>
        <v>0.54900000000000004</v>
      </c>
      <c r="Q47">
        <v>60</v>
      </c>
    </row>
    <row r="48" spans="1:17">
      <c r="A48" s="60"/>
      <c r="B48" s="60"/>
      <c r="I48" s="2" t="s">
        <v>57</v>
      </c>
      <c r="K48" s="59">
        <f t="shared" si="4"/>
        <v>0.27450000000000002</v>
      </c>
      <c r="L48" s="8">
        <v>30</v>
      </c>
      <c r="M48"/>
      <c r="N48" t="s">
        <v>98</v>
      </c>
      <c r="O48"/>
      <c r="P48" s="34">
        <f t="shared" si="5"/>
        <v>0.13725000000000001</v>
      </c>
      <c r="Q48">
        <v>15</v>
      </c>
    </row>
    <row r="49" spans="1:17">
      <c r="A49" s="60"/>
      <c r="B49" s="60"/>
      <c r="I49" s="2" t="s">
        <v>133</v>
      </c>
      <c r="K49" s="59">
        <f t="shared" si="4"/>
        <v>0.54900000000000004</v>
      </c>
      <c r="L49" s="8">
        <v>60</v>
      </c>
      <c r="M49"/>
      <c r="N49" t="s">
        <v>5</v>
      </c>
      <c r="O49"/>
      <c r="P49" s="34">
        <f t="shared" si="5"/>
        <v>0.27450000000000002</v>
      </c>
      <c r="Q49">
        <v>30</v>
      </c>
    </row>
    <row r="50" spans="1:17">
      <c r="A50" s="60"/>
      <c r="B50" s="60"/>
      <c r="I50" s="2" t="s">
        <v>134</v>
      </c>
      <c r="K50" s="59">
        <f t="shared" si="4"/>
        <v>0.41175000000000006</v>
      </c>
      <c r="L50" s="8">
        <v>45</v>
      </c>
      <c r="M50"/>
      <c r="N50" t="s">
        <v>91</v>
      </c>
      <c r="O50"/>
      <c r="P50" s="34">
        <f t="shared" si="5"/>
        <v>0.41175000000000006</v>
      </c>
      <c r="Q50">
        <v>45</v>
      </c>
    </row>
    <row r="51" spans="1:17">
      <c r="A51" s="60"/>
      <c r="B51" s="60"/>
      <c r="I51" s="2" t="s">
        <v>121</v>
      </c>
      <c r="K51" s="59">
        <f t="shared" si="4"/>
        <v>0.82350000000000012</v>
      </c>
      <c r="L51" s="8">
        <v>90</v>
      </c>
      <c r="M51"/>
      <c r="N51" t="s">
        <v>65</v>
      </c>
      <c r="O51"/>
      <c r="P51" s="34">
        <f t="shared" si="5"/>
        <v>0.54900000000000004</v>
      </c>
      <c r="Q51">
        <v>60</v>
      </c>
    </row>
    <row r="52" spans="1:17">
      <c r="A52" s="60"/>
      <c r="B52" s="60"/>
      <c r="I52" s="2" t="s">
        <v>135</v>
      </c>
      <c r="K52" s="59">
        <f t="shared" si="4"/>
        <v>0.13725000000000001</v>
      </c>
      <c r="L52" s="8">
        <v>15</v>
      </c>
      <c r="M52" s="65" t="s">
        <v>66</v>
      </c>
      <c r="N52" s="65"/>
      <c r="O52" s="65"/>
      <c r="P52" s="65"/>
      <c r="Q52" s="65"/>
    </row>
    <row r="53" spans="1:17">
      <c r="A53" s="60"/>
      <c r="B53" s="60"/>
      <c r="I53" s="2" t="s">
        <v>62</v>
      </c>
      <c r="K53" s="59">
        <f t="shared" si="4"/>
        <v>0.27450000000000002</v>
      </c>
      <c r="L53" s="8">
        <v>30</v>
      </c>
      <c r="N53" t="s">
        <v>67</v>
      </c>
      <c r="O53" s="2">
        <v>48</v>
      </c>
      <c r="P53" s="2">
        <f>O53*'Unit Price'!H19</f>
        <v>3.1068000000000002E-2</v>
      </c>
    </row>
    <row r="54" spans="1:17">
      <c r="A54" s="60"/>
      <c r="B54" s="60"/>
      <c r="I54" s="2" t="s">
        <v>63</v>
      </c>
      <c r="K54" s="59">
        <f t="shared" si="4"/>
        <v>0.13725000000000001</v>
      </c>
      <c r="L54" s="8">
        <v>15</v>
      </c>
    </row>
    <row r="55" spans="1:17">
      <c r="A55" s="60"/>
      <c r="B55" s="60"/>
      <c r="I55" s="2" t="s">
        <v>64</v>
      </c>
      <c r="K55" s="59">
        <f t="shared" si="4"/>
        <v>0.41175000000000006</v>
      </c>
      <c r="L55" s="8">
        <v>45</v>
      </c>
      <c r="N55" s="49" t="s">
        <v>68</v>
      </c>
      <c r="P55" s="41">
        <f>SUM(P44:P51)</f>
        <v>3.294</v>
      </c>
    </row>
    <row r="56" spans="1:17">
      <c r="A56" s="60"/>
      <c r="B56" s="60"/>
      <c r="I56" s="8" t="s">
        <v>127</v>
      </c>
      <c r="K56" s="59">
        <f t="shared" si="4"/>
        <v>0.54900000000000004</v>
      </c>
      <c r="L56" s="2">
        <v>60</v>
      </c>
      <c r="N56" s="49" t="s">
        <v>69</v>
      </c>
      <c r="P56" s="41">
        <f>SUM(P33:P36,P38:P42)+P53</f>
        <v>0.36521799999999999</v>
      </c>
    </row>
    <row r="57" spans="1:17">
      <c r="A57" s="60"/>
      <c r="B57" s="60"/>
      <c r="H57" s="65" t="s">
        <v>66</v>
      </c>
      <c r="I57" s="65"/>
      <c r="J57" s="65"/>
      <c r="K57" s="65"/>
      <c r="L57" s="65"/>
      <c r="N57" s="50" t="s">
        <v>92</v>
      </c>
      <c r="O57" s="18"/>
      <c r="P57" s="44">
        <f>SUM(P55:P56)</f>
        <v>3.6592180000000001</v>
      </c>
    </row>
    <row r="58" spans="1:17">
      <c r="A58" s="60"/>
      <c r="B58" s="60"/>
      <c r="I58" t="s">
        <v>67</v>
      </c>
      <c r="J58" s="2">
        <v>30</v>
      </c>
      <c r="K58" s="41">
        <f>J58*'Unit Price'!H19</f>
        <v>1.9417500000000001E-2</v>
      </c>
    </row>
    <row r="59" spans="1:17">
      <c r="A59" s="60"/>
      <c r="B59" s="60"/>
      <c r="M59" s="68" t="s">
        <v>23</v>
      </c>
      <c r="N59" s="68"/>
      <c r="O59" s="68"/>
      <c r="P59" s="68"/>
      <c r="Q59" s="68"/>
    </row>
    <row r="60" spans="1:17">
      <c r="A60" s="60"/>
      <c r="B60" s="60"/>
      <c r="I60" s="49" t="s">
        <v>68</v>
      </c>
      <c r="K60" s="41">
        <f>SUM(K43:K56)</f>
        <v>5.9017500000000007</v>
      </c>
      <c r="M60" s="68" t="s">
        <v>100</v>
      </c>
      <c r="N60" s="68"/>
      <c r="O60" s="68"/>
      <c r="P60" s="68"/>
      <c r="Q60" s="68"/>
    </row>
    <row r="61" spans="1:17">
      <c r="A61" s="60"/>
      <c r="B61" s="60"/>
      <c r="I61" s="49" t="s">
        <v>69</v>
      </c>
      <c r="K61" s="41">
        <f>SUM(K28:K29,K31:K32,K34,K36:K37,K39:K41)+K58</f>
        <v>2.3164175</v>
      </c>
      <c r="M61" s="48"/>
      <c r="N61" s="48" t="s">
        <v>93</v>
      </c>
      <c r="O61" s="48" t="s">
        <v>29</v>
      </c>
      <c r="P61" s="48" t="s">
        <v>50</v>
      </c>
      <c r="Q61" s="48" t="s">
        <v>78</v>
      </c>
    </row>
    <row r="62" spans="1:17">
      <c r="A62" s="60"/>
      <c r="B62" s="60"/>
      <c r="I62" s="50" t="s">
        <v>81</v>
      </c>
      <c r="J62" s="18"/>
      <c r="K62" s="44">
        <f>SUM(K60:K61)</f>
        <v>8.2181674999999998</v>
      </c>
      <c r="M62" s="65" t="s">
        <v>36</v>
      </c>
      <c r="N62" s="65"/>
      <c r="O62" s="65"/>
      <c r="P62" s="65"/>
      <c r="Q62" s="65"/>
    </row>
    <row r="63" spans="1:17">
      <c r="M63"/>
      <c r="N63" t="s">
        <v>31</v>
      </c>
      <c r="O63">
        <v>1</v>
      </c>
      <c r="P63" s="34">
        <v>0.14000000000000001</v>
      </c>
      <c r="Q63"/>
    </row>
    <row r="64" spans="1:17">
      <c r="A64" s="46" t="s">
        <v>103</v>
      </c>
      <c r="M64"/>
      <c r="N64" t="s">
        <v>32</v>
      </c>
      <c r="O64" s="52" t="s">
        <v>7</v>
      </c>
      <c r="P64" s="34">
        <v>7.0000000000000001E-3</v>
      </c>
      <c r="Q64"/>
    </row>
    <row r="65" spans="13:17">
      <c r="M65"/>
      <c r="N65" t="s">
        <v>33</v>
      </c>
      <c r="O65" s="52" t="s">
        <v>8</v>
      </c>
      <c r="P65" s="34">
        <v>1.4999999999999999E-4</v>
      </c>
      <c r="Q65"/>
    </row>
    <row r="66" spans="13:17">
      <c r="M66"/>
      <c r="N66" t="s">
        <v>34</v>
      </c>
      <c r="O66">
        <v>1</v>
      </c>
      <c r="P66" s="34">
        <v>0.02</v>
      </c>
      <c r="Q66"/>
    </row>
    <row r="67" spans="13:17">
      <c r="M67" s="65" t="s">
        <v>84</v>
      </c>
      <c r="N67" s="65"/>
      <c r="O67" s="65"/>
      <c r="P67" s="65"/>
      <c r="Q67" s="65"/>
    </row>
    <row r="68" spans="13:17">
      <c r="M68"/>
      <c r="N68" t="s">
        <v>2</v>
      </c>
      <c r="O68">
        <v>2</v>
      </c>
      <c r="P68" s="34">
        <v>0.02</v>
      </c>
      <c r="Q68"/>
    </row>
    <row r="69" spans="13:17">
      <c r="M69"/>
      <c r="N69" t="s">
        <v>85</v>
      </c>
      <c r="O69" s="52" t="s">
        <v>7</v>
      </c>
      <c r="P69" s="34">
        <v>6.6E-3</v>
      </c>
      <c r="Q69"/>
    </row>
    <row r="70" spans="13:17">
      <c r="M70"/>
      <c r="N70" t="s">
        <v>86</v>
      </c>
      <c r="O70">
        <v>1</v>
      </c>
      <c r="P70" s="34">
        <v>0.94</v>
      </c>
      <c r="Q70"/>
    </row>
    <row r="71" spans="13:17">
      <c r="M71"/>
      <c r="N71" t="s">
        <v>87</v>
      </c>
      <c r="O71">
        <v>8</v>
      </c>
      <c r="P71" s="34">
        <f>O71*0.004</f>
        <v>3.2000000000000001E-2</v>
      </c>
      <c r="Q71"/>
    </row>
    <row r="72" spans="13:17">
      <c r="M72" s="53" t="s">
        <v>47</v>
      </c>
      <c r="N72" s="53"/>
      <c r="O72" s="53"/>
      <c r="P72" s="48" t="s">
        <v>49</v>
      </c>
      <c r="Q72" s="48" t="s">
        <v>78</v>
      </c>
    </row>
    <row r="73" spans="13:17">
      <c r="M73"/>
      <c r="N73" t="s">
        <v>52</v>
      </c>
      <c r="O73"/>
      <c r="P73" s="34">
        <f>Q73/60*0.549</f>
        <v>0.27450000000000002</v>
      </c>
      <c r="Q73">
        <v>30</v>
      </c>
    </row>
    <row r="74" spans="13:17">
      <c r="M74"/>
      <c r="N74" t="s">
        <v>75</v>
      </c>
      <c r="O74"/>
      <c r="P74" s="34">
        <f t="shared" ref="P74:P79" si="6">Q74/60*0.549</f>
        <v>0.27450000000000002</v>
      </c>
      <c r="Q74">
        <v>30</v>
      </c>
    </row>
    <row r="75" spans="13:17">
      <c r="M75"/>
      <c r="N75" t="s">
        <v>88</v>
      </c>
      <c r="O75"/>
      <c r="P75" s="34">
        <f t="shared" si="6"/>
        <v>0.54900000000000004</v>
      </c>
      <c r="Q75">
        <v>60</v>
      </c>
    </row>
    <row r="76" spans="13:17">
      <c r="M76"/>
      <c r="N76" t="s">
        <v>89</v>
      </c>
      <c r="O76"/>
      <c r="P76" s="34">
        <f t="shared" si="6"/>
        <v>0.54900000000000004</v>
      </c>
      <c r="Q76">
        <v>60</v>
      </c>
    </row>
    <row r="77" spans="13:17">
      <c r="M77"/>
      <c r="N77" t="s">
        <v>90</v>
      </c>
      <c r="O77"/>
      <c r="P77" s="34">
        <f t="shared" si="6"/>
        <v>0.27450000000000002</v>
      </c>
      <c r="Q77">
        <v>30</v>
      </c>
    </row>
    <row r="78" spans="13:17">
      <c r="M78"/>
      <c r="N78" t="s">
        <v>91</v>
      </c>
      <c r="O78"/>
      <c r="P78" s="34">
        <f t="shared" si="6"/>
        <v>0.41175000000000006</v>
      </c>
      <c r="Q78">
        <v>45</v>
      </c>
    </row>
    <row r="79" spans="13:17">
      <c r="M79"/>
      <c r="N79" t="s">
        <v>65</v>
      </c>
      <c r="O79"/>
      <c r="P79" s="34">
        <f t="shared" si="6"/>
        <v>0.54900000000000004</v>
      </c>
      <c r="Q79">
        <v>60</v>
      </c>
    </row>
    <row r="80" spans="13:17">
      <c r="M80" s="65" t="s">
        <v>66</v>
      </c>
      <c r="N80" s="65"/>
      <c r="O80" s="65"/>
      <c r="P80" s="65"/>
      <c r="Q80" s="65"/>
    </row>
    <row r="81" spans="13:17">
      <c r="N81" t="s">
        <v>67</v>
      </c>
      <c r="O81" s="2">
        <v>64</v>
      </c>
      <c r="P81" s="2">
        <f>O81*'Unit Price'!H19</f>
        <v>4.1424000000000002E-2</v>
      </c>
    </row>
    <row r="83" spans="13:17">
      <c r="N83" s="49" t="s">
        <v>68</v>
      </c>
      <c r="P83" s="41">
        <f>(SUM(P73:P79))</f>
        <v>2.8822500000000004</v>
      </c>
    </row>
    <row r="84" spans="13:17">
      <c r="N84" s="49" t="s">
        <v>69</v>
      </c>
      <c r="P84" s="41">
        <f>(SUM(P63:P66,P68:P71))+P81</f>
        <v>1.207174</v>
      </c>
    </row>
    <row r="85" spans="13:17">
      <c r="N85" s="50" t="s">
        <v>92</v>
      </c>
      <c r="O85" s="18"/>
      <c r="P85" s="44">
        <f>SUM(P83:P84)</f>
        <v>4.0894240000000002</v>
      </c>
    </row>
    <row r="87" spans="13:17">
      <c r="M87" s="68" t="s">
        <v>99</v>
      </c>
      <c r="N87" s="68"/>
      <c r="O87" s="68"/>
      <c r="P87" s="68"/>
      <c r="Q87" s="68"/>
    </row>
    <row r="88" spans="13:17">
      <c r="M88" s="48"/>
      <c r="N88" s="48" t="s">
        <v>93</v>
      </c>
      <c r="O88" s="48" t="s">
        <v>29</v>
      </c>
      <c r="P88" s="48" t="s">
        <v>50</v>
      </c>
      <c r="Q88" s="48" t="s">
        <v>78</v>
      </c>
    </row>
    <row r="89" spans="13:17">
      <c r="M89" s="65" t="s">
        <v>47</v>
      </c>
      <c r="N89" s="65"/>
      <c r="O89" s="65"/>
      <c r="P89" s="65"/>
      <c r="Q89" s="65"/>
    </row>
    <row r="90" spans="13:17">
      <c r="M90"/>
      <c r="N90" t="s">
        <v>101</v>
      </c>
      <c r="O90"/>
      <c r="P90" s="34">
        <f>Q90/60*0.549</f>
        <v>2.7450000000000001</v>
      </c>
      <c r="Q90">
        <v>300</v>
      </c>
    </row>
    <row r="91" spans="13:17">
      <c r="M91"/>
      <c r="N91" t="s">
        <v>102</v>
      </c>
      <c r="O91"/>
      <c r="P91" s="34">
        <f t="shared" ref="P91" si="7">Q91/60*0.549</f>
        <v>2.7450000000000001</v>
      </c>
      <c r="Q91">
        <v>300</v>
      </c>
    </row>
    <row r="93" spans="13:17">
      <c r="N93" s="50" t="s">
        <v>92</v>
      </c>
      <c r="P93" s="28">
        <f>SUM(P90:P91)</f>
        <v>5.49</v>
      </c>
    </row>
  </sheetData>
  <mergeCells count="42">
    <mergeCell ref="M80:Q80"/>
    <mergeCell ref="M87:Q87"/>
    <mergeCell ref="M89:Q89"/>
    <mergeCell ref="M59:Q59"/>
    <mergeCell ref="M60:Q60"/>
    <mergeCell ref="M62:Q62"/>
    <mergeCell ref="M67:Q67"/>
    <mergeCell ref="R1:V1"/>
    <mergeCell ref="H2:L2"/>
    <mergeCell ref="M2:Q2"/>
    <mergeCell ref="C3:G3"/>
    <mergeCell ref="M3:Q3"/>
    <mergeCell ref="R2:V2"/>
    <mergeCell ref="C1:G1"/>
    <mergeCell ref="H1:L1"/>
    <mergeCell ref="M1:Q1"/>
    <mergeCell ref="A1:B62"/>
    <mergeCell ref="C16:G16"/>
    <mergeCell ref="C20:E20"/>
    <mergeCell ref="H25:L25"/>
    <mergeCell ref="M30:Q30"/>
    <mergeCell ref="H42:J42"/>
    <mergeCell ref="C36:G36"/>
    <mergeCell ref="H18:L18"/>
    <mergeCell ref="H57:L57"/>
    <mergeCell ref="M23:Q23"/>
    <mergeCell ref="M52:Q52"/>
    <mergeCell ref="H4:L4"/>
    <mergeCell ref="H12:J12"/>
    <mergeCell ref="C13:G13"/>
    <mergeCell ref="H9:L9"/>
    <mergeCell ref="R4:V4"/>
    <mergeCell ref="C11:G11"/>
    <mergeCell ref="R26:V26"/>
    <mergeCell ref="R13:V13"/>
    <mergeCell ref="R9:V9"/>
    <mergeCell ref="M10:Q10"/>
    <mergeCell ref="H38:L38"/>
    <mergeCell ref="M15:O15"/>
    <mergeCell ref="R15:T15"/>
    <mergeCell ref="M5:Q5"/>
    <mergeCell ref="C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93"/>
  <sheetViews>
    <sheetView zoomScale="80" zoomScaleNormal="80" workbookViewId="0">
      <selection activeCell="C2" sqref="C2"/>
    </sheetView>
  </sheetViews>
  <sheetFormatPr defaultColWidth="10.796875" defaultRowHeight="15.6"/>
  <cols>
    <col min="1" max="3" width="10.796875" style="2"/>
    <col min="4" max="4" width="21.5" style="2" customWidth="1"/>
    <col min="5" max="8" width="10.796875" style="2"/>
    <col min="9" max="9" width="21.5" style="2" customWidth="1"/>
    <col min="10" max="10" width="15" style="2" customWidth="1"/>
    <col min="11" max="11" width="10.796875" style="2"/>
    <col min="12" max="12" width="13.69921875" style="2" customWidth="1"/>
    <col min="13" max="13" width="10.796875" style="2"/>
    <col min="14" max="14" width="21.5" style="2" customWidth="1"/>
    <col min="15" max="16" width="10.796875" style="2"/>
    <col min="17" max="17" width="14.296875" style="2" customWidth="1"/>
    <col min="18" max="18" width="10.796875" style="2"/>
    <col min="19" max="19" width="21.5" style="2" customWidth="1"/>
    <col min="20" max="21" width="10.796875" style="2"/>
    <col min="22" max="22" width="16.69921875" style="2" customWidth="1"/>
    <col min="23" max="16384" width="10.796875" style="2"/>
  </cols>
  <sheetData>
    <row r="1" spans="1:22" ht="24" customHeight="1">
      <c r="A1" s="66" t="s">
        <v>115</v>
      </c>
      <c r="B1" s="66"/>
      <c r="C1" s="67" t="s">
        <v>30</v>
      </c>
      <c r="D1" s="67"/>
      <c r="E1" s="67"/>
      <c r="F1" s="67"/>
      <c r="G1" s="67"/>
      <c r="H1" s="67" t="s">
        <v>71</v>
      </c>
      <c r="I1" s="67"/>
      <c r="J1" s="67"/>
      <c r="K1" s="67"/>
      <c r="L1" s="67"/>
      <c r="M1" s="67" t="s">
        <v>3</v>
      </c>
      <c r="N1" s="67"/>
      <c r="O1" s="67"/>
      <c r="P1" s="67"/>
      <c r="Q1" s="67"/>
      <c r="R1" s="67" t="s">
        <v>105</v>
      </c>
      <c r="S1" s="67"/>
      <c r="T1" s="67"/>
      <c r="U1" s="67"/>
      <c r="V1" s="67"/>
    </row>
    <row r="2" spans="1:22">
      <c r="A2" s="66"/>
      <c r="B2" s="66"/>
      <c r="C2"/>
      <c r="D2" s="48" t="s">
        <v>93</v>
      </c>
      <c r="E2" s="48" t="s">
        <v>29</v>
      </c>
      <c r="F2" s="48" t="s">
        <v>50</v>
      </c>
      <c r="G2" s="48" t="s">
        <v>78</v>
      </c>
      <c r="H2" s="68" t="s">
        <v>28</v>
      </c>
      <c r="I2" s="68"/>
      <c r="J2" s="68"/>
      <c r="K2" s="68"/>
      <c r="L2" s="68"/>
      <c r="M2" s="68" t="s">
        <v>82</v>
      </c>
      <c r="N2" s="69"/>
      <c r="O2" s="69"/>
      <c r="P2" s="69"/>
      <c r="Q2" s="69"/>
      <c r="R2" s="68" t="s">
        <v>128</v>
      </c>
      <c r="S2" s="68"/>
      <c r="T2" s="68"/>
      <c r="U2" s="68"/>
      <c r="V2" s="68"/>
    </row>
    <row r="3" spans="1:22">
      <c r="A3" s="66"/>
      <c r="B3" s="66"/>
      <c r="C3" s="65" t="s">
        <v>36</v>
      </c>
      <c r="D3" s="65"/>
      <c r="E3" s="65"/>
      <c r="F3" s="65"/>
      <c r="G3" s="65"/>
      <c r="H3" s="48"/>
      <c r="I3" s="48" t="s">
        <v>93</v>
      </c>
      <c r="J3" s="48" t="s">
        <v>29</v>
      </c>
      <c r="K3" s="48" t="s">
        <v>50</v>
      </c>
      <c r="L3" s="48" t="s">
        <v>78</v>
      </c>
      <c r="M3" s="68" t="s">
        <v>83</v>
      </c>
      <c r="N3" s="68"/>
      <c r="O3" s="68"/>
      <c r="P3" s="68"/>
      <c r="Q3" s="68"/>
      <c r="R3" s="48"/>
      <c r="S3" s="48" t="s">
        <v>93</v>
      </c>
      <c r="T3" s="48" t="s">
        <v>29</v>
      </c>
      <c r="U3" s="48" t="s">
        <v>50</v>
      </c>
      <c r="V3" s="48" t="s">
        <v>78</v>
      </c>
    </row>
    <row r="4" spans="1:22">
      <c r="A4" s="66"/>
      <c r="B4" s="66"/>
      <c r="C4"/>
      <c r="D4" t="s">
        <v>31</v>
      </c>
      <c r="E4">
        <v>1</v>
      </c>
      <c r="F4">
        <v>0.14000000000000001</v>
      </c>
      <c r="G4"/>
      <c r="H4" s="65" t="s">
        <v>36</v>
      </c>
      <c r="I4" s="65"/>
      <c r="J4" s="65"/>
      <c r="K4" s="65"/>
      <c r="L4" s="65"/>
      <c r="M4" s="48"/>
      <c r="N4" s="48" t="s">
        <v>93</v>
      </c>
      <c r="O4" s="48" t="s">
        <v>29</v>
      </c>
      <c r="P4" s="48" t="s">
        <v>50</v>
      </c>
      <c r="Q4" s="48" t="s">
        <v>78</v>
      </c>
      <c r="R4" s="65" t="s">
        <v>36</v>
      </c>
      <c r="S4" s="65"/>
      <c r="T4" s="65"/>
      <c r="U4" s="65"/>
      <c r="V4" s="65"/>
    </row>
    <row r="5" spans="1:22">
      <c r="A5" s="66"/>
      <c r="B5" s="66"/>
      <c r="C5"/>
      <c r="D5" t="s">
        <v>32</v>
      </c>
      <c r="E5" s="52" t="s">
        <v>7</v>
      </c>
      <c r="F5" s="34">
        <v>7.0000000000000001E-3</v>
      </c>
      <c r="G5"/>
      <c r="I5" t="s">
        <v>31</v>
      </c>
      <c r="J5" s="2">
        <v>1</v>
      </c>
      <c r="K5" s="41">
        <v>0.14000000000000001</v>
      </c>
      <c r="M5" s="65" t="s">
        <v>36</v>
      </c>
      <c r="N5" s="65"/>
      <c r="O5" s="65"/>
      <c r="P5" s="65"/>
      <c r="Q5" s="65"/>
      <c r="R5"/>
      <c r="S5" t="s">
        <v>31</v>
      </c>
      <c r="T5">
        <v>3</v>
      </c>
      <c r="U5" s="54">
        <v>0.42</v>
      </c>
      <c r="V5"/>
    </row>
    <row r="6" spans="1:22">
      <c r="A6" s="66"/>
      <c r="B6" s="66"/>
      <c r="C6"/>
      <c r="D6" t="s">
        <v>33</v>
      </c>
      <c r="E6" s="52" t="s">
        <v>8</v>
      </c>
      <c r="F6" s="34">
        <v>1.4999999999999999E-4</v>
      </c>
      <c r="G6"/>
      <c r="I6" t="s">
        <v>32</v>
      </c>
      <c r="J6" s="19" t="s">
        <v>7</v>
      </c>
      <c r="K6" s="41">
        <v>7.0000000000000001E-3</v>
      </c>
      <c r="N6" t="s">
        <v>31</v>
      </c>
      <c r="O6" s="2">
        <v>1</v>
      </c>
      <c r="P6" s="41">
        <v>0.14000000000000001</v>
      </c>
      <c r="R6"/>
      <c r="S6" t="s">
        <v>32</v>
      </c>
      <c r="T6" s="52" t="s">
        <v>12</v>
      </c>
      <c r="U6" s="54">
        <v>2.1000000000000001E-2</v>
      </c>
      <c r="V6"/>
    </row>
    <row r="7" spans="1:22">
      <c r="A7" s="66"/>
      <c r="B7" s="66"/>
      <c r="C7"/>
      <c r="D7" t="s">
        <v>34</v>
      </c>
      <c r="E7">
        <v>1</v>
      </c>
      <c r="F7">
        <v>0.02</v>
      </c>
      <c r="G7"/>
      <c r="I7" t="s">
        <v>33</v>
      </c>
      <c r="J7" s="19" t="s">
        <v>8</v>
      </c>
      <c r="K7" s="41">
        <v>1.4999999999999999E-4</v>
      </c>
      <c r="N7" t="s">
        <v>32</v>
      </c>
      <c r="O7" s="19" t="s">
        <v>7</v>
      </c>
      <c r="P7" s="41">
        <v>7.0000000000000001E-3</v>
      </c>
      <c r="R7"/>
      <c r="S7" t="s">
        <v>33</v>
      </c>
      <c r="T7" s="52" t="s">
        <v>13</v>
      </c>
      <c r="U7" s="54">
        <v>4.4999999999999999E-4</v>
      </c>
      <c r="V7"/>
    </row>
    <row r="8" spans="1:22">
      <c r="A8" s="66"/>
      <c r="B8" s="66"/>
      <c r="C8" s="65" t="s">
        <v>40</v>
      </c>
      <c r="D8" s="65"/>
      <c r="E8" s="65"/>
      <c r="F8" s="65"/>
      <c r="G8" s="65"/>
      <c r="I8" t="s">
        <v>34</v>
      </c>
      <c r="J8" s="2">
        <v>1</v>
      </c>
      <c r="K8" s="2">
        <v>0.02</v>
      </c>
      <c r="N8" t="s">
        <v>33</v>
      </c>
      <c r="O8" s="19" t="s">
        <v>8</v>
      </c>
      <c r="P8" s="41">
        <v>1.4999999999999999E-4</v>
      </c>
      <c r="R8"/>
      <c r="S8" t="s">
        <v>34</v>
      </c>
      <c r="T8">
        <v>3</v>
      </c>
      <c r="U8" s="54">
        <v>0.06</v>
      </c>
      <c r="V8"/>
    </row>
    <row r="9" spans="1:22">
      <c r="A9" s="66"/>
      <c r="B9" s="66"/>
      <c r="C9" s="7"/>
      <c r="D9" s="55" t="s">
        <v>44</v>
      </c>
      <c r="E9" s="16">
        <v>2</v>
      </c>
      <c r="F9" s="8">
        <v>0.02</v>
      </c>
      <c r="G9" s="7"/>
      <c r="H9" s="65" t="s">
        <v>72</v>
      </c>
      <c r="I9" s="65"/>
      <c r="J9" s="65"/>
      <c r="K9" s="65"/>
      <c r="L9" s="65"/>
      <c r="N9" t="s">
        <v>34</v>
      </c>
      <c r="O9" s="2">
        <v>1</v>
      </c>
      <c r="P9" s="41">
        <v>0.02</v>
      </c>
      <c r="R9" s="65" t="s">
        <v>106</v>
      </c>
      <c r="S9" s="65"/>
      <c r="T9" s="65"/>
      <c r="U9" s="65"/>
      <c r="V9" s="65"/>
    </row>
    <row r="10" spans="1:22">
      <c r="A10" s="66"/>
      <c r="B10" s="66"/>
      <c r="C10" s="7"/>
      <c r="D10" s="55" t="s">
        <v>94</v>
      </c>
      <c r="E10" s="19" t="s">
        <v>7</v>
      </c>
      <c r="F10" s="41">
        <v>2.7E-2</v>
      </c>
      <c r="G10" s="7"/>
      <c r="I10" t="s">
        <v>2</v>
      </c>
      <c r="J10" s="2">
        <v>1</v>
      </c>
      <c r="K10" s="42">
        <v>0.01</v>
      </c>
      <c r="M10" s="65" t="s">
        <v>84</v>
      </c>
      <c r="N10" s="65"/>
      <c r="O10" s="65"/>
      <c r="P10" s="65"/>
      <c r="Q10" s="65"/>
      <c r="S10" s="8" t="s">
        <v>116</v>
      </c>
      <c r="T10" s="2">
        <v>6</v>
      </c>
      <c r="U10" s="41">
        <f>T10*'Unit Price'!E42</f>
        <v>1.62</v>
      </c>
    </row>
    <row r="11" spans="1:22">
      <c r="A11" s="66"/>
      <c r="B11" s="66"/>
      <c r="C11" s="7"/>
      <c r="D11" s="55" t="s">
        <v>116</v>
      </c>
      <c r="E11" s="12">
        <v>1</v>
      </c>
      <c r="F11" s="12">
        <f>E11*'Unit Price'!E42</f>
        <v>0.27</v>
      </c>
      <c r="G11" s="7"/>
      <c r="I11" t="s">
        <v>73</v>
      </c>
      <c r="J11" s="19" t="s">
        <v>11</v>
      </c>
      <c r="K11" s="42">
        <v>4.4000000000000003E-3</v>
      </c>
      <c r="N11" t="s">
        <v>2</v>
      </c>
      <c r="O11" s="2">
        <v>2</v>
      </c>
      <c r="P11" s="42">
        <v>0.02</v>
      </c>
      <c r="S11" s="8" t="s">
        <v>117</v>
      </c>
      <c r="T11" s="2">
        <v>3</v>
      </c>
      <c r="U11" s="41">
        <f>T11*'Unit Price'!E44</f>
        <v>0.66</v>
      </c>
    </row>
    <row r="12" spans="1:22">
      <c r="A12" s="66"/>
      <c r="B12" s="66"/>
      <c r="C12" s="7"/>
      <c r="D12" s="55" t="s">
        <v>117</v>
      </c>
      <c r="E12" s="12">
        <v>1</v>
      </c>
      <c r="F12" s="12">
        <f>E12*'Unit Price'!E44</f>
        <v>0.22</v>
      </c>
      <c r="G12" s="7"/>
      <c r="H12" s="65" t="s">
        <v>74</v>
      </c>
      <c r="I12" s="65"/>
      <c r="J12" s="65"/>
      <c r="K12" s="9"/>
      <c r="L12" s="27"/>
      <c r="N12" t="s">
        <v>85</v>
      </c>
      <c r="O12" s="19" t="s">
        <v>7</v>
      </c>
      <c r="P12" s="42">
        <v>6.6E-3</v>
      </c>
      <c r="R12" s="61" t="s">
        <v>108</v>
      </c>
      <c r="S12" s="61"/>
      <c r="T12" s="61"/>
      <c r="U12" s="61"/>
      <c r="V12" s="61"/>
    </row>
    <row r="13" spans="1:22">
      <c r="A13" s="66"/>
      <c r="B13" s="66"/>
      <c r="D13" t="s">
        <v>118</v>
      </c>
      <c r="E13" s="13">
        <v>1</v>
      </c>
      <c r="F13" s="16">
        <f>E13*'Unit Price'!E40</f>
        <v>2.65</v>
      </c>
      <c r="I13" t="s">
        <v>52</v>
      </c>
      <c r="K13" s="41">
        <f>L13/60*0.549</f>
        <v>0.27450000000000002</v>
      </c>
      <c r="L13" s="2">
        <v>30</v>
      </c>
      <c r="N13" t="s">
        <v>86</v>
      </c>
      <c r="O13" s="2">
        <v>1</v>
      </c>
      <c r="P13" s="42">
        <v>0.94</v>
      </c>
      <c r="S13" s="2" t="s">
        <v>108</v>
      </c>
      <c r="T13" s="2">
        <v>3</v>
      </c>
    </row>
    <row r="14" spans="1:22">
      <c r="A14" s="66"/>
      <c r="B14" s="66"/>
      <c r="C14" s="65" t="s">
        <v>42</v>
      </c>
      <c r="D14" s="65"/>
      <c r="E14" s="65"/>
      <c r="F14" s="65"/>
      <c r="G14" s="65"/>
      <c r="I14" t="s">
        <v>75</v>
      </c>
      <c r="K14" s="41">
        <f t="shared" ref="K14:K17" si="0">L14/60*0.549</f>
        <v>0.27450000000000002</v>
      </c>
      <c r="L14" s="2">
        <v>30</v>
      </c>
      <c r="N14" t="s">
        <v>87</v>
      </c>
      <c r="O14" s="8">
        <v>8</v>
      </c>
      <c r="P14" s="42">
        <f>O14*0.004</f>
        <v>3.2000000000000001E-2</v>
      </c>
      <c r="R14" s="61" t="s">
        <v>47</v>
      </c>
      <c r="S14" s="61"/>
      <c r="T14" s="61"/>
      <c r="U14" s="61"/>
      <c r="V14" s="61"/>
    </row>
    <row r="15" spans="1:22">
      <c r="A15" s="66"/>
      <c r="B15" s="66"/>
      <c r="C15"/>
      <c r="D15" t="s">
        <v>132</v>
      </c>
      <c r="E15" s="52" t="s">
        <v>7</v>
      </c>
      <c r="F15">
        <v>0.04</v>
      </c>
      <c r="G15"/>
      <c r="I15" t="s">
        <v>54</v>
      </c>
      <c r="K15" s="41">
        <f t="shared" si="0"/>
        <v>0.54900000000000004</v>
      </c>
      <c r="L15" s="2">
        <v>60</v>
      </c>
      <c r="M15" s="61" t="s">
        <v>47</v>
      </c>
      <c r="N15" s="61"/>
      <c r="O15" s="61"/>
      <c r="P15" s="61"/>
      <c r="Q15" s="61"/>
      <c r="S15" s="2" t="s">
        <v>52</v>
      </c>
      <c r="U15" s="41">
        <f>V15/60*0.549</f>
        <v>0.54900000000000004</v>
      </c>
      <c r="V15" s="2">
        <v>60</v>
      </c>
    </row>
    <row r="16" spans="1:22">
      <c r="A16" s="66"/>
      <c r="B16" s="66"/>
      <c r="C16"/>
      <c r="D16" t="s">
        <v>2</v>
      </c>
      <c r="E16">
        <v>2</v>
      </c>
      <c r="F16">
        <v>0.02</v>
      </c>
      <c r="G16"/>
      <c r="I16" t="s">
        <v>76</v>
      </c>
      <c r="K16" s="41">
        <f t="shared" si="0"/>
        <v>0.54900000000000004</v>
      </c>
      <c r="L16" s="8">
        <v>60</v>
      </c>
      <c r="N16" t="s">
        <v>52</v>
      </c>
      <c r="P16" s="41">
        <f>Q16/60*0.549</f>
        <v>0.27450000000000002</v>
      </c>
      <c r="Q16" s="2">
        <v>30</v>
      </c>
      <c r="S16" s="2" t="s">
        <v>75</v>
      </c>
      <c r="U16" s="41">
        <f t="shared" ref="U16:U24" si="1">V16/60*0.549</f>
        <v>0.27450000000000002</v>
      </c>
      <c r="V16" s="2">
        <v>30</v>
      </c>
    </row>
    <row r="17" spans="1:22">
      <c r="A17" s="66"/>
      <c r="B17" s="66"/>
      <c r="C17" s="65" t="s">
        <v>43</v>
      </c>
      <c r="D17" s="65"/>
      <c r="E17" s="65"/>
      <c r="F17" s="65"/>
      <c r="G17" s="65"/>
      <c r="I17" t="s">
        <v>77</v>
      </c>
      <c r="K17" s="41">
        <f t="shared" si="0"/>
        <v>0.41175000000000006</v>
      </c>
      <c r="L17" s="8">
        <v>45</v>
      </c>
      <c r="N17" t="s">
        <v>75</v>
      </c>
      <c r="P17" s="41">
        <f t="shared" ref="P17:P22" si="2">Q17/60*0.549</f>
        <v>0.27450000000000002</v>
      </c>
      <c r="Q17" s="2">
        <v>30</v>
      </c>
      <c r="S17" s="2" t="s">
        <v>130</v>
      </c>
      <c r="U17" s="41">
        <f t="shared" si="1"/>
        <v>0.54900000000000004</v>
      </c>
      <c r="V17" s="2">
        <v>60</v>
      </c>
    </row>
    <row r="18" spans="1:22">
      <c r="A18" s="66"/>
      <c r="B18" s="66"/>
      <c r="D18" t="s">
        <v>45</v>
      </c>
      <c r="E18" s="2">
        <v>1</v>
      </c>
      <c r="F18" s="2">
        <v>0.27</v>
      </c>
      <c r="H18" s="65" t="s">
        <v>66</v>
      </c>
      <c r="I18" s="65"/>
      <c r="J18" s="65"/>
      <c r="K18" s="65"/>
      <c r="L18" s="65"/>
      <c r="N18" t="s">
        <v>88</v>
      </c>
      <c r="P18" s="41">
        <f t="shared" si="2"/>
        <v>0.54900000000000004</v>
      </c>
      <c r="Q18" s="2">
        <v>60</v>
      </c>
      <c r="S18" s="2" t="s">
        <v>131</v>
      </c>
      <c r="U18" s="41">
        <f t="shared" si="1"/>
        <v>0.54900000000000004</v>
      </c>
      <c r="V18" s="8">
        <v>60</v>
      </c>
    </row>
    <row r="19" spans="1:22">
      <c r="A19" s="66"/>
      <c r="B19" s="66"/>
      <c r="D19" t="s">
        <v>46</v>
      </c>
      <c r="E19" s="2">
        <v>1</v>
      </c>
      <c r="F19" s="41">
        <v>0.3</v>
      </c>
      <c r="I19" t="s">
        <v>67</v>
      </c>
      <c r="J19" s="2">
        <v>30</v>
      </c>
      <c r="K19" s="41">
        <f>J19*'Unit Price'!H19</f>
        <v>1.9417500000000001E-2</v>
      </c>
      <c r="N19" t="s">
        <v>89</v>
      </c>
      <c r="P19" s="41">
        <f t="shared" si="2"/>
        <v>0.54900000000000004</v>
      </c>
      <c r="Q19" s="8">
        <v>60</v>
      </c>
      <c r="S19" s="8" t="s">
        <v>56</v>
      </c>
      <c r="U19" s="41">
        <f t="shared" si="1"/>
        <v>9.1499999999999998E-2</v>
      </c>
      <c r="V19" s="8">
        <v>10</v>
      </c>
    </row>
    <row r="20" spans="1:22">
      <c r="A20" s="66"/>
      <c r="B20" s="66"/>
      <c r="C20" s="65" t="s">
        <v>48</v>
      </c>
      <c r="D20" s="65"/>
      <c r="E20" s="65"/>
      <c r="F20" s="48" t="s">
        <v>49</v>
      </c>
      <c r="G20" s="48" t="s">
        <v>78</v>
      </c>
      <c r="K20" s="41"/>
      <c r="N20" t="s">
        <v>90</v>
      </c>
      <c r="P20" s="41">
        <f t="shared" si="2"/>
        <v>0.27450000000000002</v>
      </c>
      <c r="Q20" s="8">
        <v>30</v>
      </c>
      <c r="S20" s="8" t="s">
        <v>112</v>
      </c>
      <c r="U20" s="41">
        <f t="shared" si="1"/>
        <v>0.27450000000000002</v>
      </c>
      <c r="V20" s="8">
        <v>30</v>
      </c>
    </row>
    <row r="21" spans="1:22">
      <c r="A21" s="66"/>
      <c r="B21" s="66"/>
      <c r="D21" t="s">
        <v>51</v>
      </c>
      <c r="F21" s="41">
        <f>G21/60*0.549</f>
        <v>0.27450000000000002</v>
      </c>
      <c r="G21" s="2">
        <v>30</v>
      </c>
      <c r="I21" s="49" t="s">
        <v>68</v>
      </c>
      <c r="K21" s="41">
        <f>SUM(K13:K17)</f>
        <v>2.0587500000000003</v>
      </c>
      <c r="N21" t="s">
        <v>91</v>
      </c>
      <c r="P21" s="41">
        <f t="shared" si="2"/>
        <v>0.41175000000000006</v>
      </c>
      <c r="Q21" s="8">
        <v>45</v>
      </c>
      <c r="S21" s="8" t="s">
        <v>21</v>
      </c>
      <c r="U21" s="41">
        <f t="shared" si="1"/>
        <v>0.13725000000000001</v>
      </c>
      <c r="V21" s="8">
        <v>15</v>
      </c>
    </row>
    <row r="22" spans="1:22">
      <c r="A22" s="66"/>
      <c r="B22" s="66"/>
      <c r="D22" t="s">
        <v>52</v>
      </c>
      <c r="F22" s="41">
        <f t="shared" ref="F22:F34" si="3">G22/60*0.549</f>
        <v>0.82350000000000012</v>
      </c>
      <c r="G22" s="2">
        <v>90</v>
      </c>
      <c r="I22" s="49" t="s">
        <v>69</v>
      </c>
      <c r="K22" s="41">
        <f>SUM(K5:K8,K10:K11)+K19</f>
        <v>0.20096750000000002</v>
      </c>
      <c r="N22" t="s">
        <v>65</v>
      </c>
      <c r="P22" s="41">
        <f t="shared" si="2"/>
        <v>0.54900000000000004</v>
      </c>
      <c r="Q22" s="8">
        <v>60</v>
      </c>
      <c r="S22" s="8" t="s">
        <v>113</v>
      </c>
      <c r="U22" s="41">
        <f t="shared" si="1"/>
        <v>9.1499999999999998E-2</v>
      </c>
      <c r="V22" s="8">
        <v>10</v>
      </c>
    </row>
    <row r="23" spans="1:22">
      <c r="A23" s="66"/>
      <c r="B23" s="66"/>
      <c r="D23" t="s">
        <v>53</v>
      </c>
      <c r="F23" s="41">
        <f t="shared" si="3"/>
        <v>0.27450000000000002</v>
      </c>
      <c r="G23" s="2">
        <v>30</v>
      </c>
      <c r="I23" s="50" t="s">
        <v>80</v>
      </c>
      <c r="J23" s="18"/>
      <c r="K23" s="44">
        <f>SUM(K21:K22)</f>
        <v>2.2597175000000003</v>
      </c>
      <c r="M23" s="65" t="s">
        <v>66</v>
      </c>
      <c r="N23" s="65"/>
      <c r="O23" s="65"/>
      <c r="P23" s="65"/>
      <c r="Q23" s="65"/>
      <c r="S23" s="8" t="s">
        <v>91</v>
      </c>
      <c r="U23" s="41">
        <f t="shared" si="1"/>
        <v>0.41175000000000006</v>
      </c>
      <c r="V23" s="8">
        <v>45</v>
      </c>
    </row>
    <row r="24" spans="1:22">
      <c r="A24" s="66"/>
      <c r="B24" s="66"/>
      <c r="D24" t="s">
        <v>54</v>
      </c>
      <c r="F24" s="41">
        <f t="shared" si="3"/>
        <v>0.54900000000000004</v>
      </c>
      <c r="G24" s="8">
        <v>60</v>
      </c>
      <c r="N24" t="s">
        <v>67</v>
      </c>
      <c r="O24" s="2">
        <v>192</v>
      </c>
      <c r="P24" s="41">
        <f>O24*'Unit Price'!H19</f>
        <v>0.12427200000000001</v>
      </c>
      <c r="S24" s="8" t="s">
        <v>65</v>
      </c>
      <c r="U24" s="41">
        <f t="shared" si="1"/>
        <v>0.54900000000000004</v>
      </c>
      <c r="V24" s="2">
        <v>60</v>
      </c>
    </row>
    <row r="25" spans="1:22">
      <c r="A25" s="66"/>
      <c r="B25" s="66"/>
      <c r="D25" t="s">
        <v>55</v>
      </c>
      <c r="F25" s="41">
        <f t="shared" si="3"/>
        <v>0.54900000000000004</v>
      </c>
      <c r="G25" s="2">
        <v>60</v>
      </c>
      <c r="H25" s="68" t="s">
        <v>79</v>
      </c>
      <c r="I25" s="68"/>
      <c r="J25" s="68"/>
      <c r="K25" s="68"/>
      <c r="L25" s="68"/>
      <c r="R25" s="65" t="s">
        <v>66</v>
      </c>
      <c r="S25" s="65"/>
      <c r="T25" s="65"/>
      <c r="U25" s="65"/>
      <c r="V25" s="65"/>
    </row>
    <row r="26" spans="1:22">
      <c r="A26" s="66"/>
      <c r="B26" s="66"/>
      <c r="D26" s="2" t="s">
        <v>57</v>
      </c>
      <c r="F26" s="41">
        <f t="shared" si="3"/>
        <v>0.27450000000000002</v>
      </c>
      <c r="G26" s="2">
        <v>30</v>
      </c>
      <c r="H26" s="48"/>
      <c r="I26" s="48" t="s">
        <v>93</v>
      </c>
      <c r="J26" s="48" t="s">
        <v>29</v>
      </c>
      <c r="K26" s="48" t="s">
        <v>50</v>
      </c>
      <c r="L26" s="48" t="s">
        <v>78</v>
      </c>
      <c r="N26" s="49" t="s">
        <v>68</v>
      </c>
      <c r="O26" s="2" t="s">
        <v>14</v>
      </c>
      <c r="P26" s="41">
        <f>(SUM(P16:P22)*3)</f>
        <v>8.6467500000000008</v>
      </c>
      <c r="S26" t="s">
        <v>67</v>
      </c>
      <c r="T26" s="2">
        <v>96</v>
      </c>
      <c r="U26" s="41">
        <f>T26*'Unit Price'!H19</f>
        <v>6.2136000000000004E-2</v>
      </c>
    </row>
    <row r="27" spans="1:22">
      <c r="A27" s="66"/>
      <c r="B27" s="66"/>
      <c r="D27" s="8" t="s">
        <v>119</v>
      </c>
      <c r="F27" s="41">
        <f t="shared" si="3"/>
        <v>0.13725000000000001</v>
      </c>
      <c r="G27" s="2">
        <v>15</v>
      </c>
      <c r="H27" s="51" t="s">
        <v>36</v>
      </c>
      <c r="I27" s="51"/>
      <c r="J27" s="51"/>
      <c r="K27"/>
      <c r="L27"/>
      <c r="N27" s="49" t="s">
        <v>69</v>
      </c>
      <c r="O27" s="2" t="s">
        <v>14</v>
      </c>
      <c r="P27" s="41">
        <f>(SUM(P6:P9,P11:P14)*3)+P24</f>
        <v>3.6215220000000001</v>
      </c>
    </row>
    <row r="28" spans="1:22">
      <c r="A28" s="66"/>
      <c r="B28" s="66"/>
      <c r="D28" s="2" t="s">
        <v>58</v>
      </c>
      <c r="F28" s="41">
        <f t="shared" si="3"/>
        <v>0.27450000000000002</v>
      </c>
      <c r="G28" s="8">
        <v>30</v>
      </c>
      <c r="I28" t="s">
        <v>31</v>
      </c>
      <c r="J28" s="2">
        <v>1</v>
      </c>
      <c r="K28" s="2">
        <v>0.14000000000000001</v>
      </c>
      <c r="N28" s="50" t="s">
        <v>92</v>
      </c>
      <c r="O28" s="18"/>
      <c r="P28" s="44">
        <f>SUM(P26:P27)</f>
        <v>12.268272000000001</v>
      </c>
      <c r="S28" s="49" t="s">
        <v>68</v>
      </c>
      <c r="T28" s="2" t="s">
        <v>14</v>
      </c>
      <c r="U28" s="41">
        <f>(SUM(U15:U24))*3</f>
        <v>10.430999999999999</v>
      </c>
    </row>
    <row r="29" spans="1:22">
      <c r="A29" s="66"/>
      <c r="B29" s="66"/>
      <c r="D29" s="2" t="s">
        <v>120</v>
      </c>
      <c r="F29" s="41">
        <f t="shared" si="3"/>
        <v>0.41175000000000006</v>
      </c>
      <c r="G29" s="8">
        <v>45</v>
      </c>
      <c r="I29" t="s">
        <v>32</v>
      </c>
      <c r="J29" s="19" t="s">
        <v>7</v>
      </c>
      <c r="K29" s="41">
        <v>7.0000000000000001E-3</v>
      </c>
      <c r="S29" s="49" t="s">
        <v>69</v>
      </c>
      <c r="U29" s="41">
        <f>SUM(U5:U8,U10:U11,U13)+U26</f>
        <v>2.8435860000000006</v>
      </c>
    </row>
    <row r="30" spans="1:22">
      <c r="A30" s="66"/>
      <c r="B30" s="66"/>
      <c r="D30" s="2" t="s">
        <v>121</v>
      </c>
      <c r="F30" s="41">
        <f t="shared" si="3"/>
        <v>0.54900000000000004</v>
      </c>
      <c r="G30" s="2">
        <v>60</v>
      </c>
      <c r="H30" s="61" t="s">
        <v>40</v>
      </c>
      <c r="I30" s="61"/>
      <c r="J30" s="61"/>
      <c r="K30" s="61"/>
      <c r="L30" s="61"/>
      <c r="M30" s="62" t="s">
        <v>4</v>
      </c>
      <c r="N30" s="62"/>
      <c r="O30" s="62"/>
      <c r="P30" s="62"/>
      <c r="Q30" s="62"/>
      <c r="S30" s="50" t="s">
        <v>114</v>
      </c>
      <c r="T30" s="18"/>
      <c r="U30" s="44">
        <f>SUM(U28:U29)</f>
        <v>13.274585999999999</v>
      </c>
    </row>
    <row r="31" spans="1:22">
      <c r="A31" s="66"/>
      <c r="B31" s="66"/>
      <c r="D31" s="2" t="s">
        <v>122</v>
      </c>
      <c r="F31" s="41">
        <f t="shared" si="3"/>
        <v>0.13725000000000001</v>
      </c>
      <c r="G31" s="2">
        <v>15</v>
      </c>
      <c r="H31" s="7"/>
      <c r="I31" s="7" t="s">
        <v>44</v>
      </c>
      <c r="J31" s="16">
        <v>2</v>
      </c>
      <c r="K31" s="8">
        <v>0.02</v>
      </c>
      <c r="L31" s="7"/>
      <c r="M31" s="48"/>
      <c r="N31" s="48" t="s">
        <v>93</v>
      </c>
      <c r="O31" s="48" t="s">
        <v>29</v>
      </c>
      <c r="P31" s="48" t="s">
        <v>50</v>
      </c>
      <c r="Q31" s="48" t="s">
        <v>78</v>
      </c>
    </row>
    <row r="32" spans="1:22">
      <c r="A32" s="66"/>
      <c r="B32" s="66"/>
      <c r="D32" s="2" t="s">
        <v>123</v>
      </c>
      <c r="F32" s="41">
        <f t="shared" si="3"/>
        <v>0.27450000000000002</v>
      </c>
      <c r="G32" s="8">
        <v>30</v>
      </c>
      <c r="H32" s="7"/>
      <c r="I32" s="7" t="s">
        <v>94</v>
      </c>
      <c r="J32" s="16" t="s">
        <v>7</v>
      </c>
      <c r="K32" s="41">
        <v>2.7E-2</v>
      </c>
      <c r="L32" s="7"/>
      <c r="M32" s="65" t="s">
        <v>36</v>
      </c>
      <c r="N32" s="65"/>
      <c r="O32" s="65"/>
      <c r="P32" s="65"/>
      <c r="Q32" s="65"/>
    </row>
    <row r="33" spans="1:17">
      <c r="A33" s="66"/>
      <c r="B33" s="66"/>
      <c r="D33" s="2" t="s">
        <v>124</v>
      </c>
      <c r="F33" s="41">
        <f t="shared" si="3"/>
        <v>0.41175000000000006</v>
      </c>
      <c r="G33" s="8">
        <v>45</v>
      </c>
      <c r="H33" s="7"/>
      <c r="I33" s="7" t="s">
        <v>116</v>
      </c>
      <c r="J33" s="7">
        <v>1</v>
      </c>
      <c r="K33" s="12">
        <f>J33*'Unit Price'!E42</f>
        <v>0.27</v>
      </c>
      <c r="L33" s="7"/>
      <c r="N33" t="s">
        <v>31</v>
      </c>
      <c r="O33" s="2">
        <v>1</v>
      </c>
      <c r="P33" s="41">
        <v>0.14000000000000001</v>
      </c>
    </row>
    <row r="34" spans="1:17">
      <c r="A34" s="66"/>
      <c r="B34" s="66"/>
      <c r="D34" s="8" t="s">
        <v>65</v>
      </c>
      <c r="F34" s="41">
        <f t="shared" si="3"/>
        <v>0.54900000000000004</v>
      </c>
      <c r="G34" s="2">
        <v>60</v>
      </c>
      <c r="H34" s="7"/>
      <c r="I34" s="7" t="s">
        <v>117</v>
      </c>
      <c r="J34" s="7">
        <v>1</v>
      </c>
      <c r="K34" s="12">
        <f>J34*'Unit Price'!E44</f>
        <v>0.22</v>
      </c>
      <c r="L34" s="7"/>
      <c r="N34" t="s">
        <v>32</v>
      </c>
      <c r="O34" s="19" t="s">
        <v>7</v>
      </c>
      <c r="P34" s="41">
        <v>7.0000000000000001E-3</v>
      </c>
    </row>
    <row r="35" spans="1:17">
      <c r="A35" s="66"/>
      <c r="B35" s="66"/>
      <c r="C35" s="65" t="s">
        <v>66</v>
      </c>
      <c r="D35" s="65"/>
      <c r="E35" s="65"/>
      <c r="F35" s="65"/>
      <c r="G35" s="65"/>
      <c r="I35" s="2" t="s">
        <v>118</v>
      </c>
      <c r="J35" s="14">
        <v>1</v>
      </c>
      <c r="K35" s="16">
        <f>J35*'Unit Price'!E40</f>
        <v>2.65</v>
      </c>
      <c r="N35" t="s">
        <v>33</v>
      </c>
      <c r="O35" s="19" t="s">
        <v>8</v>
      </c>
      <c r="P35" s="41">
        <v>1.4999999999999999E-4</v>
      </c>
    </row>
    <row r="36" spans="1:17">
      <c r="A36" s="66"/>
      <c r="B36" s="66"/>
      <c r="D36" t="s">
        <v>67</v>
      </c>
      <c r="E36" s="2">
        <v>53</v>
      </c>
      <c r="F36" s="41">
        <f>'PVI Experimental'!E36*'Unit Price'!H19</f>
        <v>3.4304250000000001E-2</v>
      </c>
      <c r="H36" s="65" t="s">
        <v>42</v>
      </c>
      <c r="I36" s="65"/>
      <c r="J36" s="65"/>
      <c r="K36" s="65"/>
      <c r="L36" s="65"/>
      <c r="N36" t="s">
        <v>34</v>
      </c>
      <c r="O36" s="2">
        <v>1</v>
      </c>
      <c r="P36" s="41">
        <v>0.02</v>
      </c>
    </row>
    <row r="37" spans="1:17">
      <c r="A37" s="66"/>
      <c r="B37" s="66"/>
      <c r="I37" s="2" t="s">
        <v>132</v>
      </c>
      <c r="J37" s="19" t="s">
        <v>7</v>
      </c>
      <c r="K37" s="8">
        <v>0.04</v>
      </c>
      <c r="M37" s="65" t="s">
        <v>84</v>
      </c>
      <c r="N37" s="65"/>
      <c r="O37" s="65"/>
      <c r="P37" s="65"/>
      <c r="Q37" s="65"/>
    </row>
    <row r="38" spans="1:17">
      <c r="A38" s="66"/>
      <c r="B38" s="66"/>
      <c r="D38" s="49" t="s">
        <v>68</v>
      </c>
      <c r="F38" s="41">
        <f>SUM(F21:F34)</f>
        <v>5.4900000000000011</v>
      </c>
      <c r="I38" s="2" t="s">
        <v>2</v>
      </c>
      <c r="J38" s="2">
        <v>2</v>
      </c>
      <c r="K38" s="2">
        <v>0.02</v>
      </c>
      <c r="N38" t="s">
        <v>44</v>
      </c>
      <c r="O38" s="2">
        <v>2</v>
      </c>
      <c r="P38" s="8">
        <v>0.02</v>
      </c>
    </row>
    <row r="39" spans="1:17">
      <c r="A39" s="66"/>
      <c r="B39" s="66"/>
      <c r="D39" s="49" t="s">
        <v>69</v>
      </c>
      <c r="F39" s="41">
        <f>SUM(F4:F7,F9:F13,F15:F16,F18:F19)+F36</f>
        <v>4.0184542499999996</v>
      </c>
      <c r="H39" s="65" t="s">
        <v>43</v>
      </c>
      <c r="I39" s="65"/>
      <c r="J39" s="65"/>
      <c r="K39" s="65"/>
      <c r="L39" s="65"/>
      <c r="N39" t="s">
        <v>94</v>
      </c>
      <c r="O39" s="19" t="s">
        <v>7</v>
      </c>
      <c r="P39" s="2">
        <v>0.04</v>
      </c>
    </row>
    <row r="40" spans="1:17">
      <c r="A40" s="66"/>
      <c r="B40" s="66"/>
      <c r="D40" s="50" t="s">
        <v>70</v>
      </c>
      <c r="E40" s="18"/>
      <c r="F40" s="44">
        <f>SUM(F38:F39)</f>
        <v>9.5084542499999998</v>
      </c>
      <c r="I40" t="s">
        <v>45</v>
      </c>
      <c r="J40" s="2">
        <v>1</v>
      </c>
      <c r="K40" s="41">
        <v>0.27</v>
      </c>
      <c r="N40" t="s">
        <v>95</v>
      </c>
      <c r="O40" s="2">
        <v>1</v>
      </c>
      <c r="P40" s="8">
        <v>0.01</v>
      </c>
    </row>
    <row r="41" spans="1:17">
      <c r="A41" s="66"/>
      <c r="B41" s="66"/>
      <c r="I41" t="s">
        <v>46</v>
      </c>
      <c r="J41" s="2">
        <v>1</v>
      </c>
      <c r="K41" s="41">
        <v>0.3</v>
      </c>
      <c r="N41" t="s">
        <v>96</v>
      </c>
      <c r="O41" s="8">
        <v>1</v>
      </c>
      <c r="P41" s="8">
        <v>7.0000000000000007E-2</v>
      </c>
    </row>
    <row r="42" spans="1:17">
      <c r="A42" s="66"/>
      <c r="B42" s="66"/>
      <c r="H42" s="61" t="s">
        <v>1</v>
      </c>
      <c r="I42" s="61"/>
      <c r="J42" s="61"/>
      <c r="K42" s="9"/>
      <c r="L42" s="27"/>
      <c r="N42" t="s">
        <v>97</v>
      </c>
      <c r="O42" s="8">
        <v>1</v>
      </c>
      <c r="P42" s="8">
        <v>0.04</v>
      </c>
    </row>
    <row r="43" spans="1:17">
      <c r="A43" s="66"/>
      <c r="B43" s="66"/>
      <c r="I43" s="2" t="s">
        <v>52</v>
      </c>
      <c r="K43" s="41">
        <f>L43/60*0.549</f>
        <v>0.82350000000000012</v>
      </c>
      <c r="L43" s="2">
        <v>90</v>
      </c>
      <c r="M43" s="51" t="s">
        <v>47</v>
      </c>
      <c r="N43" s="26"/>
      <c r="O43" s="26"/>
      <c r="P43" s="26"/>
      <c r="Q43" s="26"/>
    </row>
    <row r="44" spans="1:17">
      <c r="A44" s="66"/>
      <c r="B44" s="66"/>
      <c r="I44" s="2" t="s">
        <v>109</v>
      </c>
      <c r="K44" s="41">
        <f t="shared" ref="K44:K55" si="4">L44/60*0.549</f>
        <v>0.27450000000000002</v>
      </c>
      <c r="L44" s="2">
        <v>30</v>
      </c>
      <c r="N44" t="s">
        <v>52</v>
      </c>
      <c r="P44" s="41">
        <f>Q44/60*0.549</f>
        <v>0.54900000000000004</v>
      </c>
      <c r="Q44" s="2">
        <v>60</v>
      </c>
    </row>
    <row r="45" spans="1:17">
      <c r="A45" s="66"/>
      <c r="B45" s="66"/>
      <c r="I45" s="2" t="s">
        <v>54</v>
      </c>
      <c r="K45" s="41">
        <f t="shared" si="4"/>
        <v>0.54900000000000004</v>
      </c>
      <c r="L45" s="8">
        <v>60</v>
      </c>
      <c r="N45" t="s">
        <v>75</v>
      </c>
      <c r="P45" s="41">
        <f t="shared" ref="P45:P51" si="5">Q45/60*0.549</f>
        <v>0.27450000000000002</v>
      </c>
      <c r="Q45" s="2">
        <v>30</v>
      </c>
    </row>
    <row r="46" spans="1:17">
      <c r="A46" s="66"/>
      <c r="B46" s="66"/>
      <c r="I46" s="2" t="s">
        <v>55</v>
      </c>
      <c r="K46" s="41">
        <f t="shared" si="4"/>
        <v>0.54900000000000004</v>
      </c>
      <c r="L46" s="2">
        <v>60</v>
      </c>
      <c r="N46" t="s">
        <v>54</v>
      </c>
      <c r="P46" s="41">
        <f t="shared" si="5"/>
        <v>0.54900000000000004</v>
      </c>
      <c r="Q46" s="2">
        <v>60</v>
      </c>
    </row>
    <row r="47" spans="1:17">
      <c r="A47" s="66"/>
      <c r="B47" s="66"/>
      <c r="I47" s="2" t="s">
        <v>57</v>
      </c>
      <c r="K47" s="41">
        <f t="shared" si="4"/>
        <v>0.27450000000000002</v>
      </c>
      <c r="L47" s="2">
        <v>30</v>
      </c>
      <c r="N47" t="s">
        <v>55</v>
      </c>
      <c r="P47" s="41">
        <f t="shared" si="5"/>
        <v>0.54900000000000004</v>
      </c>
      <c r="Q47" s="8">
        <v>60</v>
      </c>
    </row>
    <row r="48" spans="1:17">
      <c r="A48" s="66"/>
      <c r="B48" s="66"/>
      <c r="I48" s="8" t="s">
        <v>119</v>
      </c>
      <c r="K48" s="41">
        <f t="shared" si="4"/>
        <v>0.13725000000000001</v>
      </c>
      <c r="L48" s="2">
        <v>15</v>
      </c>
      <c r="N48" t="s">
        <v>98</v>
      </c>
      <c r="P48" s="41">
        <f t="shared" si="5"/>
        <v>0.13725000000000001</v>
      </c>
      <c r="Q48" s="8">
        <v>15</v>
      </c>
    </row>
    <row r="49" spans="1:17">
      <c r="A49" s="66"/>
      <c r="B49" s="66"/>
      <c r="I49" s="2" t="s">
        <v>58</v>
      </c>
      <c r="K49" s="41">
        <f t="shared" si="4"/>
        <v>0.54900000000000004</v>
      </c>
      <c r="L49" s="8">
        <v>60</v>
      </c>
      <c r="N49" t="s">
        <v>5</v>
      </c>
      <c r="P49" s="41">
        <f t="shared" si="5"/>
        <v>0.27450000000000002</v>
      </c>
      <c r="Q49" s="8">
        <v>30</v>
      </c>
    </row>
    <row r="50" spans="1:17">
      <c r="A50" s="66"/>
      <c r="B50" s="66"/>
      <c r="I50" s="2" t="s">
        <v>125</v>
      </c>
      <c r="K50" s="41">
        <f t="shared" si="4"/>
        <v>0.41175000000000006</v>
      </c>
      <c r="L50" s="8">
        <v>45</v>
      </c>
      <c r="N50" t="s">
        <v>91</v>
      </c>
      <c r="P50" s="41">
        <f t="shared" si="5"/>
        <v>0.41175000000000006</v>
      </c>
      <c r="Q50" s="8">
        <v>45</v>
      </c>
    </row>
    <row r="51" spans="1:17">
      <c r="A51" s="66"/>
      <c r="B51" s="66"/>
      <c r="I51" s="2" t="s">
        <v>121</v>
      </c>
      <c r="K51" s="41">
        <f t="shared" si="4"/>
        <v>0.82350000000000012</v>
      </c>
      <c r="L51" s="2">
        <v>90</v>
      </c>
      <c r="N51" t="s">
        <v>65</v>
      </c>
      <c r="P51" s="41">
        <f t="shared" si="5"/>
        <v>0.54900000000000004</v>
      </c>
      <c r="Q51" s="8">
        <v>60</v>
      </c>
    </row>
    <row r="52" spans="1:17">
      <c r="A52" s="66"/>
      <c r="B52" s="66"/>
      <c r="I52" s="2" t="s">
        <v>126</v>
      </c>
      <c r="K52" s="41">
        <f t="shared" si="4"/>
        <v>0.13725000000000001</v>
      </c>
      <c r="L52" s="2">
        <v>15</v>
      </c>
      <c r="M52" s="65" t="s">
        <v>66</v>
      </c>
      <c r="N52" s="65"/>
      <c r="O52" s="65"/>
      <c r="P52" s="65"/>
      <c r="Q52" s="65"/>
    </row>
    <row r="53" spans="1:17">
      <c r="A53" s="66"/>
      <c r="B53" s="66"/>
      <c r="I53" s="2" t="s">
        <v>123</v>
      </c>
      <c r="K53" s="41">
        <f t="shared" si="4"/>
        <v>0.27450000000000002</v>
      </c>
      <c r="L53" s="8">
        <v>30</v>
      </c>
      <c r="N53" t="s">
        <v>67</v>
      </c>
      <c r="O53" s="2">
        <v>48</v>
      </c>
      <c r="P53" s="41">
        <f>O53*'Unit Price'!H19</f>
        <v>3.1068000000000002E-2</v>
      </c>
    </row>
    <row r="54" spans="1:17">
      <c r="A54" s="66"/>
      <c r="B54" s="66"/>
      <c r="I54" s="2" t="s">
        <v>124</v>
      </c>
      <c r="K54" s="41">
        <f t="shared" si="4"/>
        <v>0.41175000000000006</v>
      </c>
      <c r="L54" s="8">
        <v>45</v>
      </c>
    </row>
    <row r="55" spans="1:17">
      <c r="A55" s="66"/>
      <c r="B55" s="66"/>
      <c r="I55" s="8" t="s">
        <v>127</v>
      </c>
      <c r="K55" s="41">
        <f t="shared" si="4"/>
        <v>0.54900000000000004</v>
      </c>
      <c r="L55" s="8">
        <v>60</v>
      </c>
      <c r="N55" s="49" t="s">
        <v>68</v>
      </c>
      <c r="P55" s="41">
        <f>SUM(P44:P51)</f>
        <v>3.294</v>
      </c>
    </row>
    <row r="56" spans="1:17">
      <c r="A56" s="66"/>
      <c r="B56" s="66"/>
      <c r="H56" s="65" t="s">
        <v>66</v>
      </c>
      <c r="I56" s="65"/>
      <c r="J56" s="65"/>
      <c r="K56" s="65"/>
      <c r="L56" s="65"/>
      <c r="N56" s="49" t="s">
        <v>69</v>
      </c>
      <c r="P56" s="41">
        <f>SUM(P33:P36,P38:P42)+P53</f>
        <v>0.378218</v>
      </c>
    </row>
    <row r="57" spans="1:17">
      <c r="A57" s="66"/>
      <c r="B57" s="66"/>
      <c r="I57" t="s">
        <v>67</v>
      </c>
      <c r="J57" s="2">
        <v>39</v>
      </c>
      <c r="K57" s="41">
        <f>J57*'Unit Price'!H19</f>
        <v>2.5242750000000001E-2</v>
      </c>
      <c r="N57" s="50" t="s">
        <v>92</v>
      </c>
      <c r="O57" s="18"/>
      <c r="P57" s="44">
        <f>SUM(P55:P56)</f>
        <v>3.672218</v>
      </c>
    </row>
    <row r="58" spans="1:17">
      <c r="A58" s="66"/>
      <c r="B58" s="66"/>
      <c r="K58" s="41"/>
    </row>
    <row r="59" spans="1:17">
      <c r="A59" s="66"/>
      <c r="B59" s="66"/>
      <c r="I59" s="49" t="s">
        <v>68</v>
      </c>
      <c r="K59" s="41">
        <f>SUM(K43:K55)</f>
        <v>5.7645000000000008</v>
      </c>
      <c r="M59" s="68" t="s">
        <v>23</v>
      </c>
      <c r="N59" s="68"/>
      <c r="O59" s="68"/>
      <c r="P59" s="68"/>
      <c r="Q59" s="68"/>
    </row>
    <row r="60" spans="1:17">
      <c r="A60" s="66"/>
      <c r="B60" s="66"/>
      <c r="I60" s="49" t="s">
        <v>69</v>
      </c>
      <c r="K60" s="41">
        <f>SUM(K28:K29,K31:K35,K37:K38,K40:K41)+K57</f>
        <v>3.9892427499999998</v>
      </c>
      <c r="M60" s="68" t="s">
        <v>100</v>
      </c>
      <c r="N60" s="68"/>
      <c r="O60" s="68"/>
      <c r="P60" s="68"/>
      <c r="Q60" s="68"/>
    </row>
    <row r="61" spans="1:17">
      <c r="A61" s="66"/>
      <c r="B61" s="66"/>
      <c r="I61" s="50" t="s">
        <v>81</v>
      </c>
      <c r="J61" s="18"/>
      <c r="K61" s="44">
        <f>SUM(K59:K60)</f>
        <v>9.7537427500000007</v>
      </c>
      <c r="M61" s="48"/>
      <c r="N61" s="48" t="s">
        <v>93</v>
      </c>
      <c r="O61" s="48" t="s">
        <v>29</v>
      </c>
      <c r="P61" s="48" t="s">
        <v>50</v>
      </c>
      <c r="Q61" s="48" t="s">
        <v>78</v>
      </c>
    </row>
    <row r="62" spans="1:17">
      <c r="A62" s="46" t="s">
        <v>103</v>
      </c>
      <c r="M62" s="65" t="s">
        <v>36</v>
      </c>
      <c r="N62" s="65"/>
      <c r="O62" s="65"/>
      <c r="P62" s="65"/>
      <c r="Q62" s="65"/>
    </row>
    <row r="63" spans="1:17">
      <c r="N63" t="s">
        <v>31</v>
      </c>
      <c r="O63" s="2">
        <v>1</v>
      </c>
      <c r="P63" s="41">
        <v>0.14000000000000001</v>
      </c>
    </row>
    <row r="64" spans="1:17">
      <c r="N64" t="s">
        <v>32</v>
      </c>
      <c r="O64" s="19" t="s">
        <v>7</v>
      </c>
      <c r="P64" s="41">
        <v>7.0000000000000001E-3</v>
      </c>
    </row>
    <row r="65" spans="13:17">
      <c r="N65" t="s">
        <v>33</v>
      </c>
      <c r="O65" s="19" t="s">
        <v>8</v>
      </c>
      <c r="P65" s="41">
        <v>1.4999999999999999E-4</v>
      </c>
    </row>
    <row r="66" spans="13:17">
      <c r="N66" t="s">
        <v>34</v>
      </c>
      <c r="O66" s="2">
        <v>1</v>
      </c>
      <c r="P66" s="41">
        <v>0.02</v>
      </c>
    </row>
    <row r="67" spans="13:17">
      <c r="M67" s="65" t="s">
        <v>84</v>
      </c>
      <c r="N67" s="65"/>
      <c r="O67" s="65"/>
      <c r="P67" s="65"/>
      <c r="Q67" s="65"/>
    </row>
    <row r="68" spans="13:17">
      <c r="M68"/>
      <c r="N68" t="s">
        <v>2</v>
      </c>
      <c r="O68">
        <v>2</v>
      </c>
      <c r="P68" s="34">
        <v>0.02</v>
      </c>
      <c r="Q68"/>
    </row>
    <row r="69" spans="13:17">
      <c r="M69"/>
      <c r="N69" t="s">
        <v>85</v>
      </c>
      <c r="O69" s="52" t="s">
        <v>7</v>
      </c>
      <c r="P69" s="34">
        <v>6.6E-3</v>
      </c>
      <c r="Q69"/>
    </row>
    <row r="70" spans="13:17">
      <c r="M70"/>
      <c r="N70" t="s">
        <v>86</v>
      </c>
      <c r="O70">
        <v>1</v>
      </c>
      <c r="P70" s="34">
        <v>0.94</v>
      </c>
      <c r="Q70"/>
    </row>
    <row r="71" spans="13:17">
      <c r="M71"/>
      <c r="N71" t="s">
        <v>87</v>
      </c>
      <c r="O71">
        <v>8</v>
      </c>
      <c r="P71" s="34">
        <f>O71*0.004</f>
        <v>3.2000000000000001E-2</v>
      </c>
      <c r="Q71"/>
    </row>
    <row r="72" spans="13:17">
      <c r="M72" s="53" t="s">
        <v>47</v>
      </c>
      <c r="N72" s="53"/>
      <c r="O72" s="53"/>
      <c r="P72" s="48" t="s">
        <v>49</v>
      </c>
      <c r="Q72" s="48" t="s">
        <v>78</v>
      </c>
    </row>
    <row r="73" spans="13:17">
      <c r="M73"/>
      <c r="N73" t="s">
        <v>52</v>
      </c>
      <c r="O73"/>
      <c r="P73" s="34">
        <f>Q73/60*0.549</f>
        <v>0.27450000000000002</v>
      </c>
      <c r="Q73">
        <v>30</v>
      </c>
    </row>
    <row r="74" spans="13:17">
      <c r="M74"/>
      <c r="N74" t="s">
        <v>75</v>
      </c>
      <c r="O74"/>
      <c r="P74" s="34">
        <f t="shared" ref="P74:P79" si="6">Q74/60*0.549</f>
        <v>0.27450000000000002</v>
      </c>
      <c r="Q74">
        <v>30</v>
      </c>
    </row>
    <row r="75" spans="13:17">
      <c r="M75"/>
      <c r="N75" t="s">
        <v>88</v>
      </c>
      <c r="O75"/>
      <c r="P75" s="34">
        <f t="shared" si="6"/>
        <v>0.54900000000000004</v>
      </c>
      <c r="Q75">
        <v>60</v>
      </c>
    </row>
    <row r="76" spans="13:17">
      <c r="M76"/>
      <c r="N76" t="s">
        <v>89</v>
      </c>
      <c r="O76"/>
      <c r="P76" s="34">
        <f t="shared" si="6"/>
        <v>0.54900000000000004</v>
      </c>
      <c r="Q76">
        <v>60</v>
      </c>
    </row>
    <row r="77" spans="13:17">
      <c r="M77"/>
      <c r="N77" t="s">
        <v>90</v>
      </c>
      <c r="O77"/>
      <c r="P77" s="34">
        <f t="shared" si="6"/>
        <v>0.27450000000000002</v>
      </c>
      <c r="Q77">
        <v>30</v>
      </c>
    </row>
    <row r="78" spans="13:17">
      <c r="M78"/>
      <c r="N78" t="s">
        <v>91</v>
      </c>
      <c r="O78"/>
      <c r="P78" s="34">
        <f t="shared" si="6"/>
        <v>0.41175000000000006</v>
      </c>
      <c r="Q78">
        <v>45</v>
      </c>
    </row>
    <row r="79" spans="13:17">
      <c r="M79"/>
      <c r="N79" t="s">
        <v>65</v>
      </c>
      <c r="O79"/>
      <c r="P79" s="34">
        <f t="shared" si="6"/>
        <v>0.54900000000000004</v>
      </c>
      <c r="Q79">
        <v>60</v>
      </c>
    </row>
    <row r="80" spans="13:17">
      <c r="M80" s="65" t="s">
        <v>66</v>
      </c>
      <c r="N80" s="65"/>
      <c r="O80" s="65"/>
      <c r="P80" s="65"/>
      <c r="Q80" s="65"/>
    </row>
    <row r="81" spans="13:17">
      <c r="N81" t="s">
        <v>67</v>
      </c>
      <c r="O81" s="2">
        <v>64</v>
      </c>
      <c r="P81" s="41">
        <f>O81*'Unit Price'!H19</f>
        <v>4.1424000000000002E-2</v>
      </c>
    </row>
    <row r="83" spans="13:17">
      <c r="N83" s="49" t="s">
        <v>68</v>
      </c>
      <c r="P83" s="41">
        <f>(SUM(P73:P79))</f>
        <v>2.8822500000000004</v>
      </c>
    </row>
    <row r="84" spans="13:17">
      <c r="N84" s="49" t="s">
        <v>69</v>
      </c>
      <c r="P84" s="41">
        <f>(SUM(P63:P66,P68:P71))+P81</f>
        <v>1.207174</v>
      </c>
    </row>
    <row r="85" spans="13:17">
      <c r="N85" s="50" t="s">
        <v>92</v>
      </c>
      <c r="O85" s="18"/>
      <c r="P85" s="44">
        <f>SUM(P83:P84)</f>
        <v>4.0894240000000002</v>
      </c>
    </row>
    <row r="87" spans="13:17">
      <c r="M87" s="68" t="s">
        <v>99</v>
      </c>
      <c r="N87" s="68"/>
      <c r="O87" s="68"/>
      <c r="P87" s="68"/>
      <c r="Q87" s="68"/>
    </row>
    <row r="88" spans="13:17">
      <c r="M88" s="48"/>
      <c r="N88" s="48" t="s">
        <v>93</v>
      </c>
      <c r="O88" s="48" t="s">
        <v>29</v>
      </c>
      <c r="P88" s="48" t="s">
        <v>50</v>
      </c>
      <c r="Q88" s="48" t="s">
        <v>78</v>
      </c>
    </row>
    <row r="89" spans="13:17">
      <c r="M89" s="65" t="s">
        <v>47</v>
      </c>
      <c r="N89" s="65"/>
      <c r="O89" s="65"/>
      <c r="P89" s="65"/>
      <c r="Q89" s="65"/>
    </row>
    <row r="90" spans="13:17">
      <c r="N90" t="s">
        <v>101</v>
      </c>
      <c r="P90" s="41">
        <f>Q90/60*0.549</f>
        <v>2.7450000000000001</v>
      </c>
      <c r="Q90" s="2">
        <v>300</v>
      </c>
    </row>
    <row r="91" spans="13:17">
      <c r="N91" t="s">
        <v>102</v>
      </c>
      <c r="P91" s="41">
        <f t="shared" ref="P91" si="7">Q91/60*0.549</f>
        <v>2.7450000000000001</v>
      </c>
      <c r="Q91" s="2">
        <v>300</v>
      </c>
    </row>
    <row r="93" spans="13:17">
      <c r="N93" s="50" t="s">
        <v>92</v>
      </c>
      <c r="P93" s="28">
        <f>SUM(P90:P91)</f>
        <v>5.49</v>
      </c>
    </row>
  </sheetData>
  <mergeCells count="45">
    <mergeCell ref="M80:Q80"/>
    <mergeCell ref="M87:Q87"/>
    <mergeCell ref="M89:Q89"/>
    <mergeCell ref="M59:Q59"/>
    <mergeCell ref="M60:Q60"/>
    <mergeCell ref="M62:Q62"/>
    <mergeCell ref="M67:Q67"/>
    <mergeCell ref="H42:J42"/>
    <mergeCell ref="H25:L25"/>
    <mergeCell ref="M30:Q30"/>
    <mergeCell ref="H30:L30"/>
    <mergeCell ref="H36:L36"/>
    <mergeCell ref="C35:G35"/>
    <mergeCell ref="C20:E20"/>
    <mergeCell ref="M32:Q32"/>
    <mergeCell ref="M37:Q37"/>
    <mergeCell ref="M10:Q10"/>
    <mergeCell ref="C1:G1"/>
    <mergeCell ref="H1:L1"/>
    <mergeCell ref="M1:Q1"/>
    <mergeCell ref="H39:L39"/>
    <mergeCell ref="H12:J12"/>
    <mergeCell ref="H18:L18"/>
    <mergeCell ref="R1:V1"/>
    <mergeCell ref="H2:L2"/>
    <mergeCell ref="M2:Q2"/>
    <mergeCell ref="C3:G3"/>
    <mergeCell ref="M3:Q3"/>
    <mergeCell ref="R2:V2"/>
    <mergeCell ref="H56:L56"/>
    <mergeCell ref="M23:Q23"/>
    <mergeCell ref="M52:Q52"/>
    <mergeCell ref="R25:V25"/>
    <mergeCell ref="A1:B61"/>
    <mergeCell ref="R12:V12"/>
    <mergeCell ref="M15:Q15"/>
    <mergeCell ref="C14:G14"/>
    <mergeCell ref="R14:V14"/>
    <mergeCell ref="C17:G17"/>
    <mergeCell ref="R4:V4"/>
    <mergeCell ref="H4:L4"/>
    <mergeCell ref="M5:Q5"/>
    <mergeCell ref="C8:G8"/>
    <mergeCell ref="R9:V9"/>
    <mergeCell ref="H9:L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45"/>
  <sheetViews>
    <sheetView zoomScale="80" zoomScaleNormal="80" workbookViewId="0">
      <selection activeCell="A2" sqref="A2"/>
    </sheetView>
  </sheetViews>
  <sheetFormatPr defaultColWidth="11.19921875" defaultRowHeight="15.6"/>
  <cols>
    <col min="3" max="3" width="14.19921875" customWidth="1"/>
    <col min="7" max="7" width="14.69921875" customWidth="1"/>
    <col min="8" max="8" width="12.09765625" customWidth="1"/>
  </cols>
  <sheetData>
    <row r="1" spans="1:10" ht="24" customHeight="1">
      <c r="A1" s="70" t="s">
        <v>137</v>
      </c>
      <c r="B1" s="71"/>
      <c r="C1" s="71"/>
      <c r="D1" s="71"/>
      <c r="E1" s="71"/>
      <c r="F1" s="71"/>
      <c r="G1" s="71"/>
      <c r="H1" s="71"/>
      <c r="I1" s="71"/>
      <c r="J1" s="71"/>
    </row>
    <row r="4" spans="1:10">
      <c r="B4" s="20" t="s">
        <v>138</v>
      </c>
      <c r="C4" s="24"/>
      <c r="D4" s="24" t="s">
        <v>6</v>
      </c>
      <c r="E4" s="76">
        <v>7.0000000000000001E-3</v>
      </c>
      <c r="H4" t="s">
        <v>150</v>
      </c>
    </row>
    <row r="5" spans="1:10">
      <c r="B5" s="1"/>
      <c r="C5" s="2"/>
      <c r="D5" s="2"/>
      <c r="E5" s="77"/>
    </row>
    <row r="6" spans="1:10">
      <c r="B6" s="1" t="s">
        <v>9</v>
      </c>
      <c r="C6" s="2"/>
      <c r="D6" s="2" t="s">
        <v>8</v>
      </c>
      <c r="E6" s="77">
        <v>1.4999999999999999E-4</v>
      </c>
      <c r="H6" t="s">
        <v>16</v>
      </c>
      <c r="I6">
        <v>0.06</v>
      </c>
    </row>
    <row r="7" spans="1:10">
      <c r="B7" s="1"/>
      <c r="C7" s="2"/>
      <c r="D7" s="2"/>
      <c r="E7" s="77"/>
    </row>
    <row r="8" spans="1:10">
      <c r="B8" s="1" t="s">
        <v>139</v>
      </c>
      <c r="C8" s="2"/>
      <c r="D8" s="2" t="s">
        <v>6</v>
      </c>
      <c r="E8" s="77">
        <v>6.6E-3</v>
      </c>
      <c r="H8" t="s">
        <v>17</v>
      </c>
      <c r="I8">
        <v>0.55000000000000004</v>
      </c>
    </row>
    <row r="9" spans="1:10">
      <c r="B9" s="1"/>
      <c r="C9" s="2"/>
      <c r="D9" s="2"/>
      <c r="E9" s="77"/>
    </row>
    <row r="10" spans="1:10">
      <c r="B10" s="1" t="s">
        <v>140</v>
      </c>
      <c r="C10" s="2"/>
      <c r="D10" s="2" t="s">
        <v>6</v>
      </c>
      <c r="E10" s="77">
        <v>2.7E-2</v>
      </c>
      <c r="H10" t="s">
        <v>18</v>
      </c>
      <c r="I10">
        <v>1.1399999999999999</v>
      </c>
    </row>
    <row r="11" spans="1:10">
      <c r="B11" s="1"/>
      <c r="C11" s="2"/>
      <c r="D11" s="2"/>
      <c r="E11" s="77"/>
    </row>
    <row r="12" spans="1:10">
      <c r="B12" s="1" t="s">
        <v>73</v>
      </c>
      <c r="C12" s="2"/>
      <c r="D12" s="2" t="s">
        <v>11</v>
      </c>
      <c r="E12" s="77">
        <v>4.4000000000000003E-3</v>
      </c>
      <c r="H12" t="s">
        <v>19</v>
      </c>
      <c r="I12">
        <v>0.4</v>
      </c>
    </row>
    <row r="13" spans="1:10">
      <c r="B13" s="1"/>
      <c r="C13" s="2"/>
      <c r="D13" s="2"/>
      <c r="E13" s="77"/>
    </row>
    <row r="14" spans="1:10">
      <c r="B14" s="1" t="s">
        <v>147</v>
      </c>
      <c r="C14" s="2"/>
      <c r="D14" s="2" t="s">
        <v>7</v>
      </c>
      <c r="E14" s="77">
        <v>0.04</v>
      </c>
      <c r="H14" t="s">
        <v>18</v>
      </c>
      <c r="I14">
        <v>1.73</v>
      </c>
    </row>
    <row r="15" spans="1:10">
      <c r="B15" s="1"/>
      <c r="C15" s="2"/>
      <c r="D15" s="2"/>
      <c r="E15" s="77"/>
    </row>
    <row r="16" spans="1:10">
      <c r="B16" s="1" t="s">
        <v>141</v>
      </c>
      <c r="C16" s="2"/>
      <c r="D16" s="2"/>
      <c r="E16" s="77">
        <v>0.14000000000000001</v>
      </c>
    </row>
    <row r="17" spans="2:9">
      <c r="B17" s="1"/>
      <c r="C17" s="2"/>
      <c r="D17" s="2"/>
      <c r="E17" s="77"/>
      <c r="G17" t="s">
        <v>151</v>
      </c>
    </row>
    <row r="18" spans="2:9">
      <c r="B18" s="1" t="s">
        <v>142</v>
      </c>
      <c r="C18" s="2"/>
      <c r="D18" s="2"/>
      <c r="E18" s="77">
        <v>0.35</v>
      </c>
      <c r="H18">
        <v>647.25</v>
      </c>
      <c r="I18">
        <v>1000000</v>
      </c>
    </row>
    <row r="19" spans="2:9">
      <c r="B19" s="1"/>
      <c r="C19" s="2"/>
      <c r="D19" s="2"/>
      <c r="E19" s="77"/>
      <c r="G19" t="s">
        <v>152</v>
      </c>
      <c r="H19">
        <f>H18/I18</f>
        <v>6.4725000000000004E-4</v>
      </c>
    </row>
    <row r="20" spans="2:9">
      <c r="B20" s="1" t="s">
        <v>15</v>
      </c>
      <c r="C20" s="2"/>
      <c r="D20" s="2"/>
      <c r="E20" s="77">
        <v>0.62</v>
      </c>
    </row>
    <row r="21" spans="2:9">
      <c r="B21" s="1"/>
      <c r="C21" s="2"/>
      <c r="D21" s="2"/>
      <c r="E21" s="77"/>
    </row>
    <row r="22" spans="2:9">
      <c r="B22" s="1" t="s">
        <v>148</v>
      </c>
      <c r="C22" s="2"/>
      <c r="D22" s="2"/>
      <c r="E22" s="77">
        <v>0.53</v>
      </c>
      <c r="G22" t="s">
        <v>153</v>
      </c>
    </row>
    <row r="23" spans="2:9">
      <c r="B23" s="1"/>
      <c r="C23" s="2"/>
      <c r="D23" s="2"/>
      <c r="E23" s="77"/>
      <c r="H23" t="s">
        <v>154</v>
      </c>
      <c r="I23" t="s">
        <v>155</v>
      </c>
    </row>
    <row r="24" spans="2:9">
      <c r="B24" s="1" t="s">
        <v>143</v>
      </c>
      <c r="C24" s="2"/>
      <c r="D24" s="2"/>
      <c r="E24" s="77">
        <v>0.01</v>
      </c>
      <c r="G24" t="s">
        <v>156</v>
      </c>
      <c r="H24" s="34">
        <v>0.54900000000000004</v>
      </c>
      <c r="I24" t="s">
        <v>157</v>
      </c>
    </row>
    <row r="25" spans="2:9">
      <c r="B25" s="1"/>
      <c r="C25" s="2"/>
      <c r="D25" s="2"/>
      <c r="E25" s="77"/>
      <c r="H25" s="30"/>
    </row>
    <row r="26" spans="2:9">
      <c r="B26" s="1" t="s">
        <v>149</v>
      </c>
      <c r="C26" s="2"/>
      <c r="D26" s="2"/>
      <c r="E26" s="77">
        <v>0.27</v>
      </c>
    </row>
    <row r="27" spans="2:9">
      <c r="B27" s="1"/>
      <c r="C27" s="2"/>
      <c r="D27" s="2"/>
      <c r="E27" s="77"/>
    </row>
    <row r="28" spans="2:9">
      <c r="B28" s="1" t="s">
        <v>46</v>
      </c>
      <c r="C28" s="2"/>
      <c r="D28" s="2"/>
      <c r="E28" s="77">
        <v>0.3</v>
      </c>
    </row>
    <row r="29" spans="2:9">
      <c r="B29" s="1"/>
      <c r="C29" s="2"/>
      <c r="D29" s="2"/>
      <c r="E29" s="77"/>
    </row>
    <row r="30" spans="2:9">
      <c r="B30" s="1" t="s">
        <v>144</v>
      </c>
      <c r="C30" s="2"/>
      <c r="D30" s="2"/>
      <c r="E30" s="77">
        <v>0.02</v>
      </c>
    </row>
    <row r="31" spans="2:9">
      <c r="B31" s="1"/>
      <c r="C31" s="2"/>
      <c r="D31" s="2"/>
      <c r="E31" s="77"/>
    </row>
    <row r="32" spans="2:9">
      <c r="B32" s="1" t="s">
        <v>0</v>
      </c>
      <c r="C32" s="2"/>
      <c r="D32" s="2"/>
      <c r="E32" s="77">
        <v>0.51600000000000001</v>
      </c>
    </row>
    <row r="33" spans="2:5">
      <c r="B33" s="1"/>
      <c r="C33" s="2"/>
      <c r="D33" s="2"/>
      <c r="E33" s="77"/>
    </row>
    <row r="34" spans="2:5">
      <c r="B34" s="1" t="s">
        <v>95</v>
      </c>
      <c r="C34" s="2"/>
      <c r="D34" s="2"/>
      <c r="E34" s="77">
        <v>0.01</v>
      </c>
    </row>
    <row r="35" spans="2:5">
      <c r="B35" s="1"/>
      <c r="C35" s="2"/>
      <c r="D35" s="2"/>
      <c r="E35" s="77"/>
    </row>
    <row r="36" spans="2:5">
      <c r="B36" s="1" t="s">
        <v>97</v>
      </c>
      <c r="C36" s="2"/>
      <c r="D36" s="2"/>
      <c r="E36" s="77">
        <v>0.04</v>
      </c>
    </row>
    <row r="37" spans="2:5">
      <c r="B37" s="1"/>
      <c r="C37" s="2"/>
      <c r="D37" s="2"/>
      <c r="E37" s="77"/>
    </row>
    <row r="38" spans="2:5">
      <c r="B38" s="1" t="s">
        <v>145</v>
      </c>
      <c r="C38" s="2"/>
      <c r="D38" s="2"/>
      <c r="E38" s="77">
        <v>0.94</v>
      </c>
    </row>
    <row r="39" spans="2:5">
      <c r="B39" s="1"/>
      <c r="C39" s="2"/>
      <c r="D39" s="2"/>
      <c r="E39" s="77"/>
    </row>
    <row r="40" spans="2:5">
      <c r="B40" s="1" t="s">
        <v>118</v>
      </c>
      <c r="C40" s="2"/>
      <c r="D40" s="2"/>
      <c r="E40" s="77">
        <v>2.65</v>
      </c>
    </row>
    <row r="41" spans="2:5">
      <c r="B41" s="1"/>
      <c r="C41" s="2"/>
      <c r="D41" s="2"/>
      <c r="E41" s="77"/>
    </row>
    <row r="42" spans="2:5">
      <c r="B42" s="1" t="s">
        <v>116</v>
      </c>
      <c r="C42" s="2"/>
      <c r="D42" s="2"/>
      <c r="E42" s="77">
        <v>0.27</v>
      </c>
    </row>
    <row r="43" spans="2:5">
      <c r="B43" s="1"/>
      <c r="C43" s="2"/>
      <c r="D43" s="2"/>
      <c r="E43" s="77"/>
    </row>
    <row r="44" spans="2:5">
      <c r="B44" s="1" t="s">
        <v>146</v>
      </c>
      <c r="C44" s="2"/>
      <c r="D44" s="2"/>
      <c r="E44" s="77">
        <v>0.22</v>
      </c>
    </row>
    <row r="45" spans="2:5">
      <c r="B45" s="3"/>
      <c r="C45" s="4"/>
      <c r="D45" s="4"/>
      <c r="E45" s="5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96"/>
  <sheetViews>
    <sheetView zoomScale="80" zoomScaleNormal="80" workbookViewId="0">
      <selection activeCell="A2" sqref="A2"/>
    </sheetView>
  </sheetViews>
  <sheetFormatPr defaultColWidth="11.19921875" defaultRowHeight="15.6"/>
  <cols>
    <col min="2" max="2" width="30.69921875" customWidth="1"/>
    <col min="12" max="13" width="10.69921875" style="30"/>
  </cols>
  <sheetData>
    <row r="1" spans="1:13" ht="24" customHeight="1">
      <c r="A1" s="75" t="s">
        <v>158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spans="1:13">
      <c r="C3" t="s">
        <v>24</v>
      </c>
      <c r="D3">
        <v>249</v>
      </c>
      <c r="E3" t="s">
        <v>24</v>
      </c>
      <c r="F3">
        <v>247</v>
      </c>
      <c r="G3" t="s">
        <v>24</v>
      </c>
      <c r="H3">
        <v>246</v>
      </c>
      <c r="I3" t="s">
        <v>24</v>
      </c>
      <c r="J3">
        <v>247</v>
      </c>
    </row>
    <row r="4" spans="1:13" ht="18">
      <c r="B4" s="23" t="s">
        <v>157</v>
      </c>
      <c r="C4" s="72" t="s">
        <v>159</v>
      </c>
      <c r="D4" s="72"/>
      <c r="E4" s="72" t="s">
        <v>160</v>
      </c>
      <c r="F4" s="72"/>
      <c r="G4" s="72" t="s">
        <v>161</v>
      </c>
      <c r="H4" s="72"/>
      <c r="I4" s="72" t="s">
        <v>162</v>
      </c>
      <c r="J4" s="73"/>
    </row>
    <row r="5" spans="1:13" ht="18">
      <c r="B5" s="21" t="s">
        <v>30</v>
      </c>
      <c r="C5" s="78">
        <f>'CHG Control'!F40</f>
        <v>8.428879000000002</v>
      </c>
      <c r="D5" s="78"/>
      <c r="E5" s="78">
        <f>'CHG Experimental'!G39</f>
        <v>9.9644542500000011</v>
      </c>
      <c r="F5" s="78"/>
      <c r="G5" s="78">
        <f>'PVI Control'!F41</f>
        <v>7.9728790000000007</v>
      </c>
      <c r="H5" s="78"/>
      <c r="I5" s="78">
        <f>'PVI Experimental'!F40</f>
        <v>9.5084542499999998</v>
      </c>
      <c r="J5" s="79"/>
      <c r="L5" s="34">
        <f t="shared" ref="L5:L12" si="0">(C5+G5)/2</f>
        <v>8.2008790000000005</v>
      </c>
      <c r="M5" s="34">
        <f t="shared" ref="M5:M12" si="1">(E5+I5)/2</f>
        <v>9.7364542500000013</v>
      </c>
    </row>
    <row r="6" spans="1:13" ht="18">
      <c r="B6" s="21" t="s">
        <v>166</v>
      </c>
      <c r="C6" s="78">
        <f>'CHG Control'!K23</f>
        <v>2.3160282500000005</v>
      </c>
      <c r="D6" s="78"/>
      <c r="E6" s="78">
        <f>'CHG Experimental'!L23</f>
        <v>2.2597175000000003</v>
      </c>
      <c r="F6" s="78"/>
      <c r="G6" s="78">
        <f>'PVI Control'!K23</f>
        <v>2.3160282500000005</v>
      </c>
      <c r="H6" s="78"/>
      <c r="I6" s="78">
        <f>'PVI Experimental'!K23</f>
        <v>2.2597175000000003</v>
      </c>
      <c r="J6" s="79"/>
      <c r="L6" s="34">
        <f t="shared" si="0"/>
        <v>2.3160282500000005</v>
      </c>
      <c r="M6" s="34">
        <f t="shared" si="1"/>
        <v>2.2597175000000003</v>
      </c>
    </row>
    <row r="7" spans="1:13" ht="18">
      <c r="B7" s="21" t="s">
        <v>167</v>
      </c>
      <c r="C7" s="78">
        <f>'CHG Control'!K61</f>
        <v>8.6722257500000008</v>
      </c>
      <c r="D7" s="78"/>
      <c r="E7" s="78">
        <f>'CHG Experimental'!K60</f>
        <v>10.20974275</v>
      </c>
      <c r="F7" s="78"/>
      <c r="G7" s="78">
        <f>'PVI Control'!K62</f>
        <v>8.2181674999999998</v>
      </c>
      <c r="H7" s="78"/>
      <c r="I7" s="78">
        <f>'PVI Experimental'!K61</f>
        <v>9.7537427500000007</v>
      </c>
      <c r="J7" s="79"/>
      <c r="L7" s="34">
        <f t="shared" si="0"/>
        <v>8.4451966250000012</v>
      </c>
      <c r="M7" s="34">
        <f t="shared" si="1"/>
        <v>9.9817427500000004</v>
      </c>
    </row>
    <row r="8" spans="1:13" ht="18">
      <c r="B8" s="21" t="s">
        <v>163</v>
      </c>
      <c r="C8" s="78">
        <f>'CHG Control'!Q28</f>
        <v>12.268272000000001</v>
      </c>
      <c r="D8" s="78"/>
      <c r="E8" s="78">
        <f>'CHG Experimental'!P28</f>
        <v>12.268272000000001</v>
      </c>
      <c r="F8" s="78"/>
      <c r="G8" s="78">
        <f>'PVI Control'!P28</f>
        <v>12.268272000000001</v>
      </c>
      <c r="H8" s="78"/>
      <c r="I8" s="78">
        <f>'PVI Experimental'!P28</f>
        <v>12.268272000000001</v>
      </c>
      <c r="J8" s="79"/>
      <c r="L8" s="34">
        <f t="shared" si="0"/>
        <v>12.268272000000001</v>
      </c>
      <c r="M8" s="34">
        <f t="shared" si="1"/>
        <v>12.268272000000001</v>
      </c>
    </row>
    <row r="9" spans="1:13" ht="18">
      <c r="B9" s="21" t="s">
        <v>4</v>
      </c>
      <c r="C9" s="78">
        <f>'CHG Control'!Q57</f>
        <v>3.6592180000000001</v>
      </c>
      <c r="D9" s="78"/>
      <c r="E9" s="78">
        <f>'CHG Experimental'!P57</f>
        <v>3.6592180000000001</v>
      </c>
      <c r="F9" s="78"/>
      <c r="G9" s="78">
        <f>'PVI Control'!P57</f>
        <v>3.6592180000000001</v>
      </c>
      <c r="H9" s="78"/>
      <c r="I9" s="78">
        <f>'PVI Experimental'!P57</f>
        <v>3.672218</v>
      </c>
      <c r="J9" s="79"/>
      <c r="L9" s="34">
        <f t="shared" si="0"/>
        <v>3.6592180000000001</v>
      </c>
      <c r="M9" s="34">
        <f t="shared" si="1"/>
        <v>3.665718</v>
      </c>
    </row>
    <row r="10" spans="1:13" ht="18">
      <c r="B10" s="21" t="s">
        <v>23</v>
      </c>
      <c r="C10" s="78">
        <f>'CHG Control'!Q85</f>
        <v>4.0894240000000002</v>
      </c>
      <c r="D10" s="78"/>
      <c r="E10" s="78">
        <f>'CHG Experimental'!P85</f>
        <v>4.0894240000000002</v>
      </c>
      <c r="F10" s="78"/>
      <c r="G10" s="78">
        <f>'PVI Control'!P85</f>
        <v>4.0894240000000002</v>
      </c>
      <c r="H10" s="78"/>
      <c r="I10" s="78">
        <f>'PVI Experimental'!P85</f>
        <v>4.0894240000000002</v>
      </c>
      <c r="J10" s="79"/>
      <c r="L10" s="34">
        <f t="shared" si="0"/>
        <v>4.0894240000000002</v>
      </c>
      <c r="M10" s="34">
        <f t="shared" si="1"/>
        <v>4.0894240000000002</v>
      </c>
    </row>
    <row r="11" spans="1:13" ht="18">
      <c r="B11" s="21" t="s">
        <v>99</v>
      </c>
      <c r="C11" s="78">
        <f>'CHG Control'!Q93</f>
        <v>5.49</v>
      </c>
      <c r="D11" s="78"/>
      <c r="E11" s="78">
        <f>'CHG Experimental'!P93</f>
        <v>5.49</v>
      </c>
      <c r="F11" s="78"/>
      <c r="G11" s="78">
        <f>'PVI Control'!P93</f>
        <v>5.49</v>
      </c>
      <c r="H11" s="78"/>
      <c r="I11" s="78">
        <f>'PVI Experimental'!P93</f>
        <v>5.49</v>
      </c>
      <c r="J11" s="79"/>
      <c r="L11" s="34">
        <f t="shared" si="0"/>
        <v>5.49</v>
      </c>
      <c r="M11" s="34">
        <f t="shared" si="1"/>
        <v>5.49</v>
      </c>
    </row>
    <row r="12" spans="1:13" ht="18">
      <c r="B12" s="22" t="s">
        <v>164</v>
      </c>
      <c r="C12" s="80">
        <f>'CHG Control'!W31</f>
        <v>12.28775675</v>
      </c>
      <c r="D12" s="80"/>
      <c r="E12" s="80">
        <f>'CHG Experimental'!U30</f>
        <v>13.274585999999999</v>
      </c>
      <c r="F12" s="80"/>
      <c r="G12" s="80">
        <f>'PVI Control'!U31</f>
        <v>12.326756750000001</v>
      </c>
      <c r="H12" s="80"/>
      <c r="I12" s="80">
        <f>'PVI Experimental'!U30</f>
        <v>13.274585999999999</v>
      </c>
      <c r="J12" s="81"/>
      <c r="L12" s="34">
        <f t="shared" si="0"/>
        <v>12.307256750000001</v>
      </c>
      <c r="M12" s="34">
        <f t="shared" si="1"/>
        <v>13.274585999999999</v>
      </c>
    </row>
    <row r="15" spans="1:13" ht="21">
      <c r="A15" s="74" t="s">
        <v>165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7" spans="2:10">
      <c r="E17" t="s">
        <v>172</v>
      </c>
      <c r="F17" s="82">
        <v>4</v>
      </c>
      <c r="G17" t="s">
        <v>173</v>
      </c>
    </row>
    <row r="18" spans="2:10" ht="18">
      <c r="B18" s="23" t="s">
        <v>157</v>
      </c>
      <c r="C18" s="72" t="s">
        <v>159</v>
      </c>
      <c r="D18" s="72"/>
      <c r="E18" s="72" t="s">
        <v>160</v>
      </c>
      <c r="F18" s="72"/>
      <c r="G18" s="72" t="s">
        <v>161</v>
      </c>
      <c r="H18" s="72"/>
      <c r="I18" s="72" t="s">
        <v>162</v>
      </c>
      <c r="J18" s="73"/>
    </row>
    <row r="19" spans="2:10" ht="18">
      <c r="B19" s="21" t="s">
        <v>30</v>
      </c>
      <c r="C19" s="78">
        <f>C5</f>
        <v>8.428879000000002</v>
      </c>
      <c r="D19" s="78"/>
      <c r="E19" s="78">
        <f>E5</f>
        <v>9.9644542500000011</v>
      </c>
      <c r="F19" s="78"/>
      <c r="G19" s="78">
        <f>G5</f>
        <v>7.9728790000000007</v>
      </c>
      <c r="H19" s="78"/>
      <c r="I19" s="78">
        <f>I5</f>
        <v>9.5084542499999998</v>
      </c>
      <c r="J19" s="79"/>
    </row>
    <row r="20" spans="2:10" ht="18">
      <c r="B20" s="21" t="s">
        <v>166</v>
      </c>
      <c r="C20" s="78">
        <f>C6</f>
        <v>2.3160282500000005</v>
      </c>
      <c r="D20" s="78"/>
      <c r="E20" s="78">
        <f>E6</f>
        <v>2.2597175000000003</v>
      </c>
      <c r="F20" s="78"/>
      <c r="G20" s="78">
        <f>G6</f>
        <v>2.3160282500000005</v>
      </c>
      <c r="H20" s="78"/>
      <c r="I20" s="78">
        <f>I6</f>
        <v>2.2597175000000003</v>
      </c>
      <c r="J20" s="79"/>
    </row>
    <row r="21" spans="2:10" ht="18">
      <c r="B21" s="22" t="s">
        <v>164</v>
      </c>
      <c r="C21" s="78">
        <f>C12</f>
        <v>12.28775675</v>
      </c>
      <c r="D21" s="78"/>
      <c r="E21" s="78">
        <f>E12</f>
        <v>13.274585999999999</v>
      </c>
      <c r="F21" s="78"/>
      <c r="G21" s="78">
        <f>G12</f>
        <v>12.326756750000001</v>
      </c>
      <c r="H21" s="78"/>
      <c r="I21" s="78">
        <f>I12</f>
        <v>13.274585999999999</v>
      </c>
      <c r="J21" s="79"/>
    </row>
    <row r="22" spans="2:10" ht="18">
      <c r="B22" s="22" t="s">
        <v>22</v>
      </c>
      <c r="C22" s="80">
        <f>(SUM(C19:D20))+C21*F17</f>
        <v>59.895934250000003</v>
      </c>
      <c r="D22" s="80"/>
      <c r="E22" s="80">
        <f>E19+E20+(E21*F17)</f>
        <v>65.322515749999994</v>
      </c>
      <c r="F22" s="80"/>
      <c r="G22" s="80">
        <f>G19+G20+(G21*F17)</f>
        <v>59.595934250000006</v>
      </c>
      <c r="H22" s="80"/>
      <c r="I22" s="80">
        <f>I19+I20+(I21*F17)</f>
        <v>64.866515749999991</v>
      </c>
      <c r="J22" s="81"/>
    </row>
    <row r="23" spans="2:10" ht="15.6" customHeight="1">
      <c r="B23" s="83" t="s">
        <v>168</v>
      </c>
      <c r="C23" s="83"/>
      <c r="D23" s="83"/>
      <c r="E23" s="83"/>
      <c r="F23" s="83"/>
      <c r="G23" s="83"/>
      <c r="H23" s="83"/>
      <c r="I23" s="83"/>
      <c r="J23" s="83"/>
    </row>
    <row r="26" spans="2:10">
      <c r="E26" t="s">
        <v>172</v>
      </c>
      <c r="F26" s="82">
        <v>4</v>
      </c>
      <c r="G26" t="s">
        <v>173</v>
      </c>
    </row>
    <row r="27" spans="2:10" ht="18">
      <c r="B27" s="23" t="s">
        <v>157</v>
      </c>
      <c r="C27" s="72" t="s">
        <v>159</v>
      </c>
      <c r="D27" s="72"/>
      <c r="E27" s="72" t="s">
        <v>160</v>
      </c>
      <c r="F27" s="72"/>
      <c r="G27" s="72" t="s">
        <v>161</v>
      </c>
      <c r="H27" s="72"/>
      <c r="I27" s="72" t="s">
        <v>162</v>
      </c>
      <c r="J27" s="73"/>
    </row>
    <row r="28" spans="2:10" ht="18">
      <c r="B28" s="21" t="s">
        <v>30</v>
      </c>
      <c r="C28" s="78">
        <f>C5</f>
        <v>8.428879000000002</v>
      </c>
      <c r="D28" s="78"/>
      <c r="E28" s="78">
        <f>E5</f>
        <v>9.9644542500000011</v>
      </c>
      <c r="F28" s="78"/>
      <c r="G28" s="78">
        <f>G5</f>
        <v>7.9728790000000007</v>
      </c>
      <c r="H28" s="78"/>
      <c r="I28" s="78">
        <f>I5</f>
        <v>9.5084542499999998</v>
      </c>
      <c r="J28" s="78"/>
    </row>
    <row r="29" spans="2:10" ht="18">
      <c r="B29" s="21" t="s">
        <v>166</v>
      </c>
      <c r="C29" s="78">
        <f>C6</f>
        <v>2.3160282500000005</v>
      </c>
      <c r="D29" s="78"/>
      <c r="E29" s="78">
        <f>E6</f>
        <v>2.2597175000000003</v>
      </c>
      <c r="F29" s="78"/>
      <c r="G29" s="78">
        <f>G6</f>
        <v>2.3160282500000005</v>
      </c>
      <c r="H29" s="78"/>
      <c r="I29" s="78">
        <f>I6</f>
        <v>2.2597175000000003</v>
      </c>
      <c r="J29" s="78"/>
    </row>
    <row r="30" spans="2:10" ht="18">
      <c r="B30" s="21" t="s">
        <v>99</v>
      </c>
      <c r="C30" s="78">
        <f>C11</f>
        <v>5.49</v>
      </c>
      <c r="D30" s="78"/>
      <c r="E30" s="78">
        <f>E11</f>
        <v>5.49</v>
      </c>
      <c r="F30" s="78"/>
      <c r="G30" s="78">
        <f>G11</f>
        <v>5.49</v>
      </c>
      <c r="H30" s="78"/>
      <c r="I30" s="78">
        <f>I11</f>
        <v>5.49</v>
      </c>
      <c r="J30" s="78"/>
    </row>
    <row r="31" spans="2:10" ht="18">
      <c r="B31" s="21" t="s">
        <v>167</v>
      </c>
      <c r="C31" s="78">
        <f>C7</f>
        <v>8.6722257500000008</v>
      </c>
      <c r="D31" s="78"/>
      <c r="E31" s="78">
        <f>E7</f>
        <v>10.20974275</v>
      </c>
      <c r="F31" s="78"/>
      <c r="G31" s="78">
        <f>G7</f>
        <v>8.2181674999999998</v>
      </c>
      <c r="H31" s="78"/>
      <c r="I31" s="78">
        <f>I7</f>
        <v>9.7537427500000007</v>
      </c>
      <c r="J31" s="78"/>
    </row>
    <row r="32" spans="2:10" ht="18">
      <c r="B32" s="22" t="s">
        <v>164</v>
      </c>
      <c r="C32" s="78">
        <f>C12</f>
        <v>12.28775675</v>
      </c>
      <c r="D32" s="78"/>
      <c r="E32" s="78">
        <f>E12</f>
        <v>13.274585999999999</v>
      </c>
      <c r="F32" s="78"/>
      <c r="G32" s="78">
        <f>G12</f>
        <v>12.326756750000001</v>
      </c>
      <c r="H32" s="78"/>
      <c r="I32" s="78">
        <f>I12</f>
        <v>13.274585999999999</v>
      </c>
      <c r="J32" s="78"/>
    </row>
    <row r="33" spans="2:10" ht="18">
      <c r="B33" s="22" t="s">
        <v>22</v>
      </c>
      <c r="C33" s="80">
        <f>C28+(C29*2)+C30+C31+(C32*F26)</f>
        <v>76.374188250000003</v>
      </c>
      <c r="D33" s="80"/>
      <c r="E33" s="80">
        <f>E28+(E29*2)+E30+E31+(E32*F26)</f>
        <v>83.281976</v>
      </c>
      <c r="F33" s="80"/>
      <c r="G33" s="80">
        <f>G28+(G29*2)+G30+G31+(G32*F26)</f>
        <v>75.620130000000003</v>
      </c>
      <c r="H33" s="80"/>
      <c r="I33" s="80">
        <f>I28+(I29*2)+I30+I31+(I32*F26)</f>
        <v>82.369976000000008</v>
      </c>
      <c r="J33" s="80"/>
    </row>
    <row r="34" spans="2:10">
      <c r="B34" t="s">
        <v>169</v>
      </c>
    </row>
    <row r="37" spans="2:10">
      <c r="E37" t="s">
        <v>172</v>
      </c>
      <c r="F37" s="82">
        <v>4</v>
      </c>
      <c r="G37" t="s">
        <v>173</v>
      </c>
    </row>
    <row r="38" spans="2:10" ht="18">
      <c r="B38" s="23" t="s">
        <v>157</v>
      </c>
      <c r="C38" s="72" t="s">
        <v>159</v>
      </c>
      <c r="D38" s="72"/>
      <c r="E38" s="72" t="s">
        <v>160</v>
      </c>
      <c r="F38" s="72"/>
      <c r="G38" s="72" t="s">
        <v>161</v>
      </c>
      <c r="H38" s="72"/>
      <c r="I38" s="72" t="s">
        <v>162</v>
      </c>
      <c r="J38" s="73"/>
    </row>
    <row r="39" spans="2:10" ht="18">
      <c r="B39" s="21" t="s">
        <v>30</v>
      </c>
      <c r="C39" s="78">
        <f>C5</f>
        <v>8.428879000000002</v>
      </c>
      <c r="D39" s="78"/>
      <c r="E39" s="78">
        <f>E5</f>
        <v>9.9644542500000011</v>
      </c>
      <c r="F39" s="78"/>
      <c r="G39" s="78">
        <f>G5</f>
        <v>7.9728790000000007</v>
      </c>
      <c r="H39" s="78"/>
      <c r="I39" s="78">
        <f>I5</f>
        <v>9.5084542499999998</v>
      </c>
      <c r="J39" s="79"/>
    </row>
    <row r="40" spans="2:10" ht="18">
      <c r="B40" s="21" t="s">
        <v>166</v>
      </c>
      <c r="C40" s="78">
        <f>C6</f>
        <v>2.3160282500000005</v>
      </c>
      <c r="D40" s="78"/>
      <c r="E40" s="78">
        <f>E6</f>
        <v>2.2597175000000003</v>
      </c>
      <c r="F40" s="78"/>
      <c r="G40" s="78">
        <f>G6</f>
        <v>2.3160282500000005</v>
      </c>
      <c r="H40" s="78"/>
      <c r="I40" s="78">
        <f>I6</f>
        <v>2.2597175000000003</v>
      </c>
      <c r="J40" s="79"/>
    </row>
    <row r="41" spans="2:10" ht="18">
      <c r="B41" s="21" t="s">
        <v>164</v>
      </c>
      <c r="C41" s="78">
        <f>C12</f>
        <v>12.28775675</v>
      </c>
      <c r="D41" s="78"/>
      <c r="E41" s="78">
        <f>E12</f>
        <v>13.274585999999999</v>
      </c>
      <c r="F41" s="78"/>
      <c r="G41" s="78">
        <f t="shared" ref="G41" si="2">G12</f>
        <v>12.326756750000001</v>
      </c>
      <c r="H41" s="78"/>
      <c r="I41" s="78">
        <f t="shared" ref="I41" si="3">I12</f>
        <v>13.274585999999999</v>
      </c>
      <c r="J41" s="79"/>
    </row>
    <row r="42" spans="2:10" ht="18">
      <c r="B42" s="22" t="s">
        <v>22</v>
      </c>
      <c r="C42" s="80">
        <f>(SUM(C39:D40))+C41*F37</f>
        <v>59.895934250000003</v>
      </c>
      <c r="D42" s="80"/>
      <c r="E42" s="80">
        <f>E39+E40+(E41*F37)</f>
        <v>65.322515749999994</v>
      </c>
      <c r="F42" s="80"/>
      <c r="G42" s="80">
        <f>G39+G40+(G41*F37)</f>
        <v>59.595934250000006</v>
      </c>
      <c r="H42" s="80"/>
      <c r="I42" s="80">
        <f>I39+I40+(I41*F37)</f>
        <v>64.866515749999991</v>
      </c>
      <c r="J42" s="81"/>
    </row>
    <row r="43" spans="2:10">
      <c r="B43" t="s">
        <v>170</v>
      </c>
    </row>
    <row r="46" spans="2:10">
      <c r="E46" t="s">
        <v>172</v>
      </c>
      <c r="F46" s="82">
        <v>4</v>
      </c>
      <c r="G46" t="s">
        <v>173</v>
      </c>
    </row>
    <row r="47" spans="2:10" ht="18">
      <c r="B47" s="23" t="s">
        <v>157</v>
      </c>
      <c r="C47" s="72" t="s">
        <v>159</v>
      </c>
      <c r="D47" s="72"/>
      <c r="E47" s="72" t="s">
        <v>160</v>
      </c>
      <c r="F47" s="72"/>
      <c r="G47" s="72" t="s">
        <v>161</v>
      </c>
      <c r="H47" s="72"/>
      <c r="I47" s="72" t="s">
        <v>162</v>
      </c>
      <c r="J47" s="73"/>
    </row>
    <row r="48" spans="2:10" ht="18">
      <c r="B48" s="21" t="s">
        <v>121</v>
      </c>
      <c r="C48" s="78">
        <f>C5</f>
        <v>8.428879000000002</v>
      </c>
      <c r="D48" s="78"/>
      <c r="E48" s="78">
        <f>E5</f>
        <v>9.9644542500000011</v>
      </c>
      <c r="F48" s="78"/>
      <c r="G48" s="78">
        <f>G5</f>
        <v>7.9728790000000007</v>
      </c>
      <c r="H48" s="78"/>
      <c r="I48" s="78">
        <f>I5</f>
        <v>9.5084542499999998</v>
      </c>
      <c r="J48" s="79"/>
    </row>
    <row r="49" spans="2:10" ht="18">
      <c r="B49" s="21" t="s">
        <v>166</v>
      </c>
      <c r="C49" s="78">
        <f>C6</f>
        <v>2.3160282500000005</v>
      </c>
      <c r="D49" s="78"/>
      <c r="E49" s="78">
        <f>E6</f>
        <v>2.2597175000000003</v>
      </c>
      <c r="F49" s="78"/>
      <c r="G49" s="78">
        <f>G6</f>
        <v>2.3160282500000005</v>
      </c>
      <c r="H49" s="78"/>
      <c r="I49" s="78">
        <f>I6</f>
        <v>2.2597175000000003</v>
      </c>
      <c r="J49" s="79"/>
    </row>
    <row r="50" spans="2:10" ht="18">
      <c r="B50" s="21" t="s">
        <v>164</v>
      </c>
      <c r="C50" s="78">
        <f>C12</f>
        <v>12.28775675</v>
      </c>
      <c r="D50" s="78"/>
      <c r="E50" s="78">
        <f t="shared" ref="E50" si="4">E12</f>
        <v>13.274585999999999</v>
      </c>
      <c r="F50" s="78"/>
      <c r="G50" s="78">
        <f t="shared" ref="G50" si="5">G12</f>
        <v>12.326756750000001</v>
      </c>
      <c r="H50" s="78"/>
      <c r="I50" s="78">
        <f t="shared" ref="I50" si="6">I12</f>
        <v>13.274585999999999</v>
      </c>
      <c r="J50" s="79"/>
    </row>
    <row r="51" spans="2:10" ht="18">
      <c r="B51" s="22" t="s">
        <v>22</v>
      </c>
      <c r="C51" s="80">
        <f>(SUM(C48:D49))+C50*F46</f>
        <v>59.895934250000003</v>
      </c>
      <c r="D51" s="80"/>
      <c r="E51" s="80">
        <f>E48+E49+(E50*F46)</f>
        <v>65.322515749999994</v>
      </c>
      <c r="F51" s="80"/>
      <c r="G51" s="80">
        <f>G48+G49+(G50*F46)</f>
        <v>59.595934250000006</v>
      </c>
      <c r="H51" s="80"/>
      <c r="I51" s="80">
        <f>I48+I49+(I50*F46)</f>
        <v>64.866515749999991</v>
      </c>
      <c r="J51" s="81"/>
    </row>
    <row r="52" spans="2:10">
      <c r="B52" t="s">
        <v>171</v>
      </c>
    </row>
    <row r="55" spans="2:10">
      <c r="E55" t="s">
        <v>172</v>
      </c>
      <c r="F55" s="82">
        <v>4</v>
      </c>
      <c r="G55" t="s">
        <v>173</v>
      </c>
    </row>
    <row r="56" spans="2:10" ht="18">
      <c r="B56" s="23" t="s">
        <v>157</v>
      </c>
      <c r="C56" s="72" t="s">
        <v>159</v>
      </c>
      <c r="D56" s="72"/>
      <c r="E56" s="72" t="s">
        <v>160</v>
      </c>
      <c r="F56" s="72"/>
      <c r="G56" s="72" t="s">
        <v>161</v>
      </c>
      <c r="H56" s="72"/>
      <c r="I56" s="72" t="s">
        <v>162</v>
      </c>
      <c r="J56" s="73"/>
    </row>
    <row r="57" spans="2:10" ht="18">
      <c r="B57" s="21" t="s">
        <v>30</v>
      </c>
      <c r="C57" s="78">
        <f>C5</f>
        <v>8.428879000000002</v>
      </c>
      <c r="D57" s="78"/>
      <c r="E57" s="78">
        <f>E5</f>
        <v>9.9644542500000011</v>
      </c>
      <c r="F57" s="78"/>
      <c r="G57" s="78">
        <f>G5</f>
        <v>7.9728790000000007</v>
      </c>
      <c r="H57" s="78"/>
      <c r="I57" s="78">
        <f>I5</f>
        <v>9.5084542499999998</v>
      </c>
      <c r="J57" s="79"/>
    </row>
    <row r="58" spans="2:10" ht="18">
      <c r="B58" s="21" t="s">
        <v>166</v>
      </c>
      <c r="C58" s="78">
        <f>C6</f>
        <v>2.3160282500000005</v>
      </c>
      <c r="D58" s="78"/>
      <c r="E58" s="78">
        <f>E6</f>
        <v>2.2597175000000003</v>
      </c>
      <c r="F58" s="78"/>
      <c r="G58" s="78">
        <f>G6</f>
        <v>2.3160282500000005</v>
      </c>
      <c r="H58" s="78"/>
      <c r="I58" s="78">
        <f>I6</f>
        <v>2.2597175000000003</v>
      </c>
      <c r="J58" s="79"/>
    </row>
    <row r="59" spans="2:10" ht="18">
      <c r="B59" s="21" t="s">
        <v>167</v>
      </c>
      <c r="C59" s="78">
        <f>C7</f>
        <v>8.6722257500000008</v>
      </c>
      <c r="D59" s="78"/>
      <c r="E59" s="78">
        <f>E7</f>
        <v>10.20974275</v>
      </c>
      <c r="F59" s="78"/>
      <c r="G59" s="78">
        <f>G7</f>
        <v>8.2181674999999998</v>
      </c>
      <c r="H59" s="78"/>
      <c r="I59" s="78">
        <f>I7</f>
        <v>9.7537427500000007</v>
      </c>
      <c r="J59" s="79"/>
    </row>
    <row r="60" spans="2:10" ht="18">
      <c r="B60" s="21" t="s">
        <v>174</v>
      </c>
      <c r="C60" s="78">
        <f>C8</f>
        <v>12.268272000000001</v>
      </c>
      <c r="D60" s="78"/>
      <c r="E60" s="78">
        <f>E8</f>
        <v>12.268272000000001</v>
      </c>
      <c r="F60" s="78"/>
      <c r="G60" s="78">
        <f>G8</f>
        <v>12.268272000000001</v>
      </c>
      <c r="H60" s="78"/>
      <c r="I60" s="78">
        <f>I8</f>
        <v>12.268272000000001</v>
      </c>
      <c r="J60" s="79"/>
    </row>
    <row r="61" spans="2:10" ht="18">
      <c r="B61" s="21" t="s">
        <v>164</v>
      </c>
      <c r="C61" s="78">
        <f>C12</f>
        <v>12.28775675</v>
      </c>
      <c r="D61" s="78"/>
      <c r="E61" s="78">
        <f>E12</f>
        <v>13.274585999999999</v>
      </c>
      <c r="F61" s="78"/>
      <c r="G61" s="78">
        <f>G12</f>
        <v>12.326756750000001</v>
      </c>
      <c r="H61" s="78"/>
      <c r="I61" s="78">
        <f>I12</f>
        <v>13.274585999999999</v>
      </c>
      <c r="J61" s="79"/>
    </row>
    <row r="62" spans="2:10" ht="18">
      <c r="B62" s="22" t="s">
        <v>22</v>
      </c>
      <c r="C62" s="80">
        <f>C57+2*C58+C59+C60+C61*F55</f>
        <v>83.152460250000004</v>
      </c>
      <c r="D62" s="80"/>
      <c r="E62" s="80">
        <f>E57+2*E58+E59+E60+E61*F55</f>
        <v>90.060248000000001</v>
      </c>
      <c r="F62" s="80"/>
      <c r="G62" s="80">
        <f>G57+2*G58+G59+G60+G61*F55</f>
        <v>82.398402000000004</v>
      </c>
      <c r="H62" s="80"/>
      <c r="I62" s="80">
        <f>I57+2*I58+I59+I60+I61*F55</f>
        <v>89.148247999999995</v>
      </c>
      <c r="J62" s="81"/>
    </row>
    <row r="63" spans="2:10">
      <c r="B63" s="84" t="s">
        <v>175</v>
      </c>
    </row>
    <row r="64" spans="2:10">
      <c r="B64" s="2"/>
    </row>
    <row r="65" spans="2:10">
      <c r="B65" s="2"/>
    </row>
    <row r="66" spans="2:10">
      <c r="E66" t="s">
        <v>172</v>
      </c>
      <c r="F66" s="82">
        <v>1</v>
      </c>
      <c r="G66" t="s">
        <v>173</v>
      </c>
    </row>
    <row r="67" spans="2:10" ht="18">
      <c r="B67" s="23" t="s">
        <v>157</v>
      </c>
      <c r="C67" s="72" t="s">
        <v>159</v>
      </c>
      <c r="D67" s="72"/>
      <c r="E67" s="72" t="s">
        <v>160</v>
      </c>
      <c r="F67" s="72"/>
      <c r="G67" s="72" t="s">
        <v>161</v>
      </c>
      <c r="H67" s="72"/>
      <c r="I67" s="72" t="s">
        <v>162</v>
      </c>
      <c r="J67" s="73"/>
    </row>
    <row r="68" spans="2:10" ht="18">
      <c r="B68" s="21" t="s">
        <v>30</v>
      </c>
      <c r="C68" s="78">
        <f>C5</f>
        <v>8.428879000000002</v>
      </c>
      <c r="D68" s="78"/>
      <c r="E68" s="78">
        <f>E5</f>
        <v>9.9644542500000011</v>
      </c>
      <c r="F68" s="78"/>
      <c r="G68" s="78">
        <f>G5</f>
        <v>7.9728790000000007</v>
      </c>
      <c r="H68" s="78"/>
      <c r="I68" s="78">
        <f>I5</f>
        <v>9.5084542499999998</v>
      </c>
      <c r="J68" s="79"/>
    </row>
    <row r="69" spans="2:10" ht="18">
      <c r="B69" s="21" t="s">
        <v>166</v>
      </c>
      <c r="C69" s="78">
        <f>C6</f>
        <v>2.3160282500000005</v>
      </c>
      <c r="D69" s="78"/>
      <c r="E69" s="78">
        <f>E6</f>
        <v>2.2597175000000003</v>
      </c>
      <c r="F69" s="78"/>
      <c r="G69" s="78">
        <f>G6</f>
        <v>2.3160282500000005</v>
      </c>
      <c r="H69" s="78"/>
      <c r="I69" s="78">
        <f>I6</f>
        <v>2.2597175000000003</v>
      </c>
      <c r="J69" s="79"/>
    </row>
    <row r="70" spans="2:10" ht="18">
      <c r="B70" s="21" t="s">
        <v>167</v>
      </c>
      <c r="C70" s="78">
        <f>C7</f>
        <v>8.6722257500000008</v>
      </c>
      <c r="D70" s="78"/>
      <c r="E70" s="78">
        <f>E7</f>
        <v>10.20974275</v>
      </c>
      <c r="F70" s="78"/>
      <c r="G70" s="78">
        <f>G7</f>
        <v>8.2181674999999998</v>
      </c>
      <c r="H70" s="78"/>
      <c r="I70" s="78">
        <f>I7</f>
        <v>9.7537427500000007</v>
      </c>
      <c r="J70" s="79"/>
    </row>
    <row r="71" spans="2:10" ht="18">
      <c r="B71" s="21" t="s">
        <v>23</v>
      </c>
      <c r="C71" s="78">
        <f>C10</f>
        <v>4.0894240000000002</v>
      </c>
      <c r="D71" s="78"/>
      <c r="E71" s="78">
        <f>E10</f>
        <v>4.0894240000000002</v>
      </c>
      <c r="F71" s="78"/>
      <c r="G71" s="78">
        <f>G10</f>
        <v>4.0894240000000002</v>
      </c>
      <c r="H71" s="78"/>
      <c r="I71" s="78">
        <f>I10</f>
        <v>4.0894240000000002</v>
      </c>
      <c r="J71" s="79"/>
    </row>
    <row r="72" spans="2:10" ht="18">
      <c r="B72" s="21" t="s">
        <v>164</v>
      </c>
      <c r="C72" s="78">
        <f>C12</f>
        <v>12.28775675</v>
      </c>
      <c r="D72" s="78"/>
      <c r="E72" s="78">
        <f t="shared" ref="E72" si="7">E12</f>
        <v>13.274585999999999</v>
      </c>
      <c r="F72" s="78"/>
      <c r="G72" s="78">
        <f t="shared" ref="G72" si="8">G12</f>
        <v>12.326756750000001</v>
      </c>
      <c r="H72" s="78"/>
      <c r="I72" s="78">
        <f t="shared" ref="I72" si="9">I12</f>
        <v>13.274585999999999</v>
      </c>
      <c r="J72" s="79"/>
    </row>
    <row r="73" spans="2:10" ht="18">
      <c r="B73" s="22" t="s">
        <v>22</v>
      </c>
      <c r="C73" s="80">
        <f>C68+2*C69+C70+C71+C72*F66</f>
        <v>38.110342000000003</v>
      </c>
      <c r="D73" s="80"/>
      <c r="E73" s="80">
        <f>E68+2*E69+E70+E71+E72*F66</f>
        <v>42.057642000000001</v>
      </c>
      <c r="F73" s="80"/>
      <c r="G73" s="80">
        <f>G68+2*G69+G70+G71+G72*F66</f>
        <v>37.239283750000006</v>
      </c>
      <c r="H73" s="80"/>
      <c r="I73" s="80">
        <f>I68+2*I69+I70+I71+I72*F66</f>
        <v>41.145642000000002</v>
      </c>
      <c r="J73" s="81"/>
    </row>
    <row r="74" spans="2:10">
      <c r="B74" s="84" t="s">
        <v>176</v>
      </c>
    </row>
    <row r="75" spans="2:10">
      <c r="B75" s="25"/>
    </row>
    <row r="76" spans="2:10">
      <c r="B76" s="25"/>
    </row>
    <row r="77" spans="2:10">
      <c r="E77" t="s">
        <v>172</v>
      </c>
      <c r="F77" s="82">
        <v>4</v>
      </c>
      <c r="G77" t="s">
        <v>173</v>
      </c>
    </row>
    <row r="78" spans="2:10" ht="18">
      <c r="B78" s="23" t="s">
        <v>157</v>
      </c>
      <c r="C78" s="72" t="s">
        <v>159</v>
      </c>
      <c r="D78" s="72"/>
      <c r="E78" s="72" t="s">
        <v>160</v>
      </c>
      <c r="F78" s="72"/>
      <c r="G78" s="72" t="s">
        <v>161</v>
      </c>
      <c r="H78" s="72"/>
      <c r="I78" s="72" t="s">
        <v>162</v>
      </c>
      <c r="J78" s="73"/>
    </row>
    <row r="79" spans="2:10" ht="18">
      <c r="B79" s="21" t="s">
        <v>30</v>
      </c>
      <c r="C79" s="78">
        <f>C5</f>
        <v>8.428879000000002</v>
      </c>
      <c r="D79" s="78"/>
      <c r="E79" s="78">
        <f>E5</f>
        <v>9.9644542500000011</v>
      </c>
      <c r="F79" s="78"/>
      <c r="G79" s="78">
        <f>G5</f>
        <v>7.9728790000000007</v>
      </c>
      <c r="H79" s="78"/>
      <c r="I79" s="78">
        <f>I5</f>
        <v>9.5084542499999998</v>
      </c>
      <c r="J79" s="79"/>
    </row>
    <row r="80" spans="2:10" ht="18">
      <c r="B80" s="21" t="s">
        <v>166</v>
      </c>
      <c r="C80" s="78">
        <f>C6</f>
        <v>2.3160282500000005</v>
      </c>
      <c r="D80" s="78"/>
      <c r="E80" s="78">
        <f>E6</f>
        <v>2.2597175000000003</v>
      </c>
      <c r="F80" s="78"/>
      <c r="G80" s="78">
        <f>G6</f>
        <v>2.3160282500000005</v>
      </c>
      <c r="H80" s="78"/>
      <c r="I80" s="78">
        <f>I6</f>
        <v>2.2597175000000003</v>
      </c>
      <c r="J80" s="79"/>
    </row>
    <row r="81" spans="2:10" ht="18">
      <c r="B81" s="21" t="s">
        <v>167</v>
      </c>
      <c r="C81" s="78">
        <f>C7</f>
        <v>8.6722257500000008</v>
      </c>
      <c r="D81" s="78"/>
      <c r="E81" s="78">
        <f>E7</f>
        <v>10.20974275</v>
      </c>
      <c r="F81" s="78"/>
      <c r="G81" s="78">
        <f>G7</f>
        <v>8.2181674999999998</v>
      </c>
      <c r="H81" s="78"/>
      <c r="I81" s="78">
        <f>I7</f>
        <v>9.7537427500000007</v>
      </c>
      <c r="J81" s="79"/>
    </row>
    <row r="82" spans="2:10" ht="18">
      <c r="B82" s="21" t="s">
        <v>27</v>
      </c>
      <c r="C82" s="78">
        <f>C8</f>
        <v>12.268272000000001</v>
      </c>
      <c r="D82" s="78"/>
      <c r="E82" s="78">
        <f>E8</f>
        <v>12.268272000000001</v>
      </c>
      <c r="F82" s="78"/>
      <c r="G82" s="78">
        <f>G8</f>
        <v>12.268272000000001</v>
      </c>
      <c r="H82" s="78"/>
      <c r="I82" s="78">
        <f>I8</f>
        <v>12.268272000000001</v>
      </c>
      <c r="J82" s="79"/>
    </row>
    <row r="83" spans="2:10" ht="18">
      <c r="B83" s="21" t="s">
        <v>164</v>
      </c>
      <c r="C83" s="78">
        <f>C12</f>
        <v>12.28775675</v>
      </c>
      <c r="D83" s="78"/>
      <c r="E83" s="78">
        <f t="shared" ref="E83" si="10">E12</f>
        <v>13.274585999999999</v>
      </c>
      <c r="F83" s="78"/>
      <c r="G83" s="78">
        <f t="shared" ref="G83" si="11">G12</f>
        <v>12.326756750000001</v>
      </c>
      <c r="H83" s="78"/>
      <c r="I83" s="78">
        <f t="shared" ref="I83" si="12">I12</f>
        <v>13.274585999999999</v>
      </c>
      <c r="J83" s="79"/>
    </row>
    <row r="84" spans="2:10" ht="18">
      <c r="B84" s="22" t="s">
        <v>22</v>
      </c>
      <c r="C84" s="80">
        <f>C79+2*C80+C81+C82+C83*F77</f>
        <v>83.152460250000004</v>
      </c>
      <c r="D84" s="80"/>
      <c r="E84" s="80">
        <f>E79+2*E80+E81+E82+E83*F77</f>
        <v>90.060248000000001</v>
      </c>
      <c r="F84" s="80"/>
      <c r="G84" s="80">
        <f>G79+2*G80+G81+G82+G83*F77</f>
        <v>82.398402000000004</v>
      </c>
      <c r="H84" s="80"/>
      <c r="I84" s="80">
        <f>I79+2*I80+I81+I82+I83*F77</f>
        <v>89.148247999999995</v>
      </c>
      <c r="J84" s="81"/>
    </row>
    <row r="85" spans="2:10">
      <c r="B85" s="84" t="s">
        <v>177</v>
      </c>
    </row>
    <row r="86" spans="2:10">
      <c r="B86" s="2"/>
    </row>
    <row r="88" spans="2:10">
      <c r="E88" t="s">
        <v>172</v>
      </c>
      <c r="F88" s="82">
        <v>4</v>
      </c>
      <c r="G88" t="s">
        <v>173</v>
      </c>
    </row>
    <row r="89" spans="2:10" ht="18">
      <c r="B89" s="23" t="s">
        <v>157</v>
      </c>
      <c r="C89" s="72" t="s">
        <v>159</v>
      </c>
      <c r="D89" s="72"/>
      <c r="E89" s="72" t="s">
        <v>160</v>
      </c>
      <c r="F89" s="72"/>
      <c r="G89" s="72" t="s">
        <v>161</v>
      </c>
      <c r="H89" s="72"/>
      <c r="I89" s="72" t="s">
        <v>162</v>
      </c>
      <c r="J89" s="73"/>
    </row>
    <row r="90" spans="2:10" ht="18">
      <c r="B90" s="21" t="s">
        <v>30</v>
      </c>
      <c r="C90" s="78">
        <f>C5</f>
        <v>8.428879000000002</v>
      </c>
      <c r="D90" s="78"/>
      <c r="E90" s="78">
        <f>E5</f>
        <v>9.9644542500000011</v>
      </c>
      <c r="F90" s="78"/>
      <c r="G90" s="78">
        <f>G5</f>
        <v>7.9728790000000007</v>
      </c>
      <c r="H90" s="78"/>
      <c r="I90" s="78">
        <f>I5</f>
        <v>9.5084542499999998</v>
      </c>
      <c r="J90" s="79"/>
    </row>
    <row r="91" spans="2:10" ht="18">
      <c r="B91" s="21" t="s">
        <v>166</v>
      </c>
      <c r="C91" s="78">
        <f>C6</f>
        <v>2.3160282500000005</v>
      </c>
      <c r="D91" s="78"/>
      <c r="E91" s="78">
        <f>E6</f>
        <v>2.2597175000000003</v>
      </c>
      <c r="F91" s="78"/>
      <c r="G91" s="78">
        <f>G6</f>
        <v>2.3160282500000005</v>
      </c>
      <c r="H91" s="78"/>
      <c r="I91" s="78">
        <f>I6</f>
        <v>2.2597175000000003</v>
      </c>
      <c r="J91" s="79"/>
    </row>
    <row r="92" spans="2:10" ht="18">
      <c r="B92" s="21" t="s">
        <v>167</v>
      </c>
      <c r="C92" s="78">
        <f>C7</f>
        <v>8.6722257500000008</v>
      </c>
      <c r="D92" s="78"/>
      <c r="E92" s="78">
        <f>E7</f>
        <v>10.20974275</v>
      </c>
      <c r="F92" s="78"/>
      <c r="G92" s="78">
        <f>G7</f>
        <v>8.2181674999999998</v>
      </c>
      <c r="H92" s="78"/>
      <c r="I92" s="78">
        <f>I7</f>
        <v>9.7537427500000007</v>
      </c>
      <c r="J92" s="79"/>
    </row>
    <row r="93" spans="2:10" ht="18">
      <c r="B93" s="21" t="s">
        <v>4</v>
      </c>
      <c r="C93" s="78">
        <f>C9</f>
        <v>3.6592180000000001</v>
      </c>
      <c r="D93" s="78"/>
      <c r="E93" s="78">
        <f>E9</f>
        <v>3.6592180000000001</v>
      </c>
      <c r="F93" s="78"/>
      <c r="G93" s="78">
        <f>G9</f>
        <v>3.6592180000000001</v>
      </c>
      <c r="H93" s="78"/>
      <c r="I93" s="78">
        <f>I9</f>
        <v>3.672218</v>
      </c>
      <c r="J93" s="79"/>
    </row>
    <row r="94" spans="2:10" ht="18">
      <c r="B94" s="21" t="s">
        <v>164</v>
      </c>
      <c r="C94" s="78">
        <f>C12</f>
        <v>12.28775675</v>
      </c>
      <c r="D94" s="78"/>
      <c r="E94" s="78">
        <f>E12</f>
        <v>13.274585999999999</v>
      </c>
      <c r="F94" s="78"/>
      <c r="G94" s="78">
        <f>G12</f>
        <v>12.326756750000001</v>
      </c>
      <c r="H94" s="78"/>
      <c r="I94" s="78">
        <f>I12</f>
        <v>13.274585999999999</v>
      </c>
      <c r="J94" s="79"/>
    </row>
    <row r="95" spans="2:10" ht="18">
      <c r="B95" s="22" t="s">
        <v>22</v>
      </c>
      <c r="C95" s="80">
        <f>C90+2*C91+C92+C93+C94*F88</f>
        <v>74.543406250000004</v>
      </c>
      <c r="D95" s="80"/>
      <c r="E95" s="80">
        <f>E90+2*E91+E92+E93+E94*F88</f>
        <v>81.451194000000001</v>
      </c>
      <c r="F95" s="80"/>
      <c r="G95" s="80">
        <f>G90+2*G91+G92+G93+G94*F88</f>
        <v>73.789348000000004</v>
      </c>
      <c r="H95" s="80"/>
      <c r="I95" s="80">
        <f>I90+2*I91+I92+I93+I94*F88</f>
        <v>80.552194</v>
      </c>
      <c r="J95" s="81"/>
    </row>
    <row r="96" spans="2:10">
      <c r="B96" s="84" t="s">
        <v>178</v>
      </c>
    </row>
  </sheetData>
  <mergeCells count="239">
    <mergeCell ref="B23:J23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10:D10"/>
    <mergeCell ref="E10:F10"/>
    <mergeCell ref="G10:H10"/>
    <mergeCell ref="I10:J10"/>
    <mergeCell ref="C67:D67"/>
    <mergeCell ref="E67:F67"/>
    <mergeCell ref="G67:H67"/>
    <mergeCell ref="I67:J67"/>
    <mergeCell ref="C68:D68"/>
    <mergeCell ref="E68:F68"/>
    <mergeCell ref="G68:H68"/>
    <mergeCell ref="I68:J68"/>
    <mergeCell ref="C11:D11"/>
    <mergeCell ref="E11:F11"/>
    <mergeCell ref="G11:H11"/>
    <mergeCell ref="I11:J11"/>
    <mergeCell ref="C30:D30"/>
    <mergeCell ref="E30:F30"/>
    <mergeCell ref="G30:H30"/>
    <mergeCell ref="I30:J30"/>
    <mergeCell ref="C31:D31"/>
    <mergeCell ref="E31:F31"/>
    <mergeCell ref="G31:H31"/>
    <mergeCell ref="I31:J31"/>
    <mergeCell ref="C50:D50"/>
    <mergeCell ref="E50:F50"/>
    <mergeCell ref="G50:H50"/>
    <mergeCell ref="I50:J50"/>
    <mergeCell ref="C51:D51"/>
    <mergeCell ref="E51:F51"/>
    <mergeCell ref="G51:H51"/>
    <mergeCell ref="I51:J51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G5:H5"/>
    <mergeCell ref="C38:D38"/>
    <mergeCell ref="E38:F38"/>
    <mergeCell ref="G38:H38"/>
    <mergeCell ref="I38:J38"/>
    <mergeCell ref="C39:D39"/>
    <mergeCell ref="E39:F39"/>
    <mergeCell ref="G39:H39"/>
    <mergeCell ref="I39:J39"/>
    <mergeCell ref="G12:H12"/>
    <mergeCell ref="I12:J12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A1:K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C4:D4"/>
    <mergeCell ref="E4:F4"/>
    <mergeCell ref="G4:H4"/>
    <mergeCell ref="I4:J4"/>
    <mergeCell ref="C5:D5"/>
    <mergeCell ref="I5:J5"/>
    <mergeCell ref="E5:F5"/>
    <mergeCell ref="E20:F20"/>
    <mergeCell ref="G20:H20"/>
    <mergeCell ref="I20:J20"/>
    <mergeCell ref="A15:K15"/>
    <mergeCell ref="C18:D18"/>
    <mergeCell ref="E18:F18"/>
    <mergeCell ref="G18:H18"/>
    <mergeCell ref="I18:J18"/>
    <mergeCell ref="C12:D12"/>
    <mergeCell ref="E12:F12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27:D27"/>
    <mergeCell ref="E27:F27"/>
    <mergeCell ref="G27:H27"/>
    <mergeCell ref="I27:J27"/>
    <mergeCell ref="C28:D28"/>
    <mergeCell ref="E28:F28"/>
    <mergeCell ref="C91:D91"/>
    <mergeCell ref="E91:F91"/>
    <mergeCell ref="G91:H91"/>
    <mergeCell ref="I91:J91"/>
    <mergeCell ref="G28:H28"/>
    <mergeCell ref="I28:J28"/>
    <mergeCell ref="C29:D29"/>
    <mergeCell ref="E29:F29"/>
    <mergeCell ref="G29:H29"/>
    <mergeCell ref="I29:J29"/>
    <mergeCell ref="C32:D32"/>
    <mergeCell ref="E32:F32"/>
    <mergeCell ref="G32:H32"/>
    <mergeCell ref="I32:J32"/>
    <mergeCell ref="C33:D33"/>
    <mergeCell ref="E33:F33"/>
    <mergeCell ref="G33:H33"/>
    <mergeCell ref="I33:J33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95:D95"/>
    <mergeCell ref="E95:F95"/>
    <mergeCell ref="G95:H95"/>
    <mergeCell ref="I95:J95"/>
    <mergeCell ref="C93:D93"/>
    <mergeCell ref="E93:F93"/>
    <mergeCell ref="G93:H93"/>
    <mergeCell ref="I93:J93"/>
    <mergeCell ref="C94:D94"/>
    <mergeCell ref="E94:F94"/>
    <mergeCell ref="G94:H94"/>
    <mergeCell ref="I94:J94"/>
    <mergeCell ref="C78:D78"/>
    <mergeCell ref="E78:F78"/>
    <mergeCell ref="G78:H78"/>
    <mergeCell ref="I78:J78"/>
    <mergeCell ref="C79:D79"/>
    <mergeCell ref="E79:F79"/>
    <mergeCell ref="G79:H79"/>
    <mergeCell ref="I79:J79"/>
    <mergeCell ref="C61:D61"/>
    <mergeCell ref="E61:F61"/>
    <mergeCell ref="G61:H61"/>
    <mergeCell ref="I61:J61"/>
    <mergeCell ref="C62:D62"/>
    <mergeCell ref="E62:F62"/>
    <mergeCell ref="G62:H62"/>
    <mergeCell ref="I62:J62"/>
    <mergeCell ref="C69:D69"/>
    <mergeCell ref="E69:F69"/>
    <mergeCell ref="G69:H69"/>
    <mergeCell ref="I69:J69"/>
    <mergeCell ref="C70:D70"/>
    <mergeCell ref="E70:F70"/>
    <mergeCell ref="G70:H70"/>
    <mergeCell ref="I70:J70"/>
    <mergeCell ref="C60:D60"/>
    <mergeCell ref="E60:F60"/>
    <mergeCell ref="G60:H60"/>
    <mergeCell ref="I60:J60"/>
    <mergeCell ref="C83:D83"/>
    <mergeCell ref="E83:F83"/>
    <mergeCell ref="G83:H83"/>
    <mergeCell ref="I83:J83"/>
    <mergeCell ref="C84:D84"/>
    <mergeCell ref="E84:F84"/>
    <mergeCell ref="G84:H84"/>
    <mergeCell ref="I84:J84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97"/>
  <sheetViews>
    <sheetView zoomScale="80" zoomScaleNormal="80" workbookViewId="0">
      <selection activeCell="A2" sqref="A2"/>
    </sheetView>
  </sheetViews>
  <sheetFormatPr defaultColWidth="11.19921875" defaultRowHeight="15.6"/>
  <cols>
    <col min="1" max="1" width="11.19921875" style="85"/>
    <col min="2" max="2" width="44.69921875" style="85" customWidth="1"/>
    <col min="3" max="6" width="11.19921875" style="85"/>
    <col min="7" max="7" width="13.09765625" style="88" bestFit="1" customWidth="1"/>
    <col min="8" max="8" width="4.09765625" style="85" customWidth="1"/>
    <col min="9" max="9" width="11.19921875" style="85"/>
    <col min="10" max="10" width="33.09765625" style="85" customWidth="1"/>
    <col min="11" max="16384" width="11.19921875" style="85"/>
  </cols>
  <sheetData>
    <row r="1" spans="1:11" ht="24" customHeight="1">
      <c r="A1" s="75" t="s">
        <v>179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4" spans="1:11">
      <c r="B4" s="86"/>
      <c r="C4" s="87" t="s">
        <v>180</v>
      </c>
      <c r="D4" s="87"/>
      <c r="E4" s="87" t="s">
        <v>181</v>
      </c>
      <c r="F4" s="87"/>
      <c r="G4" s="88" t="s">
        <v>182</v>
      </c>
    </row>
    <row r="5" spans="1:11">
      <c r="B5" s="89" t="s">
        <v>30</v>
      </c>
      <c r="C5" s="43">
        <f>((Summary!C5*Summary!D3)+(Summary!G5*Summary!H3))/(Summary!D3+Summary!H3)</f>
        <v>8.20226081818182</v>
      </c>
      <c r="D5" s="43"/>
      <c r="E5" s="43">
        <f>((Summary!E5*Summary!F3)+(Summary!I5*Summary!J3))/(Summary!F3+Summary!J3)</f>
        <v>9.7364542499999995</v>
      </c>
      <c r="F5" s="90"/>
      <c r="G5" s="31" t="s">
        <v>183</v>
      </c>
      <c r="H5" s="88"/>
      <c r="I5" s="88"/>
    </row>
    <row r="6" spans="1:11">
      <c r="B6" s="89" t="s">
        <v>166</v>
      </c>
      <c r="C6" s="43">
        <f>((Summary!C6*Summary!D3)+(Summary!G6*Summary!H3))/(Summary!D3+Summary!H3)</f>
        <v>2.3160282500000005</v>
      </c>
      <c r="D6" s="43"/>
      <c r="E6" s="43">
        <f>((Summary!E6*Summary!F3)+(Summary!I6*Summary!J3))/(Summary!F3+Summary!J3)</f>
        <v>2.2597175000000003</v>
      </c>
      <c r="F6" s="90"/>
      <c r="G6" s="88" t="s">
        <v>184</v>
      </c>
      <c r="H6" s="88" t="s">
        <v>185</v>
      </c>
      <c r="I6" s="88"/>
    </row>
    <row r="7" spans="1:11">
      <c r="B7" s="89" t="s">
        <v>167</v>
      </c>
      <c r="C7" s="43">
        <f>((Summary!C7*Summary!D3)+(Summary!G7*Summary!H3))/(Summary!D3+Summary!H3)</f>
        <v>8.4465725590909084</v>
      </c>
      <c r="D7" s="43"/>
      <c r="E7" s="43">
        <f>((Summary!E7*Summary!F3)+(Summary!I7*Summary!J3))/(Summary!F3+Summary!J3)</f>
        <v>9.9817427500000004</v>
      </c>
      <c r="F7" s="90"/>
      <c r="G7" s="88" t="s">
        <v>184</v>
      </c>
    </row>
    <row r="8" spans="1:11">
      <c r="A8" s="85" t="s">
        <v>190</v>
      </c>
      <c r="B8" s="89" t="s">
        <v>192</v>
      </c>
      <c r="C8" s="43">
        <f>((Summary!C8*Summary!D3)+(Summary!G8*Summary!H3))/(Summary!D3+Summary!H3)</f>
        <v>12.268272000000001</v>
      </c>
      <c r="D8" s="43"/>
      <c r="E8" s="43">
        <f>((Summary!E8*Summary!F3)+(Summary!I8*Summary!J3))/(Summary!F3+Summary!J3)</f>
        <v>12.268272000000001</v>
      </c>
      <c r="F8" s="90"/>
      <c r="G8" s="88" t="s">
        <v>186</v>
      </c>
    </row>
    <row r="9" spans="1:11">
      <c r="A9" s="85" t="s">
        <v>190</v>
      </c>
      <c r="B9" s="89" t="s">
        <v>193</v>
      </c>
      <c r="C9" s="43">
        <f>((Summary!C9*Summary!D3)+(Summary!G9*Summary!H3))/(Summary!D3+Summary!H3)</f>
        <v>3.6592180000000001</v>
      </c>
      <c r="D9" s="43"/>
      <c r="E9" s="43">
        <f>((Summary!E9*Summary!F3)+(Summary!I9*Summary!J3))/(Summary!F3+Summary!J3)</f>
        <v>3.665718</v>
      </c>
      <c r="F9" s="90"/>
      <c r="G9" s="88" t="s">
        <v>187</v>
      </c>
      <c r="H9" s="88"/>
      <c r="I9" s="88"/>
    </row>
    <row r="10" spans="1:11">
      <c r="A10" s="85" t="s">
        <v>190</v>
      </c>
      <c r="B10" s="89" t="s">
        <v>194</v>
      </c>
      <c r="C10" s="43">
        <f>((Summary!C10*Summary!D3)+(Summary!G10*Summary!H3))/(Summary!D3+Summary!H3)</f>
        <v>4.0894240000000002</v>
      </c>
      <c r="D10" s="43"/>
      <c r="E10" s="43">
        <f>((Summary!E10*Summary!F3)+(Summary!I10*Summary!J3))/(Summary!F3+Summary!J3)</f>
        <v>4.0894240000000002</v>
      </c>
      <c r="F10" s="90"/>
      <c r="G10" s="88" t="s">
        <v>188</v>
      </c>
      <c r="H10" s="88"/>
      <c r="I10" s="88"/>
    </row>
    <row r="11" spans="1:11">
      <c r="A11" s="85" t="s">
        <v>190</v>
      </c>
      <c r="B11" s="89" t="s">
        <v>195</v>
      </c>
      <c r="C11" s="43">
        <f>((Summary!C11*Summary!D3)+(Summary!G11*Summary!H3))/(Summary!D3+Summary!H3)</f>
        <v>5.49</v>
      </c>
      <c r="D11" s="43"/>
      <c r="E11" s="43">
        <f>((Summary!E11*Summary!F3)+(Summary!I11*Summary!J3))/(Summary!F3+Summary!J3)</f>
        <v>5.49</v>
      </c>
      <c r="F11" s="90"/>
      <c r="G11" s="88" t="s">
        <v>189</v>
      </c>
    </row>
    <row r="12" spans="1:11">
      <c r="A12" s="85" t="s">
        <v>191</v>
      </c>
      <c r="B12" s="91" t="s">
        <v>105</v>
      </c>
      <c r="C12" s="92">
        <f>((Summary!C12*Summary!D3)+(Summary!G12*Summary!H3))/(Summary!D3+Summary!H3)</f>
        <v>12.307138568181818</v>
      </c>
      <c r="D12" s="92"/>
      <c r="E12" s="92">
        <f>((Summary!E12*Summary!F3)+(Summary!I12*Summary!J3))/(Summary!F3+Summary!J3)</f>
        <v>13.274585999999999</v>
      </c>
      <c r="F12" s="93"/>
      <c r="G12" s="31" t="s">
        <v>183</v>
      </c>
    </row>
    <row r="15" spans="1:11">
      <c r="A15" s="94" t="s">
        <v>165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8" spans="1:6">
      <c r="A18" s="85" t="s">
        <v>198</v>
      </c>
      <c r="B18" s="86" t="s">
        <v>157</v>
      </c>
      <c r="C18" s="87" t="s">
        <v>180</v>
      </c>
      <c r="D18" s="87"/>
      <c r="E18" s="87" t="s">
        <v>181</v>
      </c>
      <c r="F18" s="87"/>
    </row>
    <row r="19" spans="1:6">
      <c r="B19" s="89" t="s">
        <v>30</v>
      </c>
      <c r="C19" s="43">
        <f>C5</f>
        <v>8.20226081818182</v>
      </c>
      <c r="D19" s="43"/>
      <c r="E19" s="43">
        <f>E5</f>
        <v>9.7364542499999995</v>
      </c>
      <c r="F19" s="90"/>
    </row>
    <row r="20" spans="1:6">
      <c r="B20" s="89" t="s">
        <v>166</v>
      </c>
      <c r="C20" s="43">
        <f>C6</f>
        <v>2.3160282500000005</v>
      </c>
      <c r="D20" s="43"/>
      <c r="E20" s="43">
        <f>E6</f>
        <v>2.2597175000000003</v>
      </c>
      <c r="F20" s="90"/>
    </row>
    <row r="21" spans="1:6">
      <c r="B21" s="89" t="s">
        <v>22</v>
      </c>
      <c r="C21" s="95">
        <f>SUM(C19:D20)</f>
        <v>10.51828906818182</v>
      </c>
      <c r="D21" s="95"/>
      <c r="E21" s="95">
        <f>SUM(E19:F20)</f>
        <v>11.99617175</v>
      </c>
      <c r="F21" s="96"/>
    </row>
    <row r="22" spans="1:6">
      <c r="B22" s="97" t="s">
        <v>196</v>
      </c>
      <c r="C22" s="92">
        <f>C12</f>
        <v>12.307138568181818</v>
      </c>
      <c r="D22" s="92"/>
      <c r="E22" s="92">
        <f>E12</f>
        <v>13.274585999999999</v>
      </c>
      <c r="F22" s="93"/>
    </row>
    <row r="23" spans="1:6" ht="15.6" customHeight="1">
      <c r="B23" s="85" t="s">
        <v>206</v>
      </c>
    </row>
    <row r="25" spans="1:6">
      <c r="A25" s="85" t="s">
        <v>200</v>
      </c>
      <c r="B25" s="86" t="s">
        <v>157</v>
      </c>
      <c r="C25" s="87" t="s">
        <v>180</v>
      </c>
      <c r="D25" s="87"/>
      <c r="E25" s="87" t="s">
        <v>181</v>
      </c>
      <c r="F25" s="87"/>
    </row>
    <row r="26" spans="1:6">
      <c r="B26" s="89" t="s">
        <v>30</v>
      </c>
      <c r="C26" s="43">
        <f>C5</f>
        <v>8.20226081818182</v>
      </c>
      <c r="D26" s="43"/>
      <c r="E26" s="43">
        <f>E5</f>
        <v>9.7364542499999995</v>
      </c>
      <c r="F26" s="90"/>
    </row>
    <row r="27" spans="1:6">
      <c r="B27" s="89" t="s">
        <v>166</v>
      </c>
      <c r="C27" s="43">
        <f>C6</f>
        <v>2.3160282500000005</v>
      </c>
      <c r="D27" s="43"/>
      <c r="E27" s="43">
        <f>E6</f>
        <v>2.2597175000000003</v>
      </c>
      <c r="F27" s="90"/>
    </row>
    <row r="28" spans="1:6">
      <c r="B28" s="89" t="s">
        <v>22</v>
      </c>
      <c r="C28" s="95">
        <f>SUM(C26:D27)</f>
        <v>10.51828906818182</v>
      </c>
      <c r="D28" s="95"/>
      <c r="E28" s="95">
        <f>SUM(E26:F27)</f>
        <v>11.99617175</v>
      </c>
      <c r="F28" s="96"/>
    </row>
    <row r="29" spans="1:6">
      <c r="B29" s="97" t="s">
        <v>196</v>
      </c>
      <c r="C29" s="92">
        <f>C12</f>
        <v>12.307138568181818</v>
      </c>
      <c r="D29" s="92"/>
      <c r="E29" s="92">
        <f>E12</f>
        <v>13.274585999999999</v>
      </c>
      <c r="F29" s="93"/>
    </row>
    <row r="30" spans="1:6">
      <c r="B30" s="85" t="s">
        <v>207</v>
      </c>
    </row>
    <row r="32" spans="1:6">
      <c r="A32" s="85" t="s">
        <v>205</v>
      </c>
      <c r="B32" s="86" t="s">
        <v>157</v>
      </c>
      <c r="C32" s="87" t="s">
        <v>25</v>
      </c>
      <c r="D32" s="87"/>
      <c r="E32" s="87" t="s">
        <v>26</v>
      </c>
      <c r="F32" s="98"/>
    </row>
    <row r="33" spans="1:7" s="29" customFormat="1">
      <c r="A33" s="85"/>
      <c r="B33" s="89" t="s">
        <v>30</v>
      </c>
      <c r="C33" s="99">
        <v>8.20226081818182</v>
      </c>
      <c r="D33" s="99"/>
      <c r="E33" s="99">
        <v>9.7364542499999995</v>
      </c>
      <c r="F33" s="100"/>
      <c r="G33" s="31"/>
    </row>
    <row r="34" spans="1:7">
      <c r="B34" s="89" t="s">
        <v>166</v>
      </c>
      <c r="C34" s="99">
        <v>2.3160282500000005</v>
      </c>
      <c r="D34" s="99"/>
      <c r="E34" s="99">
        <v>2.2597175000000003</v>
      </c>
      <c r="F34" s="100"/>
    </row>
    <row r="35" spans="1:7">
      <c r="B35" s="89" t="s">
        <v>22</v>
      </c>
      <c r="C35" s="101">
        <v>10.51828906818182</v>
      </c>
      <c r="D35" s="101"/>
      <c r="E35" s="101">
        <v>11.99617175</v>
      </c>
      <c r="F35" s="102"/>
    </row>
    <row r="36" spans="1:7">
      <c r="B36" s="97" t="s">
        <v>196</v>
      </c>
      <c r="C36" s="103">
        <v>12.307138568181818</v>
      </c>
      <c r="D36" s="103"/>
      <c r="E36" s="103">
        <v>13.274585999999999</v>
      </c>
      <c r="F36" s="104"/>
    </row>
    <row r="37" spans="1:7">
      <c r="B37" s="85" t="s">
        <v>208</v>
      </c>
    </row>
    <row r="39" spans="1:7">
      <c r="A39" s="85" t="s">
        <v>199</v>
      </c>
      <c r="B39" s="86" t="s">
        <v>157</v>
      </c>
      <c r="C39" s="87" t="s">
        <v>180</v>
      </c>
      <c r="D39" s="87"/>
      <c r="E39" s="87" t="s">
        <v>181</v>
      </c>
      <c r="F39" s="87"/>
    </row>
    <row r="40" spans="1:7">
      <c r="B40" s="89" t="s">
        <v>30</v>
      </c>
      <c r="C40" s="43">
        <f>C5</f>
        <v>8.20226081818182</v>
      </c>
      <c r="D40" s="43"/>
      <c r="E40" s="43">
        <f>E5</f>
        <v>9.7364542499999995</v>
      </c>
      <c r="F40" s="90"/>
    </row>
    <row r="41" spans="1:7">
      <c r="B41" s="89" t="s">
        <v>166</v>
      </c>
      <c r="C41" s="43">
        <f>C6</f>
        <v>2.3160282500000005</v>
      </c>
      <c r="D41" s="43"/>
      <c r="E41" s="43">
        <f>E6</f>
        <v>2.2597175000000003</v>
      </c>
      <c r="F41" s="90"/>
    </row>
    <row r="42" spans="1:7">
      <c r="B42" s="89" t="s">
        <v>99</v>
      </c>
      <c r="C42" s="43">
        <f>C11</f>
        <v>5.49</v>
      </c>
      <c r="D42" s="43"/>
      <c r="E42" s="43">
        <f>E11</f>
        <v>5.49</v>
      </c>
      <c r="F42" s="90"/>
    </row>
    <row r="43" spans="1:7">
      <c r="B43" s="89" t="s">
        <v>167</v>
      </c>
      <c r="C43" s="43">
        <f>C7</f>
        <v>8.4465725590909084</v>
      </c>
      <c r="D43" s="43"/>
      <c r="E43" s="43">
        <f>E7</f>
        <v>9.9817427500000004</v>
      </c>
      <c r="F43" s="90"/>
    </row>
    <row r="44" spans="1:7">
      <c r="B44" s="89" t="s">
        <v>22</v>
      </c>
      <c r="C44" s="95">
        <f>C40+(C41*2)+C42+C43</f>
        <v>26.77088987727273</v>
      </c>
      <c r="D44" s="95"/>
      <c r="E44" s="95">
        <f>E40+(E41*2)+E42+E43</f>
        <v>29.727632</v>
      </c>
      <c r="F44" s="96"/>
    </row>
    <row r="45" spans="1:7">
      <c r="B45" s="97" t="s">
        <v>196</v>
      </c>
      <c r="C45" s="92">
        <f>C12</f>
        <v>12.307138568181818</v>
      </c>
      <c r="D45" s="92"/>
      <c r="E45" s="92">
        <f>E12</f>
        <v>13.274585999999999</v>
      </c>
      <c r="F45" s="93"/>
    </row>
    <row r="46" spans="1:7">
      <c r="A46" s="29"/>
      <c r="B46" s="85" t="s">
        <v>209</v>
      </c>
      <c r="C46" s="29"/>
      <c r="D46" s="29"/>
      <c r="E46" s="29"/>
      <c r="F46" s="29"/>
    </row>
    <row r="47" spans="1:7">
      <c r="C47" s="105">
        <f>C44-C40</f>
        <v>18.56862905909091</v>
      </c>
      <c r="E47" s="105">
        <f>E44-E40</f>
        <v>19.991177749999999</v>
      </c>
    </row>
    <row r="48" spans="1:7">
      <c r="C48" s="105">
        <f>C47-C41</f>
        <v>16.252600809090907</v>
      </c>
      <c r="E48" s="105">
        <f>E47-E41</f>
        <v>17.731460249999998</v>
      </c>
    </row>
    <row r="50" spans="1:6">
      <c r="A50" s="85" t="s">
        <v>197</v>
      </c>
      <c r="B50" s="86" t="s">
        <v>157</v>
      </c>
      <c r="C50" s="87" t="s">
        <v>180</v>
      </c>
      <c r="D50" s="87"/>
      <c r="E50" s="87" t="s">
        <v>181</v>
      </c>
      <c r="F50" s="87"/>
    </row>
    <row r="51" spans="1:6">
      <c r="B51" s="89" t="s">
        <v>30</v>
      </c>
      <c r="C51" s="43">
        <f>C5</f>
        <v>8.20226081818182</v>
      </c>
      <c r="D51" s="43"/>
      <c r="E51" s="43">
        <f>E5</f>
        <v>9.7364542499999995</v>
      </c>
      <c r="F51" s="90"/>
    </row>
    <row r="52" spans="1:6">
      <c r="B52" s="89" t="s">
        <v>166</v>
      </c>
      <c r="C52" s="43">
        <f>C6</f>
        <v>2.3160282500000005</v>
      </c>
      <c r="D52" s="43"/>
      <c r="E52" s="43">
        <f>E6</f>
        <v>2.2597175000000003</v>
      </c>
      <c r="F52" s="90"/>
    </row>
    <row r="53" spans="1:6">
      <c r="B53" s="89" t="s">
        <v>167</v>
      </c>
      <c r="C53" s="43">
        <f>C7</f>
        <v>8.4465725590909084</v>
      </c>
      <c r="D53" s="43"/>
      <c r="E53" s="43">
        <f>E7</f>
        <v>9.9817427500000004</v>
      </c>
      <c r="F53" s="90"/>
    </row>
    <row r="54" spans="1:6">
      <c r="B54" s="89" t="s">
        <v>174</v>
      </c>
      <c r="C54" s="43">
        <f>C8</f>
        <v>12.268272000000001</v>
      </c>
      <c r="D54" s="43"/>
      <c r="E54" s="43">
        <f>E8</f>
        <v>12.268272000000001</v>
      </c>
      <c r="F54" s="90"/>
    </row>
    <row r="55" spans="1:6">
      <c r="B55" s="89" t="s">
        <v>22</v>
      </c>
      <c r="C55" s="95">
        <f>C51+(C52*2)+C53+C54</f>
        <v>33.549161877272731</v>
      </c>
      <c r="D55" s="95"/>
      <c r="E55" s="95">
        <f>E51+(E52*2)+E53+E54</f>
        <v>36.505904000000001</v>
      </c>
      <c r="F55" s="96"/>
    </row>
    <row r="56" spans="1:6">
      <c r="B56" s="97" t="s">
        <v>196</v>
      </c>
      <c r="C56" s="92">
        <f>C12</f>
        <v>12.307138568181818</v>
      </c>
      <c r="D56" s="92"/>
      <c r="E56" s="92">
        <f>E12</f>
        <v>13.274585999999999</v>
      </c>
      <c r="F56" s="93"/>
    </row>
    <row r="57" spans="1:6">
      <c r="B57" s="106" t="s">
        <v>210</v>
      </c>
    </row>
    <row r="58" spans="1:6">
      <c r="C58" s="105">
        <f>C55-C51</f>
        <v>25.346901059090911</v>
      </c>
      <c r="E58" s="105">
        <f>E55-E51</f>
        <v>26.76944975</v>
      </c>
    </row>
    <row r="59" spans="1:6">
      <c r="C59" s="105">
        <f>C58-C52</f>
        <v>23.030872809090909</v>
      </c>
      <c r="E59" s="105">
        <f>E58-E52</f>
        <v>24.509732249999999</v>
      </c>
    </row>
    <row r="60" spans="1:6">
      <c r="A60" s="85" t="s">
        <v>201</v>
      </c>
      <c r="B60" s="86" t="s">
        <v>157</v>
      </c>
      <c r="C60" s="87" t="s">
        <v>180</v>
      </c>
      <c r="D60" s="87"/>
      <c r="E60" s="87" t="s">
        <v>181</v>
      </c>
      <c r="F60" s="87"/>
    </row>
    <row r="61" spans="1:6">
      <c r="B61" s="89" t="s">
        <v>30</v>
      </c>
      <c r="C61" s="43">
        <f>C5</f>
        <v>8.20226081818182</v>
      </c>
      <c r="D61" s="43"/>
      <c r="E61" s="43">
        <f>E5</f>
        <v>9.7364542499999995</v>
      </c>
      <c r="F61" s="90"/>
    </row>
    <row r="62" spans="1:6">
      <c r="B62" s="89" t="s">
        <v>166</v>
      </c>
      <c r="C62" s="43">
        <f>C6</f>
        <v>2.3160282500000005</v>
      </c>
      <c r="D62" s="43"/>
      <c r="E62" s="43">
        <f>E6</f>
        <v>2.2597175000000003</v>
      </c>
      <c r="F62" s="90"/>
    </row>
    <row r="63" spans="1:6">
      <c r="B63" s="89" t="s">
        <v>167</v>
      </c>
      <c r="C63" s="43">
        <f>C7</f>
        <v>8.4465725590909084</v>
      </c>
      <c r="D63" s="43"/>
      <c r="E63" s="43">
        <f>E7</f>
        <v>9.9817427500000004</v>
      </c>
      <c r="F63" s="90"/>
    </row>
    <row r="64" spans="1:6">
      <c r="B64" s="89" t="s">
        <v>23</v>
      </c>
      <c r="C64" s="43">
        <f>C10</f>
        <v>4.0894240000000002</v>
      </c>
      <c r="D64" s="43"/>
      <c r="E64" s="43">
        <f>E10</f>
        <v>4.0894240000000002</v>
      </c>
      <c r="F64" s="90"/>
    </row>
    <row r="65" spans="1:6">
      <c r="B65" s="89" t="s">
        <v>22</v>
      </c>
      <c r="C65" s="95">
        <f>(C61+(C62*2)+C63+C64)</f>
        <v>25.370313877272729</v>
      </c>
      <c r="D65" s="95"/>
      <c r="E65" s="95">
        <f>E61+(E62*2)+E63+E64</f>
        <v>28.327055999999999</v>
      </c>
      <c r="F65" s="96"/>
    </row>
    <row r="66" spans="1:6">
      <c r="B66" s="97" t="s">
        <v>196</v>
      </c>
      <c r="C66" s="92">
        <f>C12</f>
        <v>12.307138568181818</v>
      </c>
      <c r="D66" s="92"/>
      <c r="E66" s="92">
        <f>E12</f>
        <v>13.274585999999999</v>
      </c>
      <c r="F66" s="93"/>
    </row>
    <row r="67" spans="1:6">
      <c r="B67" s="106" t="s">
        <v>211</v>
      </c>
    </row>
    <row r="68" spans="1:6">
      <c r="C68" s="105">
        <f>C65-C61</f>
        <v>17.168053059090909</v>
      </c>
      <c r="E68" s="105">
        <f>E65-E61</f>
        <v>18.590601749999998</v>
      </c>
    </row>
    <row r="69" spans="1:6">
      <c r="C69" s="105">
        <f>C68-C62</f>
        <v>14.852024809090908</v>
      </c>
      <c r="E69" s="105">
        <f>E68-E62</f>
        <v>16.330884249999997</v>
      </c>
    </row>
    <row r="70" spans="1:6">
      <c r="A70" s="85" t="s">
        <v>202</v>
      </c>
      <c r="B70" s="86" t="s">
        <v>157</v>
      </c>
      <c r="C70" s="87" t="s">
        <v>180</v>
      </c>
      <c r="D70" s="87"/>
      <c r="E70" s="87" t="s">
        <v>181</v>
      </c>
      <c r="F70" s="87"/>
    </row>
    <row r="71" spans="1:6">
      <c r="B71" s="89" t="s">
        <v>30</v>
      </c>
      <c r="C71" s="43">
        <f>C5</f>
        <v>8.20226081818182</v>
      </c>
      <c r="D71" s="43"/>
      <c r="E71" s="43">
        <f>E5</f>
        <v>9.7364542499999995</v>
      </c>
      <c r="F71" s="90"/>
    </row>
    <row r="72" spans="1:6">
      <c r="B72" s="89" t="s">
        <v>166</v>
      </c>
      <c r="C72" s="43">
        <f>C6</f>
        <v>2.3160282500000005</v>
      </c>
      <c r="D72" s="43"/>
      <c r="E72" s="43">
        <f>E6</f>
        <v>2.2597175000000003</v>
      </c>
      <c r="F72" s="90"/>
    </row>
    <row r="73" spans="1:6">
      <c r="B73" s="89" t="s">
        <v>167</v>
      </c>
      <c r="C73" s="43">
        <f>C7</f>
        <v>8.4465725590909084</v>
      </c>
      <c r="D73" s="43"/>
      <c r="E73" s="43">
        <f>E7</f>
        <v>9.9817427500000004</v>
      </c>
      <c r="F73" s="90"/>
    </row>
    <row r="74" spans="1:6">
      <c r="B74" s="89" t="s">
        <v>203</v>
      </c>
      <c r="C74" s="43">
        <f>C8</f>
        <v>12.268272000000001</v>
      </c>
      <c r="D74" s="43"/>
      <c r="E74" s="43">
        <f>E8</f>
        <v>12.268272000000001</v>
      </c>
      <c r="F74" s="90"/>
    </row>
    <row r="75" spans="1:6">
      <c r="B75" s="89" t="s">
        <v>22</v>
      </c>
      <c r="C75" s="95">
        <f>C71+(C72*2)+C73+C74</f>
        <v>33.549161877272731</v>
      </c>
      <c r="D75" s="95"/>
      <c r="E75" s="95">
        <f>E71+(E72*2)+E73+E74</f>
        <v>36.505904000000001</v>
      </c>
      <c r="F75" s="96"/>
    </row>
    <row r="76" spans="1:6">
      <c r="B76" s="97" t="s">
        <v>196</v>
      </c>
      <c r="C76" s="92">
        <f>C12</f>
        <v>12.307138568181818</v>
      </c>
      <c r="D76" s="92"/>
      <c r="E76" s="92">
        <f>E12</f>
        <v>13.274585999999999</v>
      </c>
      <c r="F76" s="93"/>
    </row>
    <row r="77" spans="1:6">
      <c r="B77" s="106" t="s">
        <v>212</v>
      </c>
    </row>
    <row r="78" spans="1:6">
      <c r="C78" s="105">
        <f>C75-C71</f>
        <v>25.346901059090911</v>
      </c>
      <c r="E78" s="105">
        <f>E75-E71</f>
        <v>26.76944975</v>
      </c>
    </row>
    <row r="79" spans="1:6">
      <c r="C79" s="105">
        <f>C78-C72</f>
        <v>23.030872809090909</v>
      </c>
      <c r="E79" s="105">
        <f>E78-E72</f>
        <v>24.509732249999999</v>
      </c>
    </row>
    <row r="80" spans="1:6">
      <c r="C80" s="105"/>
      <c r="E80" s="105"/>
    </row>
    <row r="81" spans="1:6">
      <c r="A81" s="85" t="s">
        <v>204</v>
      </c>
      <c r="B81" s="86"/>
      <c r="C81" s="87" t="s">
        <v>25</v>
      </c>
      <c r="D81" s="87"/>
      <c r="E81" s="87" t="s">
        <v>26</v>
      </c>
      <c r="F81" s="98"/>
    </row>
    <row r="82" spans="1:6">
      <c r="B82" s="89" t="s">
        <v>30</v>
      </c>
      <c r="C82" s="43">
        <f>C5</f>
        <v>8.20226081818182</v>
      </c>
      <c r="D82" s="43"/>
      <c r="E82" s="43">
        <f>E5</f>
        <v>9.7364542499999995</v>
      </c>
      <c r="F82" s="90"/>
    </row>
    <row r="83" spans="1:6">
      <c r="B83" s="89" t="s">
        <v>166</v>
      </c>
      <c r="C83" s="43">
        <f>C6</f>
        <v>2.3160282500000005</v>
      </c>
      <c r="D83" s="43"/>
      <c r="E83" s="43">
        <f>E6</f>
        <v>2.2597175000000003</v>
      </c>
      <c r="F83" s="90"/>
    </row>
    <row r="84" spans="1:6">
      <c r="B84" s="89" t="s">
        <v>167</v>
      </c>
      <c r="C84" s="43">
        <f>C7</f>
        <v>8.4465725590909084</v>
      </c>
      <c r="D84" s="43"/>
      <c r="E84" s="43">
        <f>E7</f>
        <v>9.9817427500000004</v>
      </c>
      <c r="F84" s="90"/>
    </row>
    <row r="85" spans="1:6">
      <c r="B85" s="89" t="s">
        <v>4</v>
      </c>
      <c r="C85" s="43">
        <f>C9</f>
        <v>3.6592180000000001</v>
      </c>
      <c r="D85" s="43"/>
      <c r="E85" s="43">
        <f>E9</f>
        <v>3.665718</v>
      </c>
      <c r="F85" s="90"/>
    </row>
    <row r="86" spans="1:6">
      <c r="B86" s="89" t="s">
        <v>22</v>
      </c>
      <c r="C86" s="95">
        <f>C82+(C83*2)+C84+C85</f>
        <v>24.940107877272727</v>
      </c>
      <c r="D86" s="95"/>
      <c r="E86" s="95">
        <f>E82+(E83*2)+E84+E85</f>
        <v>27.903349999999996</v>
      </c>
      <c r="F86" s="96"/>
    </row>
    <row r="87" spans="1:6">
      <c r="B87" s="97" t="s">
        <v>196</v>
      </c>
      <c r="C87" s="92">
        <f>C12</f>
        <v>12.307138568181818</v>
      </c>
      <c r="D87" s="92"/>
      <c r="E87" s="92">
        <f>E12</f>
        <v>13.274585999999999</v>
      </c>
      <c r="F87" s="93"/>
    </row>
    <row r="88" spans="1:6">
      <c r="B88" s="106" t="s">
        <v>213</v>
      </c>
    </row>
    <row r="89" spans="1:6">
      <c r="C89" s="105">
        <f>C86-C82</f>
        <v>16.737847059090907</v>
      </c>
      <c r="E89" s="105">
        <f>E86-E82</f>
        <v>18.166895749999995</v>
      </c>
    </row>
    <row r="90" spans="1:6">
      <c r="C90" s="105">
        <f>C89-C83</f>
        <v>14.421818809090906</v>
      </c>
      <c r="E90" s="105">
        <f>E89-E83</f>
        <v>15.907178249999994</v>
      </c>
    </row>
    <row r="92" spans="1:6">
      <c r="A92" s="85" t="s">
        <v>214</v>
      </c>
      <c r="B92" s="86" t="s">
        <v>157</v>
      </c>
      <c r="C92" s="87" t="s">
        <v>180</v>
      </c>
      <c r="D92" s="87"/>
      <c r="E92" s="87" t="s">
        <v>181</v>
      </c>
      <c r="F92" s="87"/>
    </row>
    <row r="93" spans="1:6">
      <c r="B93" s="89" t="s">
        <v>121</v>
      </c>
      <c r="C93" s="43">
        <f>C5</f>
        <v>8.20226081818182</v>
      </c>
      <c r="D93" s="43"/>
      <c r="E93" s="43">
        <f>E5</f>
        <v>9.7364542499999995</v>
      </c>
      <c r="F93" s="90"/>
    </row>
    <row r="94" spans="1:6">
      <c r="B94" s="89" t="s">
        <v>166</v>
      </c>
      <c r="C94" s="43">
        <f>C6</f>
        <v>2.3160282500000005</v>
      </c>
      <c r="D94" s="43"/>
      <c r="E94" s="43">
        <f>E6</f>
        <v>2.2597175000000003</v>
      </c>
      <c r="F94" s="90"/>
    </row>
    <row r="95" spans="1:6">
      <c r="B95" s="89" t="s">
        <v>22</v>
      </c>
      <c r="C95" s="95">
        <f>SUM(C93:D94)</f>
        <v>10.51828906818182</v>
      </c>
      <c r="D95" s="95"/>
      <c r="E95" s="95">
        <f>SUM(E93:F94)</f>
        <v>11.99617175</v>
      </c>
      <c r="F95" s="96"/>
    </row>
    <row r="96" spans="1:6">
      <c r="B96" s="97" t="s">
        <v>196</v>
      </c>
      <c r="C96" s="92">
        <f>C12</f>
        <v>12.307138568181818</v>
      </c>
      <c r="D96" s="92"/>
      <c r="E96" s="92">
        <f>E12</f>
        <v>13.274585999999999</v>
      </c>
      <c r="F96" s="93"/>
    </row>
    <row r="97" spans="2:2">
      <c r="B97" s="85" t="s">
        <v>215</v>
      </c>
    </row>
  </sheetData>
  <mergeCells count="30">
    <mergeCell ref="E32:F32"/>
    <mergeCell ref="C33:D33"/>
    <mergeCell ref="E33:F33"/>
    <mergeCell ref="C34:D34"/>
    <mergeCell ref="E34:F34"/>
    <mergeCell ref="E35:F35"/>
    <mergeCell ref="C36:D36"/>
    <mergeCell ref="E36:F36"/>
    <mergeCell ref="C81:D81"/>
    <mergeCell ref="E81:F81"/>
    <mergeCell ref="C70:D70"/>
    <mergeCell ref="E70:F70"/>
    <mergeCell ref="C60:D60"/>
    <mergeCell ref="E60:F60"/>
    <mergeCell ref="C50:D50"/>
    <mergeCell ref="E50:F50"/>
    <mergeCell ref="C92:D92"/>
    <mergeCell ref="E92:F92"/>
    <mergeCell ref="C25:D25"/>
    <mergeCell ref="E25:F25"/>
    <mergeCell ref="C39:D39"/>
    <mergeCell ref="E39:F39"/>
    <mergeCell ref="C32:D32"/>
    <mergeCell ref="A1:K1"/>
    <mergeCell ref="A15:K15"/>
    <mergeCell ref="C18:D18"/>
    <mergeCell ref="E18:F18"/>
    <mergeCell ref="C4:D4"/>
    <mergeCell ref="E4:F4"/>
    <mergeCell ref="C35:D35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B22D-473D-47ED-B724-AD3DABE9A6F8}">
  <dimension ref="A1:L19"/>
  <sheetViews>
    <sheetView zoomScale="80" zoomScaleNormal="80" workbookViewId="0">
      <selection activeCell="A21" sqref="A21"/>
    </sheetView>
  </sheetViews>
  <sheetFormatPr defaultColWidth="11.19921875" defaultRowHeight="15.6"/>
  <cols>
    <col min="1" max="1" width="27.296875" style="85" customWidth="1"/>
    <col min="2" max="2" width="10.296875" style="85" bestFit="1" customWidth="1"/>
    <col min="3" max="3" width="10.796875" style="85" bestFit="1" customWidth="1"/>
    <col min="4" max="4" width="11.19921875" style="85"/>
    <col min="5" max="5" width="9.69921875" style="85" customWidth="1"/>
    <col min="6" max="6" width="8.59765625" style="85" customWidth="1"/>
    <col min="7" max="16384" width="11.19921875" style="85"/>
  </cols>
  <sheetData>
    <row r="1" spans="1:12" ht="46.8">
      <c r="A1" s="107" t="s">
        <v>216</v>
      </c>
      <c r="B1" s="108" t="s">
        <v>234</v>
      </c>
      <c r="C1" s="108" t="s">
        <v>235</v>
      </c>
    </row>
    <row r="2" spans="1:12">
      <c r="A2" s="109"/>
      <c r="B2" s="110" t="s">
        <v>217</v>
      </c>
      <c r="C2" s="110" t="s">
        <v>217</v>
      </c>
      <c r="E2" s="111"/>
      <c r="F2" s="111"/>
    </row>
    <row r="3" spans="1:12" ht="16.2" thickBot="1">
      <c r="A3" s="112"/>
      <c r="B3" s="113"/>
      <c r="C3" s="113"/>
    </row>
    <row r="4" spans="1:12" ht="18" thickBot="1">
      <c r="A4" s="114" t="s">
        <v>231</v>
      </c>
      <c r="B4" s="115">
        <f>('Weighted Summary'!C5+'Weighted Summary'!C12*1)*1.5</f>
        <v>30.76409907954546</v>
      </c>
      <c r="C4" s="115">
        <f>('Weighted Summary'!E5+'Weighted Summary'!E12*1)*1.3</f>
        <v>29.914352325000003</v>
      </c>
      <c r="E4" s="35"/>
      <c r="F4" s="35"/>
      <c r="H4" s="105"/>
    </row>
    <row r="5" spans="1:12" ht="18" thickBot="1">
      <c r="A5" s="114" t="s">
        <v>232</v>
      </c>
      <c r="B5" s="115">
        <f>'Weighted Summary'!C12*1.5</f>
        <v>18.460707852272726</v>
      </c>
      <c r="C5" s="115">
        <f>'Weighted Summary'!E12*1.3</f>
        <v>17.256961799999999</v>
      </c>
      <c r="D5" s="116"/>
      <c r="E5" s="117"/>
      <c r="F5" s="117"/>
      <c r="I5" s="105"/>
      <c r="J5" s="105"/>
      <c r="L5" s="116"/>
    </row>
    <row r="6" spans="1:12" ht="16.2" thickBot="1">
      <c r="A6" s="114" t="s">
        <v>218</v>
      </c>
      <c r="B6" s="118">
        <f>'Weighted Summary'!C$6*1.5</f>
        <v>3.4740423750000007</v>
      </c>
      <c r="C6" s="118">
        <f>'Weighted Summary'!E$6*1.3</f>
        <v>2.9376327500000006</v>
      </c>
      <c r="D6" s="116"/>
      <c r="E6" s="117"/>
      <c r="F6" s="117"/>
      <c r="L6" s="116"/>
    </row>
    <row r="7" spans="1:12" ht="16.2" thickBot="1">
      <c r="A7" s="114" t="s">
        <v>219</v>
      </c>
      <c r="B7" s="118">
        <f>'Weighted Summary'!C$6*1.5</f>
        <v>3.4740423750000007</v>
      </c>
      <c r="C7" s="118">
        <f>'Weighted Summary'!E$6*1.3</f>
        <v>2.9376327500000006</v>
      </c>
      <c r="D7" s="116"/>
      <c r="E7" s="117"/>
      <c r="F7" s="117"/>
      <c r="L7" s="116"/>
    </row>
    <row r="8" spans="1:12" ht="16.2" thickBot="1">
      <c r="A8" s="114" t="s">
        <v>220</v>
      </c>
      <c r="B8" s="118">
        <f>'Weighted Summary'!C$6*1.5</f>
        <v>3.4740423750000007</v>
      </c>
      <c r="C8" s="118">
        <f>'Weighted Summary'!E$6*1.3</f>
        <v>2.9376327500000006</v>
      </c>
      <c r="D8" s="116"/>
      <c r="E8" s="117"/>
      <c r="F8" s="117"/>
      <c r="L8" s="116"/>
    </row>
    <row r="9" spans="1:12" ht="16.2" thickBot="1">
      <c r="A9" s="114" t="s">
        <v>221</v>
      </c>
      <c r="B9" s="118">
        <v>0</v>
      </c>
      <c r="C9" s="118">
        <v>0</v>
      </c>
      <c r="D9" s="116"/>
      <c r="E9" s="117"/>
      <c r="F9" s="117"/>
      <c r="L9" s="116"/>
    </row>
    <row r="10" spans="1:12" ht="16.2" thickBot="1">
      <c r="A10" s="114" t="s">
        <v>222</v>
      </c>
      <c r="B10" s="118">
        <f>('Weighted Summary'!C41+'Weighted Summary'!C42+'Weighted Summary'!C43)*1.5</f>
        <v>24.378901213636361</v>
      </c>
      <c r="C10" s="118">
        <f>('Weighted Summary'!E41+'Weighted Summary'!E42+'Weighted Summary'!E43)*1.3</f>
        <v>23.050898325000002</v>
      </c>
      <c r="D10" s="116"/>
      <c r="E10" s="117"/>
      <c r="F10" s="117"/>
      <c r="L10" s="116"/>
    </row>
    <row r="11" spans="1:12" ht="16.2" thickBot="1">
      <c r="A11" s="114" t="s">
        <v>223</v>
      </c>
      <c r="B11" s="118">
        <f>('Weighted Summary'!C52+'Weighted Summary'!C54+'Weighted Summary'!C53)*1.5</f>
        <v>34.546309213636363</v>
      </c>
      <c r="C11" s="118">
        <f>('Weighted Summary'!E52+'Weighted Summary'!E54+'Weighted Summary'!E53)*1.3</f>
        <v>31.862651925000005</v>
      </c>
      <c r="D11" s="116"/>
      <c r="E11" s="117"/>
      <c r="F11" s="117"/>
      <c r="L11" s="116"/>
    </row>
    <row r="12" spans="1:12" ht="18.600000000000001" customHeight="1" thickBot="1">
      <c r="A12" s="114" t="s">
        <v>224</v>
      </c>
      <c r="B12" s="118">
        <f>('Weighted Summary'!C62+'Weighted Summary'!C63+'Weighted Summary'!C64)*1.5</f>
        <v>22.278037213636367</v>
      </c>
      <c r="C12" s="118">
        <f>('Weighted Summary'!E62+'Weighted Summary'!E63+'Weighted Summary'!E64)*1.3</f>
        <v>21.230149525000002</v>
      </c>
      <c r="D12" s="116"/>
      <c r="E12" s="117"/>
      <c r="F12" s="117"/>
      <c r="L12" s="116"/>
    </row>
    <row r="13" spans="1:12" ht="16.2" thickBot="1">
      <c r="A13" s="114" t="s">
        <v>225</v>
      </c>
      <c r="B13" s="118">
        <f>('Weighted Summary'!C72+'Weighted Summary'!C73+'Weighted Summary'!C74)*1.5</f>
        <v>34.546309213636363</v>
      </c>
      <c r="C13" s="118">
        <f>('Weighted Summary'!E72+'Weighted Summary'!E73+'Weighted Summary'!E74)*1.3</f>
        <v>31.862651925000005</v>
      </c>
      <c r="D13" s="116"/>
      <c r="E13" s="117"/>
      <c r="F13" s="117"/>
      <c r="L13" s="116"/>
    </row>
    <row r="14" spans="1:12" ht="16.2" thickBot="1">
      <c r="A14" s="114" t="s">
        <v>226</v>
      </c>
      <c r="B14" s="118">
        <f>('Weighted Summary'!C83+'Weighted Summary'!C84+'Weighted Summary'!C85)*1.5</f>
        <v>21.632728213636362</v>
      </c>
      <c r="C14" s="118">
        <f>('Weighted Summary'!E83+'Weighted Summary'!E84+'Weighted Summary'!E85)*1.3</f>
        <v>20.679331725000001</v>
      </c>
      <c r="D14" s="116"/>
      <c r="E14" s="117"/>
      <c r="F14" s="117"/>
      <c r="L14" s="116"/>
    </row>
    <row r="15" spans="1:12" ht="18" thickBot="1">
      <c r="A15" s="114" t="s">
        <v>233</v>
      </c>
      <c r="B15" s="115">
        <f>('Weighted Summary'!C12)*1.5</f>
        <v>18.460707852272726</v>
      </c>
      <c r="C15" s="115">
        <f>('Weighted Summary'!E12)*1.3</f>
        <v>17.256961799999999</v>
      </c>
      <c r="D15" s="116"/>
      <c r="E15" s="117"/>
      <c r="F15" s="117"/>
      <c r="L15" s="116"/>
    </row>
    <row r="16" spans="1:12" ht="16.2" thickBot="1">
      <c r="A16" s="114" t="s">
        <v>227</v>
      </c>
      <c r="B16" s="119">
        <f>'Weighted Summary'!C6*1.5</f>
        <v>3.4740423750000007</v>
      </c>
      <c r="C16" s="119">
        <f>'Weighted Summary'!E6*1.3</f>
        <v>2.9376327500000006</v>
      </c>
      <c r="D16" s="116"/>
      <c r="E16" s="117"/>
      <c r="F16" s="117"/>
      <c r="L16" s="116"/>
    </row>
    <row r="17" spans="1:12" ht="16.2" thickBot="1">
      <c r="A17" s="114" t="s">
        <v>228</v>
      </c>
      <c r="B17" s="119">
        <f>'Weighted Summary'!C6*1.5</f>
        <v>3.4740423750000007</v>
      </c>
      <c r="C17" s="119">
        <f>'Weighted Summary'!E6*1.3</f>
        <v>2.9376327500000006</v>
      </c>
      <c r="D17" s="116"/>
      <c r="E17" s="117"/>
      <c r="F17" s="117"/>
      <c r="L17" s="116"/>
    </row>
    <row r="18" spans="1:12">
      <c r="A18" s="121" t="s">
        <v>230</v>
      </c>
    </row>
    <row r="19" spans="1:12">
      <c r="A19" s="120" t="s">
        <v>229</v>
      </c>
    </row>
  </sheetData>
  <mergeCells count="4">
    <mergeCell ref="A1:A3"/>
    <mergeCell ref="E2:F2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CHG Control</vt:lpstr>
      <vt:lpstr>CHG Experimental</vt:lpstr>
      <vt:lpstr>PVI Control</vt:lpstr>
      <vt:lpstr>PVI Experimental</vt:lpstr>
      <vt:lpstr>Unit Price</vt:lpstr>
      <vt:lpstr>Summary</vt:lpstr>
      <vt:lpstr>Weighted Summary</vt:lpstr>
      <vt:lpstr>Table_Article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Franck Maunoury</cp:lastModifiedBy>
  <dcterms:created xsi:type="dcterms:W3CDTF">2021-11-07T21:36:18Z</dcterms:created>
  <dcterms:modified xsi:type="dcterms:W3CDTF">2022-03-10T17:08:45Z</dcterms:modified>
</cp:coreProperties>
</file>