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hoorulhassan/Desktop/PLOS ONE R1/PLOS ONE R1/"/>
    </mc:Choice>
  </mc:AlternateContent>
  <xr:revisionPtr revIDLastSave="0" documentId="13_ncr:1_{6F743865-E129-8944-B3FB-5D1C601EA32F}" xr6:coauthVersionLast="45" xr6:coauthVersionMax="45" xr10:uidLastSave="{00000000-0000-0000-0000-000000000000}"/>
  <bookViews>
    <workbookView xWindow="0" yWindow="460" windowWidth="28800" windowHeight="16260" activeTab="4" xr2:uid="{D19A59AD-F1E6-3D44-BD09-26EF635D5870}"/>
  </bookViews>
  <sheets>
    <sheet name="Table 1 AFs" sheetId="1" r:id="rId1"/>
    <sheet name="Table 1 OTA" sheetId="2" r:id="rId2"/>
    <sheet name="Table 2 AF &amp; OTA" sheetId="5" r:id="rId3"/>
    <sheet name="Figure 2 OTA" sheetId="3" r:id="rId4"/>
    <sheet name="Figure 3 AF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P5" i="3"/>
  <c r="P6" i="3"/>
  <c r="P4" i="3"/>
  <c r="M6" i="3"/>
  <c r="O6" i="3"/>
  <c r="M5" i="3"/>
  <c r="O5" i="3"/>
  <c r="K6" i="3"/>
  <c r="K5" i="3"/>
  <c r="M4" i="3"/>
  <c r="O4" i="3"/>
  <c r="K4" i="3"/>
  <c r="Q11" i="3"/>
  <c r="Q12" i="3"/>
  <c r="Q10" i="3"/>
  <c r="P11" i="3"/>
  <c r="P12" i="3"/>
  <c r="P10" i="3"/>
  <c r="O12" i="3"/>
  <c r="O11" i="3"/>
  <c r="M12" i="3"/>
  <c r="M11" i="3"/>
  <c r="K12" i="3"/>
  <c r="K11" i="3"/>
  <c r="O10" i="3"/>
  <c r="M10" i="3"/>
  <c r="K10" i="3"/>
  <c r="O21" i="4" l="1"/>
  <c r="J21" i="4"/>
  <c r="E21" i="4"/>
  <c r="O20" i="4"/>
  <c r="J20" i="4"/>
  <c r="E20" i="4"/>
  <c r="O19" i="4"/>
  <c r="J19" i="4"/>
  <c r="E19" i="4"/>
  <c r="O18" i="4"/>
  <c r="J18" i="4"/>
  <c r="E18" i="4"/>
  <c r="G13" i="4" l="1"/>
  <c r="E13" i="4"/>
  <c r="C13" i="4"/>
  <c r="I13" i="4" s="1"/>
  <c r="G12" i="4"/>
  <c r="E12" i="4"/>
  <c r="C12" i="4"/>
  <c r="I12" i="4" s="1"/>
  <c r="H11" i="4"/>
  <c r="G11" i="4"/>
  <c r="E11" i="4"/>
  <c r="I11" i="4"/>
  <c r="H10" i="4"/>
  <c r="G10" i="4"/>
  <c r="E10" i="4"/>
  <c r="C10" i="4"/>
  <c r="G6" i="4"/>
  <c r="E6" i="4"/>
  <c r="C6" i="4"/>
  <c r="H6" i="4" s="1"/>
  <c r="G5" i="4"/>
  <c r="E5" i="4"/>
  <c r="C5" i="4"/>
  <c r="I5" i="4" s="1"/>
  <c r="G4" i="4"/>
  <c r="E4" i="4"/>
  <c r="C4" i="4"/>
  <c r="I4" i="4" s="1"/>
  <c r="O19" i="3"/>
  <c r="J19" i="3"/>
  <c r="E19" i="3"/>
  <c r="O18" i="3"/>
  <c r="J18" i="3"/>
  <c r="E18" i="3"/>
  <c r="O17" i="3"/>
  <c r="J17" i="3"/>
  <c r="E17" i="3"/>
  <c r="O16" i="3"/>
  <c r="J16" i="3"/>
  <c r="E16" i="3"/>
  <c r="G12" i="3"/>
  <c r="E12" i="3"/>
  <c r="C12" i="3"/>
  <c r="I12" i="3" s="1"/>
  <c r="G11" i="3"/>
  <c r="H11" i="3" s="1"/>
  <c r="E11" i="3"/>
  <c r="C11" i="3"/>
  <c r="I11" i="3" s="1"/>
  <c r="I10" i="3"/>
  <c r="H10" i="3"/>
  <c r="G10" i="3"/>
  <c r="E10" i="3"/>
  <c r="C10" i="3"/>
  <c r="H9" i="3"/>
  <c r="G9" i="3"/>
  <c r="E9" i="3"/>
  <c r="C9" i="3"/>
  <c r="G6" i="3"/>
  <c r="E6" i="3"/>
  <c r="C6" i="3"/>
  <c r="H6" i="3" s="1"/>
  <c r="G5" i="3"/>
  <c r="E5" i="3"/>
  <c r="C5" i="3"/>
  <c r="I5" i="3" s="1"/>
  <c r="G4" i="3"/>
  <c r="H4" i="3" s="1"/>
  <c r="E4" i="3"/>
  <c r="C4" i="3"/>
  <c r="I4" i="3" s="1"/>
  <c r="I6" i="4" l="1"/>
  <c r="H4" i="4"/>
  <c r="H12" i="4"/>
  <c r="H5" i="4"/>
  <c r="H13" i="4"/>
  <c r="H5" i="3"/>
  <c r="H12" i="3"/>
  <c r="I6" i="3"/>
  <c r="D13" i="2"/>
  <c r="D12" i="2"/>
  <c r="C13" i="2"/>
  <c r="C12" i="2"/>
  <c r="B13" i="2"/>
  <c r="B12" i="2"/>
  <c r="D13" i="1"/>
  <c r="D12" i="1"/>
  <c r="C13" i="1"/>
  <c r="C12" i="1"/>
  <c r="B13" i="1"/>
  <c r="B12" i="1"/>
</calcChain>
</file>

<file path=xl/sharedStrings.xml><?xml version="1.0" encoding="utf-8"?>
<sst xmlns="http://schemas.openxmlformats.org/spreadsheetml/2006/main" count="138" uniqueCount="48">
  <si>
    <t>Green coffee (µg/kg)</t>
  </si>
  <si>
    <t>Roasted coffee</t>
  </si>
  <si>
    <t>Powdered coffee</t>
  </si>
  <si>
    <t>Sample</t>
  </si>
  <si>
    <t>Mean</t>
  </si>
  <si>
    <t>SD</t>
  </si>
  <si>
    <t>Range</t>
  </si>
  <si>
    <t>0 - 14.50</t>
  </si>
  <si>
    <t>7.55 - 67.42</t>
  </si>
  <si>
    <t>29.01 - 136.08</t>
  </si>
  <si>
    <t>1.75 - 3.34</t>
  </si>
  <si>
    <t>1.68 - 6.14</t>
  </si>
  <si>
    <t>2.52 - 12.74</t>
  </si>
  <si>
    <t>Effect of coffee roasting on OTA</t>
  </si>
  <si>
    <t>Roasting conditions</t>
  </si>
  <si>
    <t>Replicate 1</t>
  </si>
  <si>
    <t>Reduction (%)</t>
  </si>
  <si>
    <t>Replicate 2</t>
  </si>
  <si>
    <t>Replicate 3</t>
  </si>
  <si>
    <t>Mean reduction %</t>
  </si>
  <si>
    <t>Unroasted</t>
  </si>
  <si>
    <t>R1.0</t>
  </si>
  <si>
    <t>R1.5</t>
  </si>
  <si>
    <t>R2.0</t>
  </si>
  <si>
    <t>Effect of coffee brewing on OTA</t>
  </si>
  <si>
    <t>Before brewing</t>
  </si>
  <si>
    <t>After brewing</t>
  </si>
  <si>
    <t>Total reduction</t>
  </si>
  <si>
    <t>Sample 2</t>
  </si>
  <si>
    <t>Sample 4</t>
  </si>
  <si>
    <t>Sample#8</t>
  </si>
  <si>
    <t>Effect of coffee roasting on AFs</t>
  </si>
  <si>
    <t>Effect of coffee brewing on AFs</t>
  </si>
  <si>
    <t>AF (µg/kg)</t>
  </si>
  <si>
    <t>OTA (µg/kg)</t>
  </si>
  <si>
    <t>Control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</si>
  <si>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</si>
  <si>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</si>
  <si>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</si>
  <si>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</si>
  <si>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</si>
  <si>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</si>
  <si>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</si>
  <si>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</si>
  <si>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</si>
  <si>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Coffee+Fungi</t>
  </si>
  <si>
    <t>Coffee+Fungi+BS</t>
  </si>
  <si>
    <t>Reduction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</si>
</sst>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2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CD71-91D7-7F47-9B2D-04FB724806A2}">
  <dimension ref="A1:D14"/>
  <sheetViews>
    <sheetView zoomScaleNormal="100" workbookViewId="0">
      <selection activeCell="F24" sqref="F24"/>
    </sheetView>
  </sheetViews>
  <sheetFormatPr baseColWidth="10" defaultRowHeight="16" x14ac:dyDescent="0.2"/>
  <cols>
    <col min="2" max="2" width="11.6640625" style="1" bestFit="1" customWidth="1"/>
    <col min="3" max="4" width="10.83203125" style="1"/>
  </cols>
  <sheetData>
    <row r="1" spans="1:4" x14ac:dyDescent="0.2">
      <c r="A1" t="s">
        <v>3</v>
      </c>
      <c r="B1" s="1" t="s">
        <v>0</v>
      </c>
      <c r="C1" s="1" t="s">
        <v>1</v>
      </c>
      <c r="D1" s="1" t="s">
        <v>2</v>
      </c>
    </row>
    <row r="2" spans="1:4" x14ac:dyDescent="0.2">
      <c r="A2">
        <v>1</v>
      </c>
      <c r="B2" s="2">
        <v>0</v>
      </c>
      <c r="C2" s="1">
        <v>7.55</v>
      </c>
      <c r="D2" s="1">
        <v>34.07</v>
      </c>
    </row>
    <row r="3" spans="1:4" x14ac:dyDescent="0.2">
      <c r="A3">
        <v>2</v>
      </c>
      <c r="B3" s="1">
        <v>11.48</v>
      </c>
      <c r="C3" s="1">
        <v>34</v>
      </c>
      <c r="D3" s="1">
        <v>70.209999999999994</v>
      </c>
    </row>
    <row r="4" spans="1:4" x14ac:dyDescent="0.2">
      <c r="A4">
        <v>3</v>
      </c>
      <c r="B4" s="1">
        <v>12.7</v>
      </c>
      <c r="C4" s="1">
        <v>25.11</v>
      </c>
      <c r="D4" s="1">
        <v>89.9</v>
      </c>
    </row>
    <row r="5" spans="1:4" x14ac:dyDescent="0.2">
      <c r="A5">
        <v>4</v>
      </c>
      <c r="B5" s="1">
        <v>13.25</v>
      </c>
      <c r="C5" s="1">
        <v>41.9</v>
      </c>
      <c r="D5" s="1">
        <v>118.15</v>
      </c>
    </row>
    <row r="6" spans="1:4" x14ac:dyDescent="0.2">
      <c r="A6">
        <v>5</v>
      </c>
      <c r="B6" s="1">
        <v>6.74</v>
      </c>
      <c r="C6" s="1">
        <v>48.75</v>
      </c>
      <c r="D6" s="1">
        <v>127.89</v>
      </c>
    </row>
    <row r="7" spans="1:4" x14ac:dyDescent="0.2">
      <c r="A7">
        <v>6</v>
      </c>
      <c r="B7" s="1">
        <v>3.03</v>
      </c>
      <c r="C7" s="1">
        <v>25.46</v>
      </c>
      <c r="D7" s="1">
        <v>29.01</v>
      </c>
    </row>
    <row r="8" spans="1:4" x14ac:dyDescent="0.2">
      <c r="A8">
        <v>7</v>
      </c>
      <c r="B8" s="1">
        <v>14.57</v>
      </c>
      <c r="C8" s="1">
        <v>67.42</v>
      </c>
      <c r="D8" s="1">
        <v>95.53</v>
      </c>
    </row>
    <row r="9" spans="1:4" x14ac:dyDescent="0.2">
      <c r="A9">
        <v>8</v>
      </c>
      <c r="B9" s="1">
        <v>10.75</v>
      </c>
      <c r="C9" s="1">
        <v>18.670000000000002</v>
      </c>
      <c r="D9" s="1">
        <v>136.08000000000001</v>
      </c>
    </row>
    <row r="10" spans="1:4" x14ac:dyDescent="0.2">
      <c r="A10">
        <v>9</v>
      </c>
      <c r="D10" s="1">
        <v>114.42</v>
      </c>
    </row>
    <row r="12" spans="1:4" x14ac:dyDescent="0.2">
      <c r="A12" t="s">
        <v>4</v>
      </c>
      <c r="B12" s="3">
        <f>AVERAGE(B2:B9)</f>
        <v>9.0650000000000013</v>
      </c>
      <c r="C12" s="3">
        <f t="shared" ref="C12" si="0">AVERAGE(C2:C9)</f>
        <v>33.607500000000002</v>
      </c>
      <c r="D12" s="3">
        <f>AVERAGE(D2:D10)</f>
        <v>90.584444444444443</v>
      </c>
    </row>
    <row r="13" spans="1:4" x14ac:dyDescent="0.2">
      <c r="A13" t="s">
        <v>5</v>
      </c>
      <c r="B13" s="3">
        <f>STDEV(B2:B9)</f>
        <v>5.2604318128023317</v>
      </c>
      <c r="C13" s="3">
        <f t="shared" ref="C13" si="1">STDEV(C2:C9)</f>
        <v>18.830869602862212</v>
      </c>
      <c r="D13" s="3">
        <f>STDEV(D2:D10)</f>
        <v>39.075061135944239</v>
      </c>
    </row>
    <row r="14" spans="1:4" x14ac:dyDescent="0.2">
      <c r="A14" t="s">
        <v>6</v>
      </c>
      <c r="B14" s="1" t="s">
        <v>7</v>
      </c>
      <c r="C14" s="1" t="s">
        <v>8</v>
      </c>
      <c r="D14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AD2C-6F98-A347-BB53-26C79E096710}">
  <dimension ref="A1:E14"/>
  <sheetViews>
    <sheetView zoomScaleNormal="205" workbookViewId="0">
      <selection activeCell="E30" sqref="E30"/>
    </sheetView>
  </sheetViews>
  <sheetFormatPr baseColWidth="10" defaultRowHeight="16" x14ac:dyDescent="0.2"/>
  <cols>
    <col min="1" max="5" width="10.83203125" style="1"/>
  </cols>
  <sheetData>
    <row r="1" spans="1:4" x14ac:dyDescent="0.2">
      <c r="A1" s="1" t="s">
        <v>3</v>
      </c>
      <c r="B1" s="1" t="s">
        <v>0</v>
      </c>
      <c r="C1" s="1" t="s">
        <v>1</v>
      </c>
      <c r="D1" s="1" t="s">
        <v>2</v>
      </c>
    </row>
    <row r="2" spans="1:4" x14ac:dyDescent="0.2">
      <c r="A2" s="1">
        <v>1</v>
      </c>
      <c r="B2" s="1">
        <v>1.91</v>
      </c>
      <c r="C2" s="1">
        <v>1.89</v>
      </c>
      <c r="D2" s="1">
        <v>2.52</v>
      </c>
    </row>
    <row r="3" spans="1:4" x14ac:dyDescent="0.2">
      <c r="A3" s="1">
        <v>2</v>
      </c>
      <c r="B3" s="1">
        <v>3.34</v>
      </c>
      <c r="C3" s="1">
        <v>2.1800000000000002</v>
      </c>
      <c r="D3" s="1">
        <v>11.79</v>
      </c>
    </row>
    <row r="4" spans="1:4" x14ac:dyDescent="0.2">
      <c r="A4" s="1">
        <v>3</v>
      </c>
      <c r="B4" s="1">
        <v>2.2000000000000002</v>
      </c>
      <c r="C4" s="1">
        <v>1.9</v>
      </c>
      <c r="D4" s="1">
        <v>8.17</v>
      </c>
    </row>
    <row r="5" spans="1:4" x14ac:dyDescent="0.2">
      <c r="A5" s="1">
        <v>4</v>
      </c>
      <c r="B5" s="1">
        <v>2.2000000000000002</v>
      </c>
      <c r="C5" s="1">
        <v>2.42</v>
      </c>
      <c r="D5" s="1">
        <v>8.4700000000000006</v>
      </c>
    </row>
    <row r="6" spans="1:4" x14ac:dyDescent="0.2">
      <c r="A6" s="1">
        <v>5</v>
      </c>
      <c r="B6" s="1">
        <v>1.96</v>
      </c>
      <c r="C6" s="1">
        <v>2.58</v>
      </c>
      <c r="D6" s="1">
        <v>12.9</v>
      </c>
    </row>
    <row r="7" spans="1:4" x14ac:dyDescent="0.2">
      <c r="A7" s="1">
        <v>6</v>
      </c>
      <c r="B7" s="1">
        <v>1.78</v>
      </c>
      <c r="C7" s="1">
        <v>1.68</v>
      </c>
      <c r="D7" s="1">
        <v>3.37</v>
      </c>
    </row>
    <row r="8" spans="1:4" x14ac:dyDescent="0.2">
      <c r="A8" s="1">
        <v>7</v>
      </c>
      <c r="B8" s="1">
        <v>2.06</v>
      </c>
      <c r="C8" s="1">
        <v>6.14</v>
      </c>
      <c r="D8" s="1">
        <v>10.79</v>
      </c>
    </row>
    <row r="9" spans="1:4" x14ac:dyDescent="0.2">
      <c r="A9" s="1">
        <v>8</v>
      </c>
      <c r="B9" s="1">
        <v>1.75</v>
      </c>
      <c r="C9" s="1">
        <v>3.3</v>
      </c>
      <c r="D9" s="1">
        <v>12.74</v>
      </c>
    </row>
    <row r="10" spans="1:4" x14ac:dyDescent="0.2">
      <c r="A10" s="1">
        <v>9</v>
      </c>
      <c r="D10" s="1">
        <v>9.76</v>
      </c>
    </row>
    <row r="12" spans="1:4" x14ac:dyDescent="0.2">
      <c r="A12" s="1" t="s">
        <v>4</v>
      </c>
      <c r="B12" s="3">
        <f>AVERAGE(B2:B9)</f>
        <v>2.15</v>
      </c>
      <c r="C12" s="3">
        <f t="shared" ref="C12" si="0">AVERAGE(C2:C9)</f>
        <v>2.76125</v>
      </c>
      <c r="D12" s="3">
        <f>AVERAGE(D2:D10)</f>
        <v>8.9455555555555542</v>
      </c>
    </row>
    <row r="13" spans="1:4" x14ac:dyDescent="0.2">
      <c r="A13" s="1" t="s">
        <v>5</v>
      </c>
      <c r="B13" s="3">
        <f>STDEV(B2:B9)</f>
        <v>0.50987393399881575</v>
      </c>
      <c r="C13" s="3">
        <f t="shared" ref="C13" si="1">STDEV(C2:C9)</f>
        <v>1.4571639529285256</v>
      </c>
      <c r="D13" s="3">
        <f>STDEV(D2:D10)</f>
        <v>3.7979241406033601</v>
      </c>
    </row>
    <row r="14" spans="1:4" x14ac:dyDescent="0.2">
      <c r="A14" s="1" t="s">
        <v>6</v>
      </c>
      <c r="B14" s="1" t="s">
        <v>10</v>
      </c>
      <c r="C14" s="1" t="s">
        <v>11</v>
      </c>
      <c r="D14" s="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CCDC-B32E-9C4A-B7CD-837C9E50C874}">
  <dimension ref="A1:D28"/>
  <sheetViews>
    <sheetView workbookViewId="0">
      <selection activeCell="K33" sqref="K33"/>
    </sheetView>
  </sheetViews>
  <sheetFormatPr baseColWidth="10" defaultRowHeight="16" x14ac:dyDescent="0.2"/>
  <sheetData>
    <row r="1" spans="1:4" x14ac:dyDescent="0.2">
      <c r="C1" t="s">
        <v>33</v>
      </c>
      <c r="D1" t="s">
        <v>34</v>
      </c>
    </row>
    <row r="2" spans="1:4" x14ac:dyDescent="0.2">
      <c r="A2" t="s">
        <v>35</v>
      </c>
      <c r="B2" t="s">
        <v>36</v>
      </c>
      <c r="C2">
        <v>32.4</v>
      </c>
      <c r="D2">
        <v>1.34</v>
      </c>
    </row>
    <row r="3" spans="1:4" x14ac:dyDescent="0.2">
      <c r="B3" t="s">
        <v>37</v>
      </c>
      <c r="C3">
        <v>29.7</v>
      </c>
      <c r="D3">
        <v>1.65</v>
      </c>
    </row>
    <row r="4" spans="1:4" x14ac:dyDescent="0.2">
      <c r="B4" t="s">
        <v>38</v>
      </c>
      <c r="C4">
        <v>25.8</v>
      </c>
      <c r="D4">
        <v>1.4</v>
      </c>
    </row>
    <row r="5" spans="1:4" x14ac:dyDescent="0.2">
      <c r="B5" t="s">
        <v>39</v>
      </c>
      <c r="C5">
        <v>24.5</v>
      </c>
      <c r="D5">
        <v>1.23</v>
      </c>
    </row>
    <row r="6" spans="1:4" x14ac:dyDescent="0.2">
      <c r="B6" t="s">
        <v>40</v>
      </c>
      <c r="C6">
        <v>30.2</v>
      </c>
      <c r="D6">
        <v>1.4</v>
      </c>
    </row>
    <row r="7" spans="1:4" x14ac:dyDescent="0.2">
      <c r="B7" t="s">
        <v>41</v>
      </c>
      <c r="C7">
        <v>30.5</v>
      </c>
      <c r="D7">
        <v>1.28</v>
      </c>
    </row>
    <row r="8" spans="1:4" x14ac:dyDescent="0.2">
      <c r="B8" t="s">
        <v>42</v>
      </c>
      <c r="C8">
        <v>31</v>
      </c>
      <c r="D8">
        <v>1.32</v>
      </c>
    </row>
    <row r="9" spans="1:4" x14ac:dyDescent="0.2">
      <c r="B9" t="s">
        <v>43</v>
      </c>
      <c r="C9">
        <v>30.9</v>
      </c>
      <c r="D9">
        <v>1.45</v>
      </c>
    </row>
    <row r="10" spans="1:4" x14ac:dyDescent="0.2">
      <c r="B10" t="s">
        <v>44</v>
      </c>
      <c r="C10">
        <v>35.450000000000003</v>
      </c>
      <c r="D10">
        <v>1.4</v>
      </c>
    </row>
    <row r="11" spans="1:4" x14ac:dyDescent="0.2">
      <c r="A11" t="s">
        <v>45</v>
      </c>
      <c r="B11" t="s">
        <v>36</v>
      </c>
      <c r="C11">
        <v>54.65</v>
      </c>
      <c r="D11">
        <v>5</v>
      </c>
    </row>
    <row r="12" spans="1:4" x14ac:dyDescent="0.2">
      <c r="B12" t="s">
        <v>37</v>
      </c>
      <c r="C12">
        <v>67.87</v>
      </c>
      <c r="D12">
        <v>2.7</v>
      </c>
    </row>
    <row r="13" spans="1:4" x14ac:dyDescent="0.2">
      <c r="B13" t="s">
        <v>38</v>
      </c>
      <c r="C13">
        <v>55.34</v>
      </c>
      <c r="D13">
        <v>4.17</v>
      </c>
    </row>
    <row r="14" spans="1:4" x14ac:dyDescent="0.2">
      <c r="B14" t="s">
        <v>39</v>
      </c>
      <c r="C14">
        <v>64</v>
      </c>
      <c r="D14">
        <v>4.1500000000000004</v>
      </c>
    </row>
    <row r="15" spans="1:4" x14ac:dyDescent="0.2">
      <c r="B15" t="s">
        <v>40</v>
      </c>
      <c r="C15">
        <v>56</v>
      </c>
      <c r="D15">
        <v>4.87</v>
      </c>
    </row>
    <row r="16" spans="1:4" x14ac:dyDescent="0.2">
      <c r="B16" t="s">
        <v>41</v>
      </c>
      <c r="C16">
        <v>75.319999999999993</v>
      </c>
      <c r="D16">
        <v>3.4</v>
      </c>
    </row>
    <row r="17" spans="1:4" x14ac:dyDescent="0.2">
      <c r="B17" t="s">
        <v>42</v>
      </c>
      <c r="C17">
        <v>76.55</v>
      </c>
      <c r="D17">
        <v>4.4800000000000004</v>
      </c>
    </row>
    <row r="18" spans="1:4" x14ac:dyDescent="0.2">
      <c r="B18" t="s">
        <v>43</v>
      </c>
      <c r="C18">
        <v>65.91</v>
      </c>
      <c r="D18">
        <v>3.4</v>
      </c>
    </row>
    <row r="19" spans="1:4" x14ac:dyDescent="0.2">
      <c r="B19" t="s">
        <v>44</v>
      </c>
      <c r="C19">
        <v>56.78</v>
      </c>
      <c r="D19">
        <v>5</v>
      </c>
    </row>
    <row r="20" spans="1:4" x14ac:dyDescent="0.2">
      <c r="A20" t="s">
        <v>46</v>
      </c>
      <c r="B20" t="s">
        <v>36</v>
      </c>
      <c r="C20">
        <v>23.6</v>
      </c>
      <c r="D20">
        <v>1.38</v>
      </c>
    </row>
    <row r="21" spans="1:4" x14ac:dyDescent="0.2">
      <c r="B21" t="s">
        <v>37</v>
      </c>
      <c r="C21">
        <v>19</v>
      </c>
      <c r="D21">
        <v>1.65</v>
      </c>
    </row>
    <row r="22" spans="1:4" x14ac:dyDescent="0.2">
      <c r="B22" t="s">
        <v>38</v>
      </c>
      <c r="C22">
        <v>27.5</v>
      </c>
      <c r="D22">
        <v>1.9</v>
      </c>
    </row>
    <row r="23" spans="1:4" x14ac:dyDescent="0.2">
      <c r="B23" t="s">
        <v>39</v>
      </c>
      <c r="C23">
        <v>27.13</v>
      </c>
      <c r="D23">
        <v>2.2000000000000002</v>
      </c>
    </row>
    <row r="24" spans="1:4" x14ac:dyDescent="0.2">
      <c r="B24" t="s">
        <v>40</v>
      </c>
      <c r="C24">
        <v>28.72</v>
      </c>
      <c r="D24">
        <v>1.49</v>
      </c>
    </row>
    <row r="25" spans="1:4" x14ac:dyDescent="0.2">
      <c r="B25" t="s">
        <v>41</v>
      </c>
      <c r="C25">
        <v>28</v>
      </c>
      <c r="D25">
        <v>1.8</v>
      </c>
    </row>
    <row r="26" spans="1:4" x14ac:dyDescent="0.2">
      <c r="B26" t="s">
        <v>42</v>
      </c>
      <c r="C26">
        <v>27.54</v>
      </c>
      <c r="D26">
        <v>2.2999999999999998</v>
      </c>
    </row>
    <row r="27" spans="1:4" x14ac:dyDescent="0.2">
      <c r="B27" t="s">
        <v>43</v>
      </c>
      <c r="C27">
        <v>29.4</v>
      </c>
      <c r="D27">
        <v>2.25</v>
      </c>
    </row>
    <row r="28" spans="1:4" x14ac:dyDescent="0.2">
      <c r="B28" t="s">
        <v>44</v>
      </c>
      <c r="C28">
        <v>29</v>
      </c>
      <c r="D28">
        <v>1.92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B546-96B4-F64D-9758-BC901AAEE918}">
  <dimension ref="A1:Q19"/>
  <sheetViews>
    <sheetView workbookViewId="0">
      <selection activeCell="D22" sqref="D22:N24"/>
    </sheetView>
  </sheetViews>
  <sheetFormatPr baseColWidth="10" defaultRowHeight="16" x14ac:dyDescent="0.2"/>
  <sheetData>
    <row r="1" spans="1:17" x14ac:dyDescent="0.2">
      <c r="A1" s="4" t="s">
        <v>13</v>
      </c>
    </row>
    <row r="2" spans="1:17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16</v>
      </c>
      <c r="F2" s="1" t="s">
        <v>18</v>
      </c>
      <c r="G2" s="1" t="s">
        <v>16</v>
      </c>
      <c r="H2" s="1" t="s">
        <v>19</v>
      </c>
      <c r="I2" s="1" t="s">
        <v>5</v>
      </c>
      <c r="K2" s="1" t="s">
        <v>47</v>
      </c>
      <c r="P2" t="s">
        <v>4</v>
      </c>
      <c r="Q2" t="s">
        <v>5</v>
      </c>
    </row>
    <row r="3" spans="1:17" x14ac:dyDescent="0.2">
      <c r="A3" s="1" t="s">
        <v>20</v>
      </c>
      <c r="B3" s="3">
        <v>10.38</v>
      </c>
      <c r="C3" s="3"/>
      <c r="D3" s="3">
        <v>2.9066131578947365</v>
      </c>
      <c r="E3" s="3"/>
      <c r="F3" s="3">
        <v>3.1013368421052632</v>
      </c>
      <c r="G3" s="3"/>
      <c r="H3" s="3"/>
    </row>
    <row r="4" spans="1:17" x14ac:dyDescent="0.2">
      <c r="A4" s="1" t="s">
        <v>21</v>
      </c>
      <c r="B4" s="3">
        <v>9.7200000000000006</v>
      </c>
      <c r="C4" s="3">
        <f>(10.38-B4)/10.38*100</f>
        <v>6.3583815028901745</v>
      </c>
      <c r="D4" s="3">
        <v>2.2299789473684215</v>
      </c>
      <c r="E4" s="3">
        <f>(2.91-D4)/2.91*100</f>
        <v>23.368421052631565</v>
      </c>
      <c r="F4" s="3">
        <v>2.6111684210526316</v>
      </c>
      <c r="G4" s="3">
        <f>(3.1-F4)/3.1*100</f>
        <v>15.768760611205435</v>
      </c>
      <c r="H4" s="3">
        <f>(C4+E4+G4)/3</f>
        <v>15.165187722242392</v>
      </c>
      <c r="I4" s="5">
        <f>STDEV(C4,E4,G4)</f>
        <v>8.5210672186739611</v>
      </c>
      <c r="K4" s="5">
        <f>B3-B4</f>
        <v>0.66000000000000014</v>
      </c>
      <c r="L4" s="5"/>
      <c r="M4" s="5">
        <f t="shared" ref="M4:O4" si="0">D3-D4</f>
        <v>0.67663421052631501</v>
      </c>
      <c r="N4" s="5"/>
      <c r="O4" s="5">
        <f t="shared" si="0"/>
        <v>0.49016842105263159</v>
      </c>
      <c r="P4" s="5">
        <f>AVERAGE(K4,M4,O4)</f>
        <v>0.60893421052631558</v>
      </c>
    </row>
    <row r="5" spans="1:17" x14ac:dyDescent="0.2">
      <c r="A5" s="1" t="s">
        <v>22</v>
      </c>
      <c r="B5" s="3">
        <v>3.69</v>
      </c>
      <c r="C5" s="3">
        <f t="shared" ref="C5:C6" si="1">(10.38-B5)/10.38*100</f>
        <v>64.450867052023128</v>
      </c>
      <c r="D5" s="3">
        <v>1.6504421052631579</v>
      </c>
      <c r="E5" s="3">
        <f t="shared" ref="E5:E6" si="2">(2.91-D5)/2.91*100</f>
        <v>43.283776451437873</v>
      </c>
      <c r="F5" s="3">
        <v>2.0891684210526318</v>
      </c>
      <c r="G5" s="3">
        <f t="shared" ref="G5:G6" si="3">(3.1-F5)/3.1*100</f>
        <v>32.607470288624782</v>
      </c>
      <c r="H5" s="3">
        <f t="shared" ref="H5:H6" si="4">(C5+E5+G5)/3</f>
        <v>46.780704597361932</v>
      </c>
      <c r="I5" s="5">
        <f t="shared" ref="I5:I6" si="5">STDEV(C5,E5,G5)</f>
        <v>16.207154568310809</v>
      </c>
      <c r="K5" s="5">
        <f>B3-B5</f>
        <v>6.6900000000000013</v>
      </c>
      <c r="L5" s="5"/>
      <c r="M5" s="5">
        <f t="shared" ref="M5:O5" si="6">D3-D5</f>
        <v>1.2561710526315786</v>
      </c>
      <c r="N5" s="5"/>
      <c r="O5" s="5">
        <f t="shared" si="6"/>
        <v>1.0121684210526314</v>
      </c>
      <c r="P5" s="5">
        <f t="shared" ref="P5:P6" si="7">AVERAGE(K5,M5,O5)</f>
        <v>2.9861131578947369</v>
      </c>
    </row>
    <row r="6" spans="1:17" x14ac:dyDescent="0.2">
      <c r="A6" s="1" t="s">
        <v>23</v>
      </c>
      <c r="B6" s="3">
        <v>1.55</v>
      </c>
      <c r="C6" s="3">
        <f t="shared" si="1"/>
        <v>85.067437379576106</v>
      </c>
      <c r="D6" s="3">
        <v>1.7533578947368422</v>
      </c>
      <c r="E6" s="3">
        <f t="shared" si="2"/>
        <v>39.747151383613669</v>
      </c>
      <c r="F6" s="3">
        <v>1.6287</v>
      </c>
      <c r="G6" s="3">
        <f t="shared" si="3"/>
        <v>47.461290322580645</v>
      </c>
      <c r="H6" s="3">
        <f t="shared" si="4"/>
        <v>57.42529302859014</v>
      </c>
      <c r="I6" s="5">
        <f t="shared" si="5"/>
        <v>24.247537877751231</v>
      </c>
      <c r="K6" s="5">
        <f>B3-B6</f>
        <v>8.83</v>
      </c>
      <c r="L6" s="5"/>
      <c r="M6" s="5">
        <f t="shared" ref="M6:O6" si="8">D3-D6</f>
        <v>1.1532552631578943</v>
      </c>
      <c r="N6" s="5"/>
      <c r="O6" s="5">
        <f t="shared" si="8"/>
        <v>1.4726368421052631</v>
      </c>
      <c r="P6" s="5">
        <f t="shared" si="7"/>
        <v>3.8186307017543855</v>
      </c>
    </row>
    <row r="7" spans="1:17" x14ac:dyDescent="0.2">
      <c r="A7" s="1"/>
      <c r="B7" s="3"/>
      <c r="C7" s="3"/>
      <c r="D7" s="3"/>
      <c r="E7" s="3"/>
      <c r="F7" s="3"/>
      <c r="G7" s="3"/>
      <c r="H7" s="3"/>
    </row>
    <row r="8" spans="1:17" x14ac:dyDescent="0.2">
      <c r="A8" s="6" t="s">
        <v>24</v>
      </c>
      <c r="B8" s="3"/>
      <c r="C8" s="3"/>
      <c r="D8" s="3"/>
      <c r="E8" s="3"/>
      <c r="F8" s="3"/>
      <c r="G8" s="3"/>
      <c r="H8" s="3"/>
    </row>
    <row r="9" spans="1:17" x14ac:dyDescent="0.2">
      <c r="A9" s="1" t="s">
        <v>20</v>
      </c>
      <c r="B9" s="3">
        <v>3.3602684210526319</v>
      </c>
      <c r="C9" s="3">
        <f>(10.38-B9)/10.38*100</f>
        <v>67.627471858837836</v>
      </c>
      <c r="D9" s="3">
        <v>1.66</v>
      </c>
      <c r="E9" s="3">
        <f>(2.91-D9)/2.91*100</f>
        <v>42.955326460481103</v>
      </c>
      <c r="F9" s="3">
        <v>2.19</v>
      </c>
      <c r="G9" s="3">
        <f>(3.1-F9)/3.1*100</f>
        <v>29.354838709677423</v>
      </c>
      <c r="H9" s="3">
        <f>(C9+E9+G9)/3</f>
        <v>46.645879009665457</v>
      </c>
    </row>
    <row r="10" spans="1:17" x14ac:dyDescent="0.2">
      <c r="A10" s="1" t="s">
        <v>21</v>
      </c>
      <c r="B10" s="3">
        <v>3.0608921052631581</v>
      </c>
      <c r="C10" s="3">
        <f t="shared" ref="C10:C12" si="9">(10.38-B10)/10.38*100</f>
        <v>70.51163675083663</v>
      </c>
      <c r="D10" s="3">
        <v>1.43</v>
      </c>
      <c r="E10" s="3">
        <f t="shared" ref="E10:E12" si="10">(2.91-D10)/2.91*100</f>
        <v>50.859106529209633</v>
      </c>
      <c r="F10" s="3">
        <v>1.4</v>
      </c>
      <c r="G10" s="3">
        <f t="shared" ref="G10:G12" si="11">(3.1-F10)/3.1*100</f>
        <v>54.838709677419359</v>
      </c>
      <c r="H10" s="3">
        <f t="shared" ref="H10:H12" si="12">(C10+E10+G10)/3</f>
        <v>58.73648431915521</v>
      </c>
      <c r="I10" s="5">
        <f>STDEV(C10,E10,G10)</f>
        <v>10.389897564283759</v>
      </c>
      <c r="K10" s="5">
        <f>B3-B10</f>
        <v>7.3191078947368426</v>
      </c>
      <c r="L10" s="5"/>
      <c r="M10" s="5">
        <f t="shared" ref="M10:O10" si="13">D3-D10</f>
        <v>1.4766131578947366</v>
      </c>
      <c r="N10" s="5"/>
      <c r="O10" s="5">
        <f t="shared" si="13"/>
        <v>1.7013368421052633</v>
      </c>
      <c r="P10" s="5">
        <f>(K10+M10+O10)/3</f>
        <v>3.4990192982456141</v>
      </c>
      <c r="Q10" s="5">
        <f>STDEV(K10,M10,O10)</f>
        <v>3.3102013303337046</v>
      </c>
    </row>
    <row r="11" spans="1:17" x14ac:dyDescent="0.2">
      <c r="A11" s="1" t="s">
        <v>22</v>
      </c>
      <c r="B11" s="3">
        <v>2.4163578947368425</v>
      </c>
      <c r="C11" s="3">
        <f t="shared" si="9"/>
        <v>76.721022208700944</v>
      </c>
      <c r="D11" s="3">
        <v>1.46</v>
      </c>
      <c r="E11" s="3">
        <f t="shared" si="10"/>
        <v>49.828178694158083</v>
      </c>
      <c r="F11" s="3">
        <v>1.36</v>
      </c>
      <c r="G11" s="3">
        <f t="shared" si="11"/>
        <v>56.129032258064512</v>
      </c>
      <c r="H11" s="3">
        <f t="shared" si="12"/>
        <v>60.892744386974506</v>
      </c>
      <c r="I11" s="5">
        <f t="shared" ref="I11:I12" si="14">STDEV(C11,E11,G11)</f>
        <v>14.065062140273897</v>
      </c>
      <c r="K11" s="5">
        <f>B3-B11</f>
        <v>7.9636421052631583</v>
      </c>
      <c r="M11" s="5">
        <f>D3-D11</f>
        <v>1.4466131578947365</v>
      </c>
      <c r="O11" s="5">
        <f>F3-F11</f>
        <v>1.7413368421052631</v>
      </c>
      <c r="P11" s="5">
        <f t="shared" ref="P11:P12" si="15">(K11+M11+O11)/3</f>
        <v>3.7171973684210524</v>
      </c>
      <c r="Q11" s="5">
        <f t="shared" ref="Q11:Q12" si="16">STDEV(K11,M11,O11)</f>
        <v>3.6804802933583507</v>
      </c>
    </row>
    <row r="12" spans="1:17" x14ac:dyDescent="0.2">
      <c r="A12" s="1" t="s">
        <v>23</v>
      </c>
      <c r="B12" s="3">
        <v>1.25</v>
      </c>
      <c r="C12" s="3">
        <f t="shared" si="9"/>
        <v>87.957610789980734</v>
      </c>
      <c r="D12" s="3">
        <v>1.52</v>
      </c>
      <c r="E12" s="3">
        <f t="shared" si="10"/>
        <v>47.766323024054984</v>
      </c>
      <c r="F12" s="3">
        <v>1.29</v>
      </c>
      <c r="G12" s="3">
        <f t="shared" si="11"/>
        <v>58.387096774193544</v>
      </c>
      <c r="H12" s="3">
        <f t="shared" si="12"/>
        <v>64.70367686274308</v>
      </c>
      <c r="I12" s="5">
        <f t="shared" si="14"/>
        <v>20.826888655825638</v>
      </c>
      <c r="K12" s="5">
        <f>B3-B12</f>
        <v>9.1300000000000008</v>
      </c>
      <c r="M12" s="5">
        <f>D3-D12</f>
        <v>1.3866131578947365</v>
      </c>
      <c r="O12" s="5">
        <f>F3-F12</f>
        <v>1.8113368421052631</v>
      </c>
      <c r="P12" s="5">
        <f t="shared" si="15"/>
        <v>4.1093166666666665</v>
      </c>
      <c r="Q12" s="5">
        <f t="shared" si="16"/>
        <v>4.3532221861732125</v>
      </c>
    </row>
    <row r="14" spans="1:17" x14ac:dyDescent="0.2">
      <c r="B14" s="5"/>
      <c r="C14" s="5"/>
      <c r="D14" s="5"/>
      <c r="E14" s="5"/>
      <c r="F14" s="5"/>
    </row>
    <row r="15" spans="1:17" x14ac:dyDescent="0.2">
      <c r="A15" s="1"/>
      <c r="B15" s="5"/>
      <c r="C15" t="s">
        <v>25</v>
      </c>
      <c r="D15" t="s">
        <v>26</v>
      </c>
      <c r="E15" t="s">
        <v>27</v>
      </c>
      <c r="H15" t="s">
        <v>25</v>
      </c>
      <c r="I15" t="s">
        <v>26</v>
      </c>
      <c r="M15" t="s">
        <v>25</v>
      </c>
      <c r="N15" t="s">
        <v>26</v>
      </c>
    </row>
    <row r="16" spans="1:17" x14ac:dyDescent="0.2">
      <c r="A16" s="1" t="s">
        <v>28</v>
      </c>
      <c r="B16" s="1" t="s">
        <v>20</v>
      </c>
      <c r="C16" s="3">
        <v>10.38</v>
      </c>
      <c r="D16" s="3">
        <v>3.3602684210526319</v>
      </c>
      <c r="E16">
        <f>(10.38-3.36)/10.38*100</f>
        <v>67.630057803468219</v>
      </c>
      <c r="F16" t="s">
        <v>29</v>
      </c>
      <c r="G16" s="1" t="s">
        <v>20</v>
      </c>
      <c r="H16" s="3">
        <v>2.9066131578947365</v>
      </c>
      <c r="I16" s="3">
        <v>1.66</v>
      </c>
      <c r="J16">
        <f>(2.91-1.66)/2.91*100</f>
        <v>42.955326460481103</v>
      </c>
      <c r="K16" t="s">
        <v>30</v>
      </c>
      <c r="L16" s="1" t="s">
        <v>20</v>
      </c>
      <c r="M16" s="3">
        <v>3.1013368421052632</v>
      </c>
      <c r="N16" s="3">
        <v>2.19</v>
      </c>
      <c r="O16">
        <f>(3.1-2.19)/3.1*100</f>
        <v>29.354838709677423</v>
      </c>
    </row>
    <row r="17" spans="1:15" x14ac:dyDescent="0.2">
      <c r="A17" s="1"/>
      <c r="B17" s="1" t="s">
        <v>21</v>
      </c>
      <c r="C17" s="3">
        <v>9.7200000000000006</v>
      </c>
      <c r="D17" s="3">
        <v>3.0608921052631581</v>
      </c>
      <c r="E17">
        <f>(10.38-3.06)/10.38*100</f>
        <v>70.520231213872833</v>
      </c>
      <c r="G17" s="1" t="s">
        <v>21</v>
      </c>
      <c r="H17" s="3">
        <v>2.2299789473684215</v>
      </c>
      <c r="I17" s="3">
        <v>1.43</v>
      </c>
      <c r="J17">
        <f>(2.91-1.43)/2.91*100</f>
        <v>50.859106529209633</v>
      </c>
      <c r="L17" s="1" t="s">
        <v>21</v>
      </c>
      <c r="M17" s="3">
        <v>2.6111684210526316</v>
      </c>
      <c r="N17" s="3">
        <v>1.4</v>
      </c>
      <c r="O17">
        <f>(3.1-1.4)/3.1*100</f>
        <v>54.838709677419359</v>
      </c>
    </row>
    <row r="18" spans="1:15" x14ac:dyDescent="0.2">
      <c r="A18" s="1"/>
      <c r="B18" s="1" t="s">
        <v>22</v>
      </c>
      <c r="C18" s="3">
        <v>3.69</v>
      </c>
      <c r="D18" s="3">
        <v>2.4163578947368425</v>
      </c>
      <c r="E18">
        <f>(10.38-2.42)/10.38*100</f>
        <v>76.685934489402698</v>
      </c>
      <c r="G18" s="1" t="s">
        <v>22</v>
      </c>
      <c r="H18" s="3">
        <v>1.6504421052631579</v>
      </c>
      <c r="I18" s="3">
        <v>1.46</v>
      </c>
      <c r="J18">
        <f>(2.91-1.46)/2.91*100</f>
        <v>49.828178694158083</v>
      </c>
      <c r="L18" s="1" t="s">
        <v>22</v>
      </c>
      <c r="M18" s="3">
        <v>2.0891684210526318</v>
      </c>
      <c r="N18" s="3">
        <v>1.36</v>
      </c>
      <c r="O18">
        <f>(3.1-1.36)/3.1*100</f>
        <v>56.129032258064512</v>
      </c>
    </row>
    <row r="19" spans="1:15" x14ac:dyDescent="0.2">
      <c r="B19" s="1" t="s">
        <v>23</v>
      </c>
      <c r="C19" s="3">
        <v>1.55</v>
      </c>
      <c r="D19" s="3">
        <v>1.25</v>
      </c>
      <c r="E19">
        <f>(10.38-1.25)/10.38*100</f>
        <v>87.957610789980734</v>
      </c>
      <c r="G19" s="1" t="s">
        <v>23</v>
      </c>
      <c r="H19" s="3">
        <v>1.7533578947368422</v>
      </c>
      <c r="I19" s="3">
        <v>1.52</v>
      </c>
      <c r="J19">
        <f>(2.91-1.52)/2.91*100</f>
        <v>47.766323024054984</v>
      </c>
      <c r="L19" s="1" t="s">
        <v>23</v>
      </c>
      <c r="M19" s="3">
        <v>1.6287</v>
      </c>
      <c r="N19" s="3">
        <v>1.29</v>
      </c>
      <c r="O19">
        <f>(3.1-1.29)/3.1*100</f>
        <v>58.387096774193544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D918-72B0-4041-AE81-ED21AA02E1C3}">
  <dimension ref="A1:Q27"/>
  <sheetViews>
    <sheetView tabSelected="1" workbookViewId="0">
      <selection activeCell="S21" sqref="S21"/>
    </sheetView>
  </sheetViews>
  <sheetFormatPr baseColWidth="10" defaultRowHeight="16" x14ac:dyDescent="0.2"/>
  <sheetData>
    <row r="1" spans="1:17" x14ac:dyDescent="0.2">
      <c r="A1" s="4" t="s">
        <v>31</v>
      </c>
    </row>
    <row r="2" spans="1:17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16</v>
      </c>
      <c r="F2" s="1" t="s">
        <v>18</v>
      </c>
      <c r="G2" s="1" t="s">
        <v>16</v>
      </c>
      <c r="H2" s="1" t="s">
        <v>19</v>
      </c>
      <c r="I2" s="1" t="s">
        <v>5</v>
      </c>
    </row>
    <row r="3" spans="1:17" x14ac:dyDescent="0.2">
      <c r="A3" s="1" t="s">
        <v>20</v>
      </c>
      <c r="B3" s="3">
        <v>87.4</v>
      </c>
      <c r="C3" s="3"/>
      <c r="D3" s="3">
        <v>83.31</v>
      </c>
      <c r="E3" s="3"/>
      <c r="F3" s="3">
        <v>87.78</v>
      </c>
      <c r="G3" s="3"/>
      <c r="H3" s="3"/>
    </row>
    <row r="4" spans="1:17" x14ac:dyDescent="0.2">
      <c r="A4" s="1" t="s">
        <v>21</v>
      </c>
      <c r="B4" s="3">
        <v>59.92</v>
      </c>
      <c r="C4" s="3">
        <f>(87.4-B4)/87.4*100</f>
        <v>31.441647597254008</v>
      </c>
      <c r="D4" s="3">
        <v>54.99</v>
      </c>
      <c r="E4" s="3">
        <f>(83.31-D4)/83.31*100</f>
        <v>33.993518185091823</v>
      </c>
      <c r="F4" s="3">
        <v>61.01</v>
      </c>
      <c r="G4" s="3">
        <f>(87.78-F4)/87.78*100</f>
        <v>30.496696286169971</v>
      </c>
      <c r="H4" s="3">
        <f>AVERAGE(C4,E4,G4)</f>
        <v>31.977287356171939</v>
      </c>
      <c r="I4">
        <f>STDEV(C4,E4,G4)</f>
        <v>1.8089011337536101</v>
      </c>
      <c r="L4" s="5"/>
      <c r="M4" s="5"/>
      <c r="N4" s="5"/>
      <c r="O4" s="5"/>
      <c r="P4" s="5"/>
      <c r="Q4" s="5"/>
    </row>
    <row r="5" spans="1:17" x14ac:dyDescent="0.2">
      <c r="A5" s="1" t="s">
        <v>22</v>
      </c>
      <c r="B5" s="3">
        <v>44</v>
      </c>
      <c r="C5" s="3">
        <f t="shared" ref="C5:C6" si="0">(87.4-B5)/87.4*100</f>
        <v>49.65675057208238</v>
      </c>
      <c r="D5" s="3">
        <v>41.92</v>
      </c>
      <c r="E5" s="3">
        <f t="shared" ref="E5:E6" si="1">(83.31-D5)/83.31*100</f>
        <v>49.681910935061815</v>
      </c>
      <c r="F5" s="3">
        <v>52.89</v>
      </c>
      <c r="G5" s="3">
        <f t="shared" ref="G5:G6" si="2">(87.78-F5)/87.78*100</f>
        <v>39.747095010252906</v>
      </c>
      <c r="H5" s="3">
        <f t="shared" ref="H5:H6" si="3">AVERAGE(C5,E5,G5)</f>
        <v>46.361918839132365</v>
      </c>
      <c r="I5">
        <f t="shared" ref="I5:I13" si="4">STDEV(C5,E5,G5)</f>
        <v>5.7286192905707569</v>
      </c>
      <c r="L5" s="5"/>
      <c r="N5" s="5"/>
      <c r="P5" s="5"/>
      <c r="Q5" s="5"/>
    </row>
    <row r="6" spans="1:17" x14ac:dyDescent="0.2">
      <c r="A6" s="1" t="s">
        <v>23</v>
      </c>
      <c r="B6" s="3">
        <v>38.409999999999997</v>
      </c>
      <c r="C6" s="3">
        <f t="shared" si="0"/>
        <v>56.052631578947377</v>
      </c>
      <c r="D6" s="3">
        <v>30.23</v>
      </c>
      <c r="E6" s="3">
        <f t="shared" si="1"/>
        <v>63.713839875165043</v>
      </c>
      <c r="F6" s="3">
        <v>30.9</v>
      </c>
      <c r="G6" s="3">
        <f t="shared" si="2"/>
        <v>64.798359535201641</v>
      </c>
      <c r="H6" s="3">
        <f t="shared" si="3"/>
        <v>61.521610329771356</v>
      </c>
      <c r="I6">
        <f t="shared" si="4"/>
        <v>4.7672153460877569</v>
      </c>
      <c r="L6" s="5"/>
      <c r="N6" s="5"/>
      <c r="P6" s="5"/>
      <c r="Q6" s="5"/>
    </row>
    <row r="7" spans="1:17" x14ac:dyDescent="0.2">
      <c r="A7" s="1"/>
      <c r="B7" s="3"/>
      <c r="C7" s="3"/>
      <c r="D7" s="3"/>
      <c r="E7" s="3"/>
      <c r="F7" s="3"/>
      <c r="G7" s="3"/>
      <c r="H7" s="3"/>
    </row>
    <row r="8" spans="1:17" x14ac:dyDescent="0.2">
      <c r="A8" s="6" t="s">
        <v>32</v>
      </c>
      <c r="B8" s="3"/>
      <c r="C8" s="3"/>
      <c r="D8" s="3"/>
      <c r="E8" s="3"/>
      <c r="F8" s="3"/>
      <c r="G8" s="3"/>
      <c r="H8" s="3"/>
    </row>
    <row r="9" spans="1:17" x14ac:dyDescent="0.2">
      <c r="A9" s="1" t="s">
        <v>26</v>
      </c>
      <c r="B9" s="5"/>
      <c r="C9" s="5"/>
      <c r="D9" s="5"/>
      <c r="E9" s="5"/>
      <c r="F9" s="5"/>
      <c r="G9" s="5"/>
      <c r="H9" s="3"/>
    </row>
    <row r="10" spans="1:17" x14ac:dyDescent="0.2">
      <c r="A10" t="s">
        <v>20</v>
      </c>
      <c r="B10" s="5">
        <v>57.558737999999998</v>
      </c>
      <c r="C10" s="5">
        <f>(87.4-B10)/87.4*100</f>
        <v>34.143320366132727</v>
      </c>
      <c r="D10" s="5">
        <v>59.766734999999997</v>
      </c>
      <c r="E10" s="5">
        <f>(83.31-D10)/83.31*100</f>
        <v>28.259830752610739</v>
      </c>
      <c r="F10" s="5">
        <v>55.559406000000003</v>
      </c>
      <c r="G10" s="3">
        <f>(87.78-F10)/87.78*100</f>
        <v>36.70607655502392</v>
      </c>
      <c r="H10" s="3">
        <f>AVERAGE(C10,E10,G10)</f>
        <v>33.036409224589129</v>
      </c>
    </row>
    <row r="11" spans="1:17" x14ac:dyDescent="0.2">
      <c r="A11" t="s">
        <v>21</v>
      </c>
      <c r="B11" s="5">
        <v>52.113173999999994</v>
      </c>
      <c r="C11" s="5">
        <f t="shared" ref="C11:C13" si="5">(87.4-B11)/87.4*100</f>
        <v>40.373942791762026</v>
      </c>
      <c r="D11" s="5">
        <v>51.88</v>
      </c>
      <c r="E11" s="5">
        <f t="shared" ref="E11:E13" si="6">(83.31-D11)/83.31*100</f>
        <v>37.726563437762572</v>
      </c>
      <c r="F11" s="5">
        <v>50.531976</v>
      </c>
      <c r="G11" s="3">
        <f t="shared" ref="G11:G13" si="7">(87.78-F11)/87.78*100</f>
        <v>42.433383458646617</v>
      </c>
      <c r="H11" s="3">
        <f t="shared" ref="H11:H13" si="8">AVERAGE(C11,E11,G11)</f>
        <v>40.177963229390407</v>
      </c>
      <c r="I11">
        <f t="shared" si="4"/>
        <v>2.3595221272323874</v>
      </c>
      <c r="L11" s="5"/>
      <c r="M11" s="5"/>
      <c r="N11" s="5"/>
      <c r="O11" s="5"/>
      <c r="P11" s="5"/>
      <c r="Q11" s="5"/>
    </row>
    <row r="12" spans="1:17" x14ac:dyDescent="0.2">
      <c r="A12" t="s">
        <v>22</v>
      </c>
      <c r="B12" s="5">
        <v>42.32</v>
      </c>
      <c r="C12" s="5">
        <f t="shared" si="5"/>
        <v>51.578947368421055</v>
      </c>
      <c r="D12" s="5">
        <v>40.21</v>
      </c>
      <c r="E12" s="5">
        <f t="shared" si="6"/>
        <v>51.734485655983676</v>
      </c>
      <c r="F12" s="5">
        <v>52.435964999999996</v>
      </c>
      <c r="G12" s="3">
        <f t="shared" si="7"/>
        <v>40.264336978810668</v>
      </c>
      <c r="H12" s="3">
        <f t="shared" si="8"/>
        <v>47.859256667738464</v>
      </c>
      <c r="I12">
        <f t="shared" si="4"/>
        <v>6.5778531338630524</v>
      </c>
      <c r="L12" s="5"/>
      <c r="M12" s="5"/>
      <c r="N12" s="5"/>
      <c r="O12" s="5"/>
      <c r="P12" s="5"/>
      <c r="Q12" s="5"/>
    </row>
    <row r="13" spans="1:17" x14ac:dyDescent="0.2">
      <c r="A13" t="s">
        <v>23</v>
      </c>
      <c r="B13" s="5">
        <v>37.89</v>
      </c>
      <c r="C13" s="5">
        <f t="shared" si="5"/>
        <v>56.64759725400458</v>
      </c>
      <c r="D13" s="5">
        <v>29.5</v>
      </c>
      <c r="E13" s="5">
        <f t="shared" si="6"/>
        <v>64.590085223862687</v>
      </c>
      <c r="F13" s="5">
        <v>29.92</v>
      </c>
      <c r="G13" s="3">
        <f t="shared" si="7"/>
        <v>65.91478696741855</v>
      </c>
      <c r="H13" s="3">
        <f t="shared" si="8"/>
        <v>62.384156481761941</v>
      </c>
      <c r="I13">
        <f t="shared" si="4"/>
        <v>5.0119649347856638</v>
      </c>
      <c r="L13" s="5"/>
      <c r="M13" s="5"/>
      <c r="N13" s="5"/>
      <c r="O13" s="5"/>
      <c r="P13" s="5"/>
      <c r="Q13" s="5"/>
    </row>
    <row r="17" spans="1:16" x14ac:dyDescent="0.2">
      <c r="A17" s="1"/>
      <c r="B17" s="5"/>
      <c r="C17" t="s">
        <v>25</v>
      </c>
      <c r="D17" t="s">
        <v>26</v>
      </c>
      <c r="E17" t="s">
        <v>27</v>
      </c>
      <c r="H17" t="s">
        <v>25</v>
      </c>
      <c r="I17" t="s">
        <v>26</v>
      </c>
      <c r="M17" t="s">
        <v>25</v>
      </c>
      <c r="N17" t="s">
        <v>26</v>
      </c>
    </row>
    <row r="18" spans="1:16" x14ac:dyDescent="0.2">
      <c r="A18" s="1" t="s">
        <v>28</v>
      </c>
      <c r="B18" s="1" t="s">
        <v>20</v>
      </c>
      <c r="C18" s="3">
        <v>10.38</v>
      </c>
      <c r="D18" s="3">
        <v>3.3602684210526319</v>
      </c>
      <c r="E18">
        <f>(10.38-3.36)/10.38*100</f>
        <v>67.630057803468219</v>
      </c>
      <c r="F18" t="s">
        <v>29</v>
      </c>
      <c r="G18" s="1" t="s">
        <v>20</v>
      </c>
      <c r="H18" s="3">
        <v>2.9066131578947365</v>
      </c>
      <c r="I18" s="3">
        <v>1.66</v>
      </c>
      <c r="J18">
        <f>(2.91-1.66)/2.91*100</f>
        <v>42.955326460481103</v>
      </c>
      <c r="K18" t="s">
        <v>30</v>
      </c>
      <c r="L18" s="1" t="s">
        <v>20</v>
      </c>
      <c r="M18" s="3">
        <v>3.1013368421052632</v>
      </c>
      <c r="N18" s="3">
        <v>2.19</v>
      </c>
      <c r="O18">
        <f>(3.1-2.19)/3.1*100</f>
        <v>29.354838709677423</v>
      </c>
    </row>
    <row r="19" spans="1:16" x14ac:dyDescent="0.2">
      <c r="A19" s="1"/>
      <c r="B19" s="1" t="s">
        <v>21</v>
      </c>
      <c r="C19" s="3">
        <v>9.7200000000000006</v>
      </c>
      <c r="D19" s="3">
        <v>3.0608921052631581</v>
      </c>
      <c r="E19">
        <f>(10.38-3.06)/10.38*100</f>
        <v>70.520231213872833</v>
      </c>
      <c r="G19" s="1" t="s">
        <v>21</v>
      </c>
      <c r="H19" s="3">
        <v>2.2299789473684215</v>
      </c>
      <c r="I19" s="3">
        <v>1.43</v>
      </c>
      <c r="J19">
        <f>(2.91-1.43)/2.91*100</f>
        <v>50.859106529209633</v>
      </c>
      <c r="L19" s="1" t="s">
        <v>21</v>
      </c>
      <c r="M19" s="3">
        <v>2.6111684210526316</v>
      </c>
      <c r="N19" s="3">
        <v>1.4</v>
      </c>
      <c r="O19">
        <f>(3.1-1.4)/3.1*100</f>
        <v>54.838709677419359</v>
      </c>
    </row>
    <row r="20" spans="1:16" x14ac:dyDescent="0.2">
      <c r="A20" s="1"/>
      <c r="B20" s="1" t="s">
        <v>22</v>
      </c>
      <c r="C20" s="3">
        <v>3.69</v>
      </c>
      <c r="D20" s="3">
        <v>2.4163578947368425</v>
      </c>
      <c r="E20">
        <f>(10.38-2.42)/10.38*100</f>
        <v>76.685934489402698</v>
      </c>
      <c r="G20" s="1" t="s">
        <v>22</v>
      </c>
      <c r="H20" s="3">
        <v>1.6504421052631579</v>
      </c>
      <c r="I20" s="3">
        <v>1.46</v>
      </c>
      <c r="J20">
        <f>(2.91-1.46)/2.91*100</f>
        <v>49.828178694158083</v>
      </c>
      <c r="L20" s="1" t="s">
        <v>22</v>
      </c>
      <c r="M20" s="3">
        <v>2.0891684210526318</v>
      </c>
      <c r="N20" s="3">
        <v>1.36</v>
      </c>
      <c r="O20">
        <f>(3.1-1.36)/3.1*100</f>
        <v>56.129032258064512</v>
      </c>
    </row>
    <row r="21" spans="1:16" x14ac:dyDescent="0.2">
      <c r="B21" s="1" t="s">
        <v>23</v>
      </c>
      <c r="C21" s="3">
        <v>1.55</v>
      </c>
      <c r="D21" s="3">
        <v>1.25</v>
      </c>
      <c r="E21">
        <f>(10.38-1.25)/10.38*100</f>
        <v>87.957610789980734</v>
      </c>
      <c r="G21" s="1" t="s">
        <v>23</v>
      </c>
      <c r="H21" s="3">
        <v>1.7533578947368422</v>
      </c>
      <c r="I21" s="3">
        <v>1.52</v>
      </c>
      <c r="J21">
        <f>(2.91-1.52)/2.91*100</f>
        <v>47.766323024054984</v>
      </c>
      <c r="L21" s="1" t="s">
        <v>23</v>
      </c>
      <c r="M21" s="3">
        <v>1.6287</v>
      </c>
      <c r="N21" s="3">
        <v>1.29</v>
      </c>
      <c r="O21">
        <f>(3.1-1.29)/3.1*100</f>
        <v>58.387096774193544</v>
      </c>
    </row>
    <row r="25" spans="1:16" x14ac:dyDescent="0.2">
      <c r="K25" s="5"/>
      <c r="L25" s="5"/>
      <c r="M25" s="5"/>
      <c r="N25" s="5"/>
      <c r="O25" s="5"/>
      <c r="P25" s="5"/>
    </row>
    <row r="26" spans="1:16" x14ac:dyDescent="0.2">
      <c r="K26" s="5"/>
      <c r="M26" s="5"/>
      <c r="O26" s="5"/>
      <c r="P26" s="5"/>
    </row>
    <row r="27" spans="1:16" x14ac:dyDescent="0.2">
      <c r="K27" s="5"/>
      <c r="M27" s="5"/>
      <c r="O27" s="5"/>
      <c r="P2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 AFs</vt:lpstr>
      <vt:lpstr>Table 1 OTA</vt:lpstr>
      <vt:lpstr>Table 2 AF &amp; OTA</vt:lpstr>
      <vt:lpstr>Figure 2 OTA</vt:lpstr>
      <vt:lpstr>Figure 3 AFs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2021-03-24T17:06:34Z</dcterms:created>
  <dcterms:modified xsi:type="dcterms:W3CDTF">2021-10-02T12:39:07Z</dcterms:modified>
</cp:coreProperties>
</file>