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in\OneDrive\Dokumente\Masterarbeit\Paper\publishingExcel\"/>
    </mc:Choice>
  </mc:AlternateContent>
  <xr:revisionPtr revIDLastSave="599" documentId="8_{C9147C68-C704-477C-9ADA-C8EAE400BD40}" xr6:coauthVersionLast="43" xr6:coauthVersionMax="43" xr10:uidLastSave="{7F5661C1-E76E-40B4-A16A-FB1722FDF43C}"/>
  <bookViews>
    <workbookView xWindow="-108" yWindow="-108" windowWidth="23256" windowHeight="12576" tabRatio="804" firstSheet="9" activeTab="11" xr2:uid="{096819B6-19D8-40DC-A4EB-C8BAA3F99899}"/>
  </bookViews>
  <sheets>
    <sheet name="DHW real" sheetId="7" r:id="rId1"/>
    <sheet name="space heat" sheetId="2" r:id="rId2"/>
    <sheet name="Spatial dimension" sheetId="5" r:id="rId3"/>
    <sheet name="Electricity demand" sheetId="3" r:id="rId4"/>
    <sheet name="rooftopfacade area" sheetId="11" r:id="rId5"/>
    <sheet name="PV efficiency" sheetId="12" r:id="rId6"/>
    <sheet name="Storage eff." sheetId="15" r:id="rId7"/>
    <sheet name="Electricity prod." sheetId="4" r:id="rId8"/>
    <sheet name="sensitivity" sheetId="42" r:id="rId9"/>
    <sheet name="Cases" sheetId="6" r:id="rId10"/>
    <sheet name="price table" sheetId="44" r:id="rId11"/>
    <sheet name="1Price SNPU" sheetId="30" r:id="rId12"/>
    <sheet name="2Price SNPR" sheetId="33" r:id="rId13"/>
    <sheet name="3Price SNCU" sheetId="34" r:id="rId14"/>
    <sheet name="4Price SNCR" sheetId="35" r:id="rId15"/>
    <sheet name="5Price SRPU" sheetId="36" r:id="rId16"/>
    <sheet name="6Price SRPR" sheetId="37" r:id="rId17"/>
    <sheet name="7Price SRCU" sheetId="38" r:id="rId18"/>
    <sheet name="8Price SRCR" sheetId="39" r:id="rId19"/>
    <sheet name="1Price MNPU" sheetId="31" r:id="rId20"/>
    <sheet name="2Price MNPR" sheetId="32" r:id="rId21"/>
    <sheet name="3Price MNCU" sheetId="24" r:id="rId22"/>
    <sheet name="4Price MNCR" sheetId="25" r:id="rId23"/>
    <sheet name="5Price MRPU" sheetId="26" r:id="rId24"/>
    <sheet name="6Price MRPR" sheetId="27" r:id="rId25"/>
    <sheet name="7Price MRCU" sheetId="28" r:id="rId26"/>
    <sheet name="8Price MRCR" sheetId="29" r:id="rId27"/>
  </sheets>
  <definedNames>
    <definedName name="solver_adj" localSheetId="9" hidden="1">Cases!#REF!,Cases!#REF!</definedName>
    <definedName name="solver_cvg" localSheetId="9" hidden="1">0.0001</definedName>
    <definedName name="solver_drv" localSheetId="9" hidden="1">1</definedName>
    <definedName name="solver_eng" localSheetId="9" hidden="1">1</definedName>
    <definedName name="solver_eng" localSheetId="7" hidden="1">1</definedName>
    <definedName name="solver_est" localSheetId="9" hidden="1">1</definedName>
    <definedName name="solver_itr" localSheetId="9" hidden="1">2147483647</definedName>
    <definedName name="solver_lhs1" localSheetId="9" hidden="1">Cases!#REF!</definedName>
    <definedName name="solver_lhs2" localSheetId="9" hidden="1">Cases!#REF!</definedName>
    <definedName name="solver_lhs3" localSheetId="9" hidden="1">Cases!#REF!</definedName>
    <definedName name="solver_mip" localSheetId="9" hidden="1">2147483647</definedName>
    <definedName name="solver_mni" localSheetId="9" hidden="1">30</definedName>
    <definedName name="solver_mrt" localSheetId="9" hidden="1">0.075</definedName>
    <definedName name="solver_msl" localSheetId="9" hidden="1">2</definedName>
    <definedName name="solver_neg" localSheetId="9" hidden="1">1</definedName>
    <definedName name="solver_neg" localSheetId="7" hidden="1">1</definedName>
    <definedName name="solver_nod" localSheetId="9" hidden="1">2147483647</definedName>
    <definedName name="solver_num" localSheetId="9" hidden="1">2</definedName>
    <definedName name="solver_num" localSheetId="7" hidden="1">0</definedName>
    <definedName name="solver_nwt" localSheetId="9" hidden="1">1</definedName>
    <definedName name="solver_opt" localSheetId="9" hidden="1">Cases!#REF!</definedName>
    <definedName name="solver_opt" localSheetId="7" hidden="1">'Electricity prod.'!$L$3</definedName>
    <definedName name="solver_pre" localSheetId="9" hidden="1">0.000001</definedName>
    <definedName name="solver_rbv" localSheetId="9" hidden="1">1</definedName>
    <definedName name="solver_rel1" localSheetId="9" hidden="1">1</definedName>
    <definedName name="solver_rel2" localSheetId="9" hidden="1">1</definedName>
    <definedName name="solver_rel3" localSheetId="9" hidden="1">3</definedName>
    <definedName name="solver_rhs1" localSheetId="9" hidden="1">1</definedName>
    <definedName name="solver_rhs2" localSheetId="9" hidden="1">8</definedName>
    <definedName name="solver_rhs3" localSheetId="9" hidden="1">0</definedName>
    <definedName name="solver_rlx" localSheetId="9" hidden="1">2</definedName>
    <definedName name="solver_rsd" localSheetId="9" hidden="1">0</definedName>
    <definedName name="solver_scl" localSheetId="9" hidden="1">1</definedName>
    <definedName name="solver_sho" localSheetId="9" hidden="1">2</definedName>
    <definedName name="solver_ssz" localSheetId="9" hidden="1">100</definedName>
    <definedName name="solver_tim" localSheetId="9" hidden="1">2147483647</definedName>
    <definedName name="solver_tol" localSheetId="9" hidden="1">0.01</definedName>
    <definedName name="solver_typ" localSheetId="9" hidden="1">3</definedName>
    <definedName name="solver_typ" localSheetId="7" hidden="1">1</definedName>
    <definedName name="solver_val" localSheetId="9" hidden="1">0</definedName>
    <definedName name="solver_val" localSheetId="7" hidden="1">0</definedName>
    <definedName name="solver_ver" localSheetId="9" hidden="1">3</definedName>
    <definedName name="solver_ver" localSheetId="7" hidden="1">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4" i="6" l="1"/>
  <c r="AJ15" i="6"/>
  <c r="AJ16" i="6"/>
  <c r="AJ17" i="6"/>
  <c r="AJ18" i="6"/>
  <c r="AJ19" i="6"/>
  <c r="AJ20" i="6"/>
  <c r="AJ21" i="6"/>
  <c r="AJ22" i="6"/>
  <c r="AJ23" i="6"/>
  <c r="AJ24" i="6"/>
  <c r="AJ13" i="6"/>
  <c r="AJ25" i="6" s="1"/>
  <c r="AI14" i="6"/>
  <c r="AI15" i="6"/>
  <c r="AI16" i="6"/>
  <c r="AI17" i="6"/>
  <c r="AI18" i="6"/>
  <c r="AI19" i="6"/>
  <c r="AI20" i="6"/>
  <c r="AI21" i="6"/>
  <c r="AI22" i="6"/>
  <c r="AI23" i="6"/>
  <c r="AI24" i="6"/>
  <c r="AI13" i="6"/>
  <c r="AH14" i="6"/>
  <c r="AH15" i="6"/>
  <c r="AH16" i="6"/>
  <c r="AH17" i="6"/>
  <c r="AH18" i="6"/>
  <c r="AH19" i="6"/>
  <c r="AH20" i="6"/>
  <c r="AH21" i="6"/>
  <c r="AH22" i="6"/>
  <c r="AH23" i="6"/>
  <c r="AH24" i="6"/>
  <c r="AH13" i="6"/>
  <c r="AG14" i="6"/>
  <c r="AG15" i="6"/>
  <c r="AG16" i="6"/>
  <c r="AG17" i="6"/>
  <c r="AG18" i="6"/>
  <c r="AG19" i="6"/>
  <c r="AG20" i="6"/>
  <c r="AG21" i="6"/>
  <c r="AG22" i="6"/>
  <c r="AG23" i="6"/>
  <c r="AG24" i="6"/>
  <c r="AG13" i="6"/>
  <c r="AF14" i="6"/>
  <c r="AF15" i="6"/>
  <c r="AF16" i="6"/>
  <c r="AF17" i="6"/>
  <c r="AF18" i="6"/>
  <c r="AF19" i="6"/>
  <c r="AF20" i="6"/>
  <c r="AF21" i="6"/>
  <c r="AF22" i="6"/>
  <c r="AF23" i="6"/>
  <c r="AF24" i="6"/>
  <c r="AF13" i="6"/>
  <c r="AE14" i="6"/>
  <c r="AE15" i="6"/>
  <c r="AE16" i="6"/>
  <c r="AE17" i="6"/>
  <c r="AE18" i="6"/>
  <c r="AE19" i="6"/>
  <c r="AE20" i="6"/>
  <c r="AE21" i="6"/>
  <c r="AE22" i="6"/>
  <c r="AE23" i="6"/>
  <c r="AE24" i="6"/>
  <c r="AE13" i="6"/>
  <c r="AE25" i="6" s="1"/>
  <c r="AC14" i="6"/>
  <c r="AD14" i="6"/>
  <c r="AC15" i="6"/>
  <c r="AD15" i="6"/>
  <c r="AC16" i="6"/>
  <c r="AD16" i="6"/>
  <c r="AC17" i="6"/>
  <c r="AD17" i="6"/>
  <c r="AC18" i="6"/>
  <c r="AD18" i="6"/>
  <c r="AC19" i="6"/>
  <c r="AD19" i="6"/>
  <c r="AC20" i="6"/>
  <c r="AD20" i="6"/>
  <c r="AC21" i="6"/>
  <c r="AD21" i="6"/>
  <c r="AC22" i="6"/>
  <c r="AD22" i="6"/>
  <c r="AC23" i="6"/>
  <c r="AD23" i="6"/>
  <c r="AC24" i="6"/>
  <c r="AD24" i="6"/>
  <c r="AD13" i="6"/>
  <c r="AC13" i="6"/>
  <c r="AA14" i="6"/>
  <c r="AA15" i="6"/>
  <c r="AA16" i="6"/>
  <c r="AA17" i="6"/>
  <c r="AA18" i="6"/>
  <c r="AA19" i="6"/>
  <c r="AA20" i="6"/>
  <c r="AA21" i="6"/>
  <c r="AA22" i="6"/>
  <c r="AA23" i="6"/>
  <c r="AA24" i="6"/>
  <c r="AA13" i="6"/>
  <c r="AA25" i="6" s="1"/>
  <c r="Z14" i="6"/>
  <c r="Z15" i="6"/>
  <c r="Z16" i="6"/>
  <c r="Z17" i="6"/>
  <c r="Z18" i="6"/>
  <c r="Z19" i="6"/>
  <c r="Z20" i="6"/>
  <c r="Z21" i="6"/>
  <c r="Z22" i="6"/>
  <c r="Z23" i="6"/>
  <c r="Z24" i="6"/>
  <c r="Z13" i="6"/>
  <c r="Z25" i="6" s="1"/>
  <c r="Y14" i="6"/>
  <c r="Y15" i="6"/>
  <c r="Y16" i="6"/>
  <c r="Y17" i="6"/>
  <c r="Y18" i="6"/>
  <c r="Y19" i="6"/>
  <c r="Y20" i="6"/>
  <c r="Y21" i="6"/>
  <c r="Y22" i="6"/>
  <c r="Y23" i="6"/>
  <c r="Y24" i="6"/>
  <c r="Y13" i="6"/>
  <c r="Y25" i="6" s="1"/>
  <c r="X14" i="6"/>
  <c r="X15" i="6"/>
  <c r="X16" i="6"/>
  <c r="X17" i="6"/>
  <c r="X18" i="6"/>
  <c r="X19" i="6"/>
  <c r="X20" i="6"/>
  <c r="X21" i="6"/>
  <c r="X22" i="6"/>
  <c r="X23" i="6"/>
  <c r="X24" i="6"/>
  <c r="X13" i="6"/>
  <c r="X25" i="6" s="1"/>
  <c r="W14" i="6"/>
  <c r="W15" i="6"/>
  <c r="W16" i="6"/>
  <c r="W17" i="6"/>
  <c r="W18" i="6"/>
  <c r="W19" i="6"/>
  <c r="W20" i="6"/>
  <c r="W21" i="6"/>
  <c r="W22" i="6"/>
  <c r="W23" i="6"/>
  <c r="W24" i="6"/>
  <c r="V24" i="6"/>
  <c r="V23" i="6"/>
  <c r="V22" i="6"/>
  <c r="V21" i="6"/>
  <c r="V20" i="6"/>
  <c r="V19" i="6"/>
  <c r="V16" i="6"/>
  <c r="V17" i="6"/>
  <c r="V18" i="6"/>
  <c r="V15" i="6"/>
  <c r="V14" i="6"/>
  <c r="W13" i="6"/>
  <c r="V13" i="6"/>
  <c r="U14" i="6"/>
  <c r="U15" i="6"/>
  <c r="U16" i="6"/>
  <c r="U17" i="6"/>
  <c r="U18" i="6"/>
  <c r="U19" i="6"/>
  <c r="U20" i="6"/>
  <c r="U21" i="6"/>
  <c r="U22" i="6"/>
  <c r="U23" i="6"/>
  <c r="U24" i="6"/>
  <c r="U13" i="6"/>
  <c r="T14" i="6"/>
  <c r="T15" i="6"/>
  <c r="T16" i="6"/>
  <c r="T17" i="6"/>
  <c r="T18" i="6"/>
  <c r="T19" i="6"/>
  <c r="T20" i="6"/>
  <c r="T21" i="6"/>
  <c r="T22" i="6"/>
  <c r="T23" i="6"/>
  <c r="T24" i="6"/>
  <c r="T13" i="6"/>
  <c r="T25" i="6" s="1"/>
  <c r="P5" i="42"/>
  <c r="C19" i="30"/>
  <c r="C20" i="30"/>
  <c r="C21" i="30"/>
  <c r="C31" i="30"/>
  <c r="C32" i="30"/>
  <c r="M25" i="4"/>
  <c r="L25" i="4"/>
  <c r="O17" i="4"/>
  <c r="N17" i="4"/>
  <c r="M17" i="4"/>
  <c r="L17" i="4"/>
  <c r="AH25" i="6" l="1"/>
  <c r="AF25" i="6"/>
  <c r="W25" i="6"/>
  <c r="V25" i="6"/>
  <c r="AD25" i="6"/>
  <c r="U25" i="6"/>
  <c r="AC25" i="6"/>
  <c r="AI25" i="6"/>
  <c r="AG25" i="6"/>
  <c r="C22" i="30"/>
  <c r="C23" i="30"/>
  <c r="C30" i="30"/>
  <c r="C34" i="30" s="1"/>
  <c r="D11" i="42"/>
  <c r="C33" i="30" l="1"/>
  <c r="C62" i="33"/>
  <c r="H60" i="33"/>
  <c r="H60" i="31"/>
  <c r="C10" i="15" l="1"/>
  <c r="C7" i="15"/>
  <c r="H60" i="30" l="1"/>
  <c r="C62" i="30"/>
  <c r="C64" i="30" s="1"/>
  <c r="C37" i="38" l="1"/>
  <c r="C37" i="39"/>
  <c r="C37" i="37"/>
  <c r="C37" i="36"/>
  <c r="C37" i="35"/>
  <c r="C37" i="34"/>
  <c r="C37" i="33"/>
  <c r="C37" i="30"/>
  <c r="Q5" i="42"/>
  <c r="C39" i="27" s="1"/>
  <c r="G7" i="30" l="1"/>
  <c r="L7" i="30"/>
  <c r="C39" i="24"/>
  <c r="C39" i="28"/>
  <c r="C39" i="25"/>
  <c r="C39" i="29"/>
  <c r="C39" i="31"/>
  <c r="C39" i="26"/>
  <c r="C39" i="32"/>
  <c r="C19" i="29" l="1"/>
  <c r="C2" i="29"/>
  <c r="N78" i="29"/>
  <c r="L87" i="29"/>
  <c r="C2" i="28"/>
  <c r="C19" i="28"/>
  <c r="N78" i="28"/>
  <c r="L87" i="28"/>
  <c r="C19" i="27"/>
  <c r="C2" i="27"/>
  <c r="N78" i="27"/>
  <c r="L87" i="27"/>
  <c r="C2" i="26"/>
  <c r="C19" i="26"/>
  <c r="M57" i="26"/>
  <c r="N78" i="26"/>
  <c r="L87" i="26"/>
  <c r="C2" i="25"/>
  <c r="C19" i="25"/>
  <c r="N78" i="25"/>
  <c r="L87" i="25"/>
  <c r="C2" i="24"/>
  <c r="C19" i="24"/>
  <c r="M57" i="24"/>
  <c r="N78" i="24"/>
  <c r="L87" i="24"/>
  <c r="C2" i="32"/>
  <c r="C19" i="32"/>
  <c r="N78" i="32"/>
  <c r="L87" i="32"/>
  <c r="C2" i="31"/>
  <c r="C19" i="31"/>
  <c r="N78" i="31"/>
  <c r="L87" i="31"/>
  <c r="C2" i="39"/>
  <c r="C19" i="39"/>
  <c r="N78" i="39"/>
  <c r="L87" i="39"/>
  <c r="C19" i="38"/>
  <c r="C2" i="38"/>
  <c r="M57" i="38"/>
  <c r="N78" i="38"/>
  <c r="L87" i="38"/>
  <c r="L87" i="37"/>
  <c r="N78" i="37"/>
  <c r="C19" i="37"/>
  <c r="C2" i="37"/>
  <c r="L87" i="36"/>
  <c r="N78" i="36"/>
  <c r="M57" i="36"/>
  <c r="C19" i="36"/>
  <c r="C2" i="36"/>
  <c r="C2" i="35"/>
  <c r="C19" i="35"/>
  <c r="N78" i="35"/>
  <c r="L87" i="35"/>
  <c r="L87" i="34"/>
  <c r="N78" i="34"/>
  <c r="M57" i="34"/>
  <c r="C19" i="34"/>
  <c r="C2" i="34"/>
  <c r="L87" i="33"/>
  <c r="N78" i="33"/>
  <c r="C19" i="33"/>
  <c r="C2" i="33"/>
  <c r="C2" i="30"/>
  <c r="N78" i="30"/>
  <c r="L87" i="30"/>
  <c r="H5" i="42"/>
  <c r="M57" i="28" s="1"/>
  <c r="D5" i="42"/>
  <c r="K57" i="26" s="1"/>
  <c r="C39" i="30"/>
  <c r="K57" i="30" l="1"/>
  <c r="K57" i="28"/>
  <c r="M57" i="30"/>
  <c r="K57" i="37"/>
  <c r="M57" i="32"/>
  <c r="K57" i="29"/>
  <c r="M57" i="33"/>
  <c r="K57" i="35"/>
  <c r="M57" i="37"/>
  <c r="M57" i="39"/>
  <c r="K57" i="32"/>
  <c r="K57" i="25"/>
  <c r="M57" i="27"/>
  <c r="M57" i="29"/>
  <c r="K57" i="31"/>
  <c r="K57" i="33"/>
  <c r="M57" i="35"/>
  <c r="K57" i="39"/>
  <c r="M57" i="25"/>
  <c r="K57" i="27"/>
  <c r="K57" i="34"/>
  <c r="K57" i="36"/>
  <c r="K57" i="38"/>
  <c r="M57" i="31"/>
  <c r="K57" i="24"/>
  <c r="N16" i="4"/>
  <c r="C39" i="39" l="1"/>
  <c r="C39" i="38"/>
  <c r="C39" i="37"/>
  <c r="C39" i="36"/>
  <c r="C39" i="35"/>
  <c r="C39" i="34"/>
  <c r="C39" i="33"/>
  <c r="D13" i="2" l="1"/>
  <c r="E13" i="2"/>
  <c r="K5" i="7"/>
  <c r="C30" i="29" l="1"/>
  <c r="C30" i="28"/>
  <c r="C30" i="27"/>
  <c r="C30" i="26"/>
  <c r="C30" i="25"/>
  <c r="C30" i="24"/>
  <c r="C30" i="32"/>
  <c r="C30" i="31"/>
  <c r="C30" i="39"/>
  <c r="C30" i="38"/>
  <c r="C30" i="37"/>
  <c r="C30" i="36"/>
  <c r="C30" i="35"/>
  <c r="C30" i="34"/>
  <c r="C30" i="33"/>
  <c r="M56" i="29"/>
  <c r="K56" i="29"/>
  <c r="M56" i="28"/>
  <c r="K56" i="28"/>
  <c r="M56" i="27"/>
  <c r="K56" i="27"/>
  <c r="M56" i="26"/>
  <c r="K56" i="26"/>
  <c r="M56" i="25"/>
  <c r="K56" i="25"/>
  <c r="M56" i="24"/>
  <c r="K56" i="24"/>
  <c r="M56" i="32"/>
  <c r="K56" i="32"/>
  <c r="M56" i="31"/>
  <c r="K56" i="31"/>
  <c r="M56" i="30"/>
  <c r="K56" i="30"/>
  <c r="M56" i="33"/>
  <c r="K56" i="33"/>
  <c r="M56" i="34"/>
  <c r="K56" i="34"/>
  <c r="M56" i="35"/>
  <c r="K56" i="35"/>
  <c r="M56" i="36"/>
  <c r="K56" i="36"/>
  <c r="G16" i="7" l="1"/>
  <c r="G15" i="7"/>
  <c r="H29" i="5"/>
  <c r="J3" i="2"/>
  <c r="F9" i="2"/>
  <c r="E9" i="2"/>
  <c r="F5" i="2"/>
  <c r="E5" i="2"/>
  <c r="L13" i="12" l="1"/>
  <c r="H9" i="12"/>
  <c r="Q5" i="3"/>
  <c r="L23" i="3"/>
  <c r="K43" i="4" l="1"/>
  <c r="L9" i="4" l="1"/>
  <c r="F13" i="11" l="1"/>
  <c r="D13" i="11"/>
  <c r="F22" i="11"/>
  <c r="D22" i="11"/>
  <c r="D20" i="11" l="1"/>
  <c r="F8" i="11" l="1"/>
  <c r="F10" i="11"/>
  <c r="F12" i="11"/>
  <c r="F20" i="11"/>
  <c r="C32" i="29" l="1"/>
  <c r="C32" i="25"/>
  <c r="C32" i="31"/>
  <c r="C32" i="28"/>
  <c r="C32" i="24"/>
  <c r="C32" i="27"/>
  <c r="C32" i="32"/>
  <c r="C32" i="26"/>
  <c r="C31" i="37" l="1"/>
  <c r="C31" i="33"/>
  <c r="C31" i="39"/>
  <c r="C31" i="38"/>
  <c r="C31" i="34"/>
  <c r="C31" i="36"/>
  <c r="C31" i="35"/>
  <c r="M56" i="39" l="1"/>
  <c r="K56" i="39"/>
  <c r="M56" i="38"/>
  <c r="K56" i="38"/>
  <c r="K56" i="37"/>
  <c r="M56" i="37"/>
  <c r="H16" i="7" l="1"/>
  <c r="G17" i="7"/>
  <c r="O8" i="7" l="1"/>
  <c r="K8" i="7" s="1"/>
  <c r="O12" i="7"/>
  <c r="K12" i="7" s="1"/>
  <c r="O16" i="7"/>
  <c r="K16" i="7" s="1"/>
  <c r="O9" i="7"/>
  <c r="K9" i="7" s="1"/>
  <c r="O13" i="7"/>
  <c r="K13" i="7" s="1"/>
  <c r="O5" i="7"/>
  <c r="O10" i="7"/>
  <c r="K10" i="7" s="1"/>
  <c r="O14" i="7"/>
  <c r="K14" i="7" s="1"/>
  <c r="O7" i="7"/>
  <c r="K7" i="7" s="1"/>
  <c r="O15" i="7"/>
  <c r="K15" i="7" s="1"/>
  <c r="O6" i="7"/>
  <c r="K6" i="7" s="1"/>
  <c r="O11" i="7"/>
  <c r="K11" i="7" s="1"/>
  <c r="L65" i="29"/>
  <c r="L65" i="28"/>
  <c r="L65" i="27"/>
  <c r="L65" i="26"/>
  <c r="L65" i="25"/>
  <c r="L65" i="24"/>
  <c r="L65" i="32"/>
  <c r="L65" i="31"/>
  <c r="L65" i="39"/>
  <c r="L65" i="38"/>
  <c r="L65" i="37"/>
  <c r="L65" i="36"/>
  <c r="L65" i="35"/>
  <c r="L65" i="34"/>
  <c r="L65" i="33"/>
  <c r="L65" i="30"/>
  <c r="L13" i="3" l="1"/>
  <c r="G7" i="7" l="1"/>
  <c r="G9" i="7" s="1"/>
  <c r="H7" i="7"/>
  <c r="H9" i="7" s="1"/>
  <c r="H17" i="7"/>
  <c r="H60" i="32"/>
  <c r="H62" i="32" s="1"/>
  <c r="H63" i="32" s="1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F87" i="39" s="1"/>
  <c r="F88" i="39" s="1"/>
  <c r="F89" i="39" s="1"/>
  <c r="F90" i="39" s="1"/>
  <c r="F91" i="39" s="1"/>
  <c r="F92" i="39" s="1"/>
  <c r="F93" i="39" s="1"/>
  <c r="F94" i="39" s="1"/>
  <c r="F95" i="39" s="1"/>
  <c r="F96" i="39" s="1"/>
  <c r="F97" i="39" s="1"/>
  <c r="F98" i="39" s="1"/>
  <c r="F99" i="39" s="1"/>
  <c r="F100" i="39" s="1"/>
  <c r="M86" i="39"/>
  <c r="K78" i="39"/>
  <c r="H78" i="39"/>
  <c r="H79" i="39" s="1"/>
  <c r="H81" i="39" s="1"/>
  <c r="F78" i="39"/>
  <c r="F79" i="39" s="1"/>
  <c r="F81" i="39" s="1"/>
  <c r="D78" i="39"/>
  <c r="D79" i="39" s="1"/>
  <c r="D81" i="39" s="1"/>
  <c r="N77" i="39"/>
  <c r="N79" i="39" s="1"/>
  <c r="C49" i="39" s="1"/>
  <c r="F68" i="39"/>
  <c r="M66" i="39"/>
  <c r="L66" i="39"/>
  <c r="K66" i="39"/>
  <c r="M64" i="39"/>
  <c r="K64" i="39"/>
  <c r="C63" i="39"/>
  <c r="C62" i="39"/>
  <c r="C64" i="39" s="1"/>
  <c r="C66" i="39" s="1"/>
  <c r="G95" i="39" s="1"/>
  <c r="G96" i="39" s="1"/>
  <c r="G97" i="39" s="1"/>
  <c r="G98" i="39" s="1"/>
  <c r="G99" i="39" s="1"/>
  <c r="G100" i="39" s="1"/>
  <c r="C67" i="39" s="1"/>
  <c r="H60" i="39"/>
  <c r="H62" i="39" s="1"/>
  <c r="H63" i="39" s="1"/>
  <c r="C52" i="39"/>
  <c r="C32" i="39"/>
  <c r="C34" i="39" s="1"/>
  <c r="C33" i="39"/>
  <c r="E100" i="38"/>
  <c r="E99" i="38"/>
  <c r="E98" i="38"/>
  <c r="E97" i="38"/>
  <c r="E96" i="38"/>
  <c r="E95" i="38"/>
  <c r="E94" i="38"/>
  <c r="E93" i="38"/>
  <c r="E92" i="38"/>
  <c r="E91" i="38"/>
  <c r="E90" i="38"/>
  <c r="E89" i="38"/>
  <c r="E88" i="38"/>
  <c r="E87" i="38"/>
  <c r="F87" i="38" s="1"/>
  <c r="M86" i="38"/>
  <c r="H79" i="38"/>
  <c r="H81" i="38" s="1"/>
  <c r="K78" i="38"/>
  <c r="H78" i="38"/>
  <c r="F78" i="38"/>
  <c r="F79" i="38" s="1"/>
  <c r="F81" i="38" s="1"/>
  <c r="D78" i="38"/>
  <c r="D79" i="38" s="1"/>
  <c r="D81" i="38" s="1"/>
  <c r="N77" i="38"/>
  <c r="N79" i="38" s="1"/>
  <c r="C49" i="38" s="1"/>
  <c r="F68" i="38"/>
  <c r="M66" i="38"/>
  <c r="L66" i="38"/>
  <c r="K66" i="38"/>
  <c r="M64" i="38"/>
  <c r="K64" i="38"/>
  <c r="C63" i="38"/>
  <c r="C62" i="38"/>
  <c r="C64" i="38" s="1"/>
  <c r="C66" i="38" s="1"/>
  <c r="G95" i="38" s="1"/>
  <c r="G96" i="38" s="1"/>
  <c r="G97" i="38" s="1"/>
  <c r="G98" i="38" s="1"/>
  <c r="G99" i="38" s="1"/>
  <c r="G100" i="38" s="1"/>
  <c r="C67" i="38" s="1"/>
  <c r="H60" i="38"/>
  <c r="H62" i="38" s="1"/>
  <c r="H63" i="38" s="1"/>
  <c r="C52" i="38"/>
  <c r="C32" i="38"/>
  <c r="C34" i="38" s="1"/>
  <c r="C33" i="38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F87" i="37" s="1"/>
  <c r="M86" i="37"/>
  <c r="K78" i="37"/>
  <c r="H78" i="37"/>
  <c r="H79" i="37" s="1"/>
  <c r="H81" i="37" s="1"/>
  <c r="F78" i="37"/>
  <c r="F79" i="37" s="1"/>
  <c r="F81" i="37" s="1"/>
  <c r="D78" i="37"/>
  <c r="D79" i="37" s="1"/>
  <c r="D81" i="37" s="1"/>
  <c r="N77" i="37"/>
  <c r="N79" i="37" s="1"/>
  <c r="C49" i="37" s="1"/>
  <c r="F68" i="37"/>
  <c r="M66" i="37"/>
  <c r="L66" i="37"/>
  <c r="K66" i="37"/>
  <c r="C66" i="37"/>
  <c r="G95" i="37" s="1"/>
  <c r="G96" i="37" s="1"/>
  <c r="G97" i="37" s="1"/>
  <c r="G98" i="37" s="1"/>
  <c r="G99" i="37" s="1"/>
  <c r="G100" i="37" s="1"/>
  <c r="C67" i="37" s="1"/>
  <c r="M64" i="37"/>
  <c r="K64" i="37"/>
  <c r="C64" i="37"/>
  <c r="C63" i="37"/>
  <c r="C62" i="37"/>
  <c r="H60" i="37"/>
  <c r="H62" i="37" s="1"/>
  <c r="H63" i="37" s="1"/>
  <c r="C52" i="37"/>
  <c r="C32" i="37"/>
  <c r="C34" i="37" s="1"/>
  <c r="C33" i="37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F87" i="36" s="1"/>
  <c r="F88" i="36" s="1"/>
  <c r="F89" i="36" s="1"/>
  <c r="F90" i="36" s="1"/>
  <c r="F91" i="36" s="1"/>
  <c r="F92" i="36" s="1"/>
  <c r="F93" i="36" s="1"/>
  <c r="F94" i="36" s="1"/>
  <c r="F95" i="36" s="1"/>
  <c r="F96" i="36" s="1"/>
  <c r="F97" i="36" s="1"/>
  <c r="F98" i="36" s="1"/>
  <c r="F99" i="36" s="1"/>
  <c r="F100" i="36" s="1"/>
  <c r="M86" i="36"/>
  <c r="K78" i="36"/>
  <c r="H78" i="36"/>
  <c r="H79" i="36" s="1"/>
  <c r="H81" i="36" s="1"/>
  <c r="F78" i="36"/>
  <c r="F79" i="36" s="1"/>
  <c r="F81" i="36" s="1"/>
  <c r="D78" i="36"/>
  <c r="D79" i="36" s="1"/>
  <c r="D81" i="36" s="1"/>
  <c r="N77" i="36"/>
  <c r="N79" i="36" s="1"/>
  <c r="C49" i="36" s="1"/>
  <c r="F68" i="36"/>
  <c r="M66" i="36"/>
  <c r="L66" i="36"/>
  <c r="K66" i="36"/>
  <c r="M64" i="36"/>
  <c r="K64" i="36"/>
  <c r="C63" i="36"/>
  <c r="H62" i="36"/>
  <c r="H63" i="36" s="1"/>
  <c r="C62" i="36"/>
  <c r="C64" i="36" s="1"/>
  <c r="C66" i="36" s="1"/>
  <c r="G95" i="36" s="1"/>
  <c r="G96" i="36" s="1"/>
  <c r="G97" i="36" s="1"/>
  <c r="G98" i="36" s="1"/>
  <c r="G99" i="36" s="1"/>
  <c r="G100" i="36" s="1"/>
  <c r="C67" i="36" s="1"/>
  <c r="K63" i="36" s="1"/>
  <c r="H60" i="36"/>
  <c r="C52" i="36"/>
  <c r="C32" i="36"/>
  <c r="C34" i="36" s="1"/>
  <c r="C33" i="36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F87" i="35" s="1"/>
  <c r="F88" i="35" s="1"/>
  <c r="F89" i="35" s="1"/>
  <c r="M86" i="35"/>
  <c r="K78" i="35"/>
  <c r="H78" i="35"/>
  <c r="H79" i="35" s="1"/>
  <c r="H81" i="35" s="1"/>
  <c r="F78" i="35"/>
  <c r="F79" i="35" s="1"/>
  <c r="F81" i="35" s="1"/>
  <c r="D78" i="35"/>
  <c r="D79" i="35" s="1"/>
  <c r="D81" i="35" s="1"/>
  <c r="N77" i="35"/>
  <c r="N79" i="35" s="1"/>
  <c r="C49" i="35" s="1"/>
  <c r="F68" i="35"/>
  <c r="M66" i="35"/>
  <c r="L66" i="35"/>
  <c r="K66" i="35"/>
  <c r="M64" i="35"/>
  <c r="K64" i="35"/>
  <c r="C63" i="35"/>
  <c r="H62" i="35"/>
  <c r="H63" i="35" s="1"/>
  <c r="C62" i="35"/>
  <c r="C64" i="35" s="1"/>
  <c r="C66" i="35" s="1"/>
  <c r="G95" i="35" s="1"/>
  <c r="G96" i="35" s="1"/>
  <c r="G97" i="35" s="1"/>
  <c r="G98" i="35" s="1"/>
  <c r="G99" i="35" s="1"/>
  <c r="G100" i="35" s="1"/>
  <c r="C67" i="35" s="1"/>
  <c r="H60" i="35"/>
  <c r="C52" i="35"/>
  <c r="C32" i="35"/>
  <c r="C34" i="35" s="1"/>
  <c r="C33" i="35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F87" i="34" s="1"/>
  <c r="F88" i="34" s="1"/>
  <c r="F89" i="34" s="1"/>
  <c r="F90" i="34" s="1"/>
  <c r="F91" i="34" s="1"/>
  <c r="F92" i="34" s="1"/>
  <c r="F93" i="34" s="1"/>
  <c r="F94" i="34" s="1"/>
  <c r="F95" i="34" s="1"/>
  <c r="F96" i="34" s="1"/>
  <c r="F97" i="34" s="1"/>
  <c r="F98" i="34" s="1"/>
  <c r="F99" i="34" s="1"/>
  <c r="F100" i="34" s="1"/>
  <c r="M86" i="34"/>
  <c r="K78" i="34"/>
  <c r="H78" i="34"/>
  <c r="H79" i="34" s="1"/>
  <c r="H81" i="34" s="1"/>
  <c r="F78" i="34"/>
  <c r="F79" i="34" s="1"/>
  <c r="F81" i="34" s="1"/>
  <c r="D78" i="34"/>
  <c r="D79" i="34" s="1"/>
  <c r="D81" i="34" s="1"/>
  <c r="N77" i="34"/>
  <c r="N79" i="34" s="1"/>
  <c r="C49" i="34" s="1"/>
  <c r="F68" i="34"/>
  <c r="M66" i="34"/>
  <c r="L66" i="34"/>
  <c r="K66" i="34"/>
  <c r="M64" i="34"/>
  <c r="K64" i="34"/>
  <c r="C63" i="34"/>
  <c r="C62" i="34"/>
  <c r="C64" i="34" s="1"/>
  <c r="C66" i="34" s="1"/>
  <c r="G95" i="34" s="1"/>
  <c r="G96" i="34" s="1"/>
  <c r="G97" i="34" s="1"/>
  <c r="G98" i="34" s="1"/>
  <c r="G99" i="34" s="1"/>
  <c r="G100" i="34" s="1"/>
  <c r="C67" i="34" s="1"/>
  <c r="H60" i="34"/>
  <c r="H62" i="34" s="1"/>
  <c r="H63" i="34" s="1"/>
  <c r="C52" i="34"/>
  <c r="C32" i="34"/>
  <c r="C34" i="34" s="1"/>
  <c r="C33" i="34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F87" i="33" s="1"/>
  <c r="F88" i="33" s="1"/>
  <c r="M86" i="33"/>
  <c r="K78" i="33"/>
  <c r="H78" i="33"/>
  <c r="H79" i="33" s="1"/>
  <c r="H81" i="33" s="1"/>
  <c r="F78" i="33"/>
  <c r="F79" i="33" s="1"/>
  <c r="F81" i="33" s="1"/>
  <c r="D78" i="33"/>
  <c r="D79" i="33" s="1"/>
  <c r="D81" i="33" s="1"/>
  <c r="N77" i="33"/>
  <c r="N79" i="33" s="1"/>
  <c r="C49" i="33" s="1"/>
  <c r="F68" i="33"/>
  <c r="M66" i="33"/>
  <c r="L66" i="33"/>
  <c r="K66" i="33"/>
  <c r="M64" i="33"/>
  <c r="K64" i="33"/>
  <c r="C63" i="33"/>
  <c r="H62" i="33"/>
  <c r="H63" i="33" s="1"/>
  <c r="C64" i="33"/>
  <c r="C66" i="33" s="1"/>
  <c r="G95" i="33" s="1"/>
  <c r="G96" i="33" s="1"/>
  <c r="C52" i="33"/>
  <c r="C32" i="33"/>
  <c r="C34" i="33" s="1"/>
  <c r="C33" i="33"/>
  <c r="C66" i="30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F87" i="32" s="1"/>
  <c r="M86" i="32"/>
  <c r="H79" i="32"/>
  <c r="H81" i="32" s="1"/>
  <c r="K78" i="32"/>
  <c r="H78" i="32"/>
  <c r="F78" i="32"/>
  <c r="F79" i="32" s="1"/>
  <c r="F81" i="32" s="1"/>
  <c r="D78" i="32"/>
  <c r="D79" i="32" s="1"/>
  <c r="D81" i="32" s="1"/>
  <c r="N77" i="32"/>
  <c r="N79" i="32" s="1"/>
  <c r="C49" i="32" s="1"/>
  <c r="F68" i="32"/>
  <c r="M66" i="32"/>
  <c r="L66" i="32"/>
  <c r="K66" i="32"/>
  <c r="M64" i="32"/>
  <c r="K64" i="32"/>
  <c r="C63" i="32"/>
  <c r="C62" i="32"/>
  <c r="C52" i="32"/>
  <c r="C34" i="32"/>
  <c r="C31" i="32"/>
  <c r="C33" i="32" s="1"/>
  <c r="E100" i="31"/>
  <c r="E99" i="31"/>
  <c r="E98" i="31"/>
  <c r="E97" i="31"/>
  <c r="E96" i="31"/>
  <c r="E95" i="31"/>
  <c r="E94" i="31"/>
  <c r="E93" i="31"/>
  <c r="E92" i="31"/>
  <c r="E91" i="31"/>
  <c r="E90" i="31"/>
  <c r="E89" i="31"/>
  <c r="E88" i="31"/>
  <c r="E87" i="31"/>
  <c r="F87" i="31" s="1"/>
  <c r="F88" i="31" s="1"/>
  <c r="F89" i="31" s="1"/>
  <c r="M86" i="31"/>
  <c r="K78" i="31"/>
  <c r="H78" i="31"/>
  <c r="H79" i="31" s="1"/>
  <c r="H81" i="31" s="1"/>
  <c r="F78" i="31"/>
  <c r="F79" i="31" s="1"/>
  <c r="F81" i="31" s="1"/>
  <c r="D78" i="31"/>
  <c r="D79" i="31" s="1"/>
  <c r="D81" i="31" s="1"/>
  <c r="N77" i="31"/>
  <c r="N79" i="31" s="1"/>
  <c r="C49" i="31" s="1"/>
  <c r="F68" i="31"/>
  <c r="M66" i="31"/>
  <c r="L66" i="31"/>
  <c r="K66" i="31"/>
  <c r="M64" i="31"/>
  <c r="K64" i="31"/>
  <c r="C63" i="31"/>
  <c r="H62" i="31"/>
  <c r="H63" i="31" s="1"/>
  <c r="C62" i="31"/>
  <c r="C52" i="31"/>
  <c r="C34" i="31"/>
  <c r="C31" i="31"/>
  <c r="C33" i="31" s="1"/>
  <c r="M86" i="29"/>
  <c r="M86" i="28"/>
  <c r="M86" i="27"/>
  <c r="M86" i="26"/>
  <c r="M86" i="25"/>
  <c r="M86" i="24"/>
  <c r="M86" i="30"/>
  <c r="H62" i="30"/>
  <c r="H63" i="30" s="1"/>
  <c r="M63" i="30" s="1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F87" i="30" s="1"/>
  <c r="F88" i="30" s="1"/>
  <c r="F89" i="30" s="1"/>
  <c r="F90" i="30" s="1"/>
  <c r="F91" i="30" s="1"/>
  <c r="F92" i="30" s="1"/>
  <c r="F93" i="30" s="1"/>
  <c r="F94" i="30" s="1"/>
  <c r="F95" i="30" s="1"/>
  <c r="F96" i="30" s="1"/>
  <c r="F97" i="30" s="1"/>
  <c r="F98" i="30" s="1"/>
  <c r="F99" i="30" s="1"/>
  <c r="F100" i="30" s="1"/>
  <c r="K78" i="30"/>
  <c r="H78" i="30"/>
  <c r="H79" i="30" s="1"/>
  <c r="H81" i="30" s="1"/>
  <c r="F78" i="30"/>
  <c r="F79" i="30" s="1"/>
  <c r="F81" i="30" s="1"/>
  <c r="D78" i="30"/>
  <c r="D79" i="30" s="1"/>
  <c r="D81" i="30" s="1"/>
  <c r="N77" i="30"/>
  <c r="N79" i="30" s="1"/>
  <c r="C49" i="30" s="1"/>
  <c r="F68" i="30"/>
  <c r="M66" i="30"/>
  <c r="L66" i="30"/>
  <c r="K66" i="30"/>
  <c r="M64" i="30"/>
  <c r="K64" i="30"/>
  <c r="C63" i="30"/>
  <c r="C51" i="30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F87" i="29" s="1"/>
  <c r="F88" i="29" s="1"/>
  <c r="F89" i="29" s="1"/>
  <c r="F90" i="29" s="1"/>
  <c r="F91" i="29" s="1"/>
  <c r="F92" i="29" s="1"/>
  <c r="F93" i="29" s="1"/>
  <c r="F94" i="29" s="1"/>
  <c r="F95" i="29" s="1"/>
  <c r="F96" i="29" s="1"/>
  <c r="F97" i="29" s="1"/>
  <c r="F98" i="29" s="1"/>
  <c r="F99" i="29" s="1"/>
  <c r="F100" i="29" s="1"/>
  <c r="K78" i="29"/>
  <c r="H78" i="29"/>
  <c r="H79" i="29" s="1"/>
  <c r="H81" i="29" s="1"/>
  <c r="F78" i="29"/>
  <c r="F79" i="29" s="1"/>
  <c r="F81" i="29" s="1"/>
  <c r="D78" i="29"/>
  <c r="D79" i="29" s="1"/>
  <c r="D81" i="29" s="1"/>
  <c r="N77" i="29"/>
  <c r="N79" i="29" s="1"/>
  <c r="C49" i="29" s="1"/>
  <c r="F68" i="29"/>
  <c r="M66" i="29"/>
  <c r="L66" i="29"/>
  <c r="K66" i="29"/>
  <c r="M64" i="29"/>
  <c r="K64" i="29"/>
  <c r="C64" i="29"/>
  <c r="C66" i="29" s="1"/>
  <c r="G95" i="29" s="1"/>
  <c r="G96" i="29" s="1"/>
  <c r="G97" i="29" s="1"/>
  <c r="G98" i="29" s="1"/>
  <c r="G99" i="29" s="1"/>
  <c r="G100" i="29" s="1"/>
  <c r="C67" i="29" s="1"/>
  <c r="C63" i="29"/>
  <c r="C62" i="29"/>
  <c r="H60" i="29"/>
  <c r="H62" i="29" s="1"/>
  <c r="H63" i="29" s="1"/>
  <c r="C52" i="29"/>
  <c r="C34" i="29"/>
  <c r="C31" i="29"/>
  <c r="C33" i="29" s="1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F87" i="28" s="1"/>
  <c r="K78" i="28"/>
  <c r="H78" i="28"/>
  <c r="H79" i="28" s="1"/>
  <c r="H81" i="28" s="1"/>
  <c r="F78" i="28"/>
  <c r="F79" i="28" s="1"/>
  <c r="F81" i="28" s="1"/>
  <c r="D78" i="28"/>
  <c r="D79" i="28" s="1"/>
  <c r="D81" i="28" s="1"/>
  <c r="N77" i="28"/>
  <c r="N79" i="28" s="1"/>
  <c r="C49" i="28" s="1"/>
  <c r="F68" i="28"/>
  <c r="M66" i="28"/>
  <c r="L66" i="28"/>
  <c r="K66" i="28"/>
  <c r="M64" i="28"/>
  <c r="K64" i="28"/>
  <c r="C64" i="28"/>
  <c r="C66" i="28" s="1"/>
  <c r="G95" i="28" s="1"/>
  <c r="G96" i="28" s="1"/>
  <c r="G97" i="28" s="1"/>
  <c r="G98" i="28" s="1"/>
  <c r="G99" i="28" s="1"/>
  <c r="G100" i="28" s="1"/>
  <c r="C67" i="28" s="1"/>
  <c r="C63" i="28"/>
  <c r="C62" i="28"/>
  <c r="H60" i="28"/>
  <c r="H62" i="28" s="1"/>
  <c r="H63" i="28" s="1"/>
  <c r="C52" i="28"/>
  <c r="C34" i="28"/>
  <c r="C31" i="28"/>
  <c r="C33" i="28" s="1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F87" i="27" s="1"/>
  <c r="K78" i="27"/>
  <c r="H78" i="27"/>
  <c r="H79" i="27" s="1"/>
  <c r="H81" i="27" s="1"/>
  <c r="F78" i="27"/>
  <c r="F79" i="27" s="1"/>
  <c r="F81" i="27" s="1"/>
  <c r="D78" i="27"/>
  <c r="D79" i="27" s="1"/>
  <c r="D81" i="27" s="1"/>
  <c r="N77" i="27"/>
  <c r="N79" i="27" s="1"/>
  <c r="C49" i="27" s="1"/>
  <c r="F68" i="27"/>
  <c r="M66" i="27"/>
  <c r="L66" i="27"/>
  <c r="K66" i="27"/>
  <c r="M64" i="27"/>
  <c r="K64" i="27"/>
  <c r="C63" i="27"/>
  <c r="C64" i="27" s="1"/>
  <c r="C66" i="27" s="1"/>
  <c r="G95" i="27" s="1"/>
  <c r="G96" i="27" s="1"/>
  <c r="G97" i="27" s="1"/>
  <c r="H62" i="27"/>
  <c r="H63" i="27" s="1"/>
  <c r="C62" i="27"/>
  <c r="H60" i="27"/>
  <c r="C52" i="27"/>
  <c r="C34" i="27"/>
  <c r="C31" i="27"/>
  <c r="C33" i="27" s="1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F87" i="26"/>
  <c r="E87" i="26"/>
  <c r="K78" i="26"/>
  <c r="H78" i="26"/>
  <c r="H79" i="26" s="1"/>
  <c r="H81" i="26" s="1"/>
  <c r="F78" i="26"/>
  <c r="F79" i="26" s="1"/>
  <c r="F81" i="26" s="1"/>
  <c r="D78" i="26"/>
  <c r="D79" i="26" s="1"/>
  <c r="D81" i="26" s="1"/>
  <c r="N77" i="26"/>
  <c r="N79" i="26" s="1"/>
  <c r="C49" i="26" s="1"/>
  <c r="F68" i="26"/>
  <c r="M66" i="26"/>
  <c r="L66" i="26"/>
  <c r="K66" i="26"/>
  <c r="M64" i="26"/>
  <c r="K64" i="26"/>
  <c r="C64" i="26"/>
  <c r="C66" i="26" s="1"/>
  <c r="G95" i="26" s="1"/>
  <c r="G96" i="26" s="1"/>
  <c r="G97" i="26" s="1"/>
  <c r="G98" i="26" s="1"/>
  <c r="G99" i="26" s="1"/>
  <c r="G100" i="26" s="1"/>
  <c r="C67" i="26" s="1"/>
  <c r="C63" i="26"/>
  <c r="H62" i="26"/>
  <c r="H63" i="26" s="1"/>
  <c r="C62" i="26"/>
  <c r="H60" i="26"/>
  <c r="C52" i="26"/>
  <c r="C34" i="26"/>
  <c r="C31" i="26"/>
  <c r="C33" i="26" s="1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F87" i="25" s="1"/>
  <c r="F88" i="25" s="1"/>
  <c r="F89" i="25" s="1"/>
  <c r="K78" i="25"/>
  <c r="H78" i="25"/>
  <c r="H79" i="25" s="1"/>
  <c r="H81" i="25" s="1"/>
  <c r="F78" i="25"/>
  <c r="F79" i="25" s="1"/>
  <c r="F81" i="25" s="1"/>
  <c r="D78" i="25"/>
  <c r="D79" i="25" s="1"/>
  <c r="D81" i="25" s="1"/>
  <c r="N77" i="25"/>
  <c r="N79" i="25" s="1"/>
  <c r="C49" i="25" s="1"/>
  <c r="F68" i="25"/>
  <c r="M66" i="25"/>
  <c r="L66" i="25"/>
  <c r="K66" i="25"/>
  <c r="M64" i="25"/>
  <c r="K64" i="25"/>
  <c r="C63" i="25"/>
  <c r="C64" i="25" s="1"/>
  <c r="C66" i="25" s="1"/>
  <c r="G95" i="25" s="1"/>
  <c r="G96" i="25" s="1"/>
  <c r="G97" i="25" s="1"/>
  <c r="H62" i="25"/>
  <c r="H63" i="25" s="1"/>
  <c r="C62" i="25"/>
  <c r="H60" i="25"/>
  <c r="C52" i="25"/>
  <c r="C34" i="25"/>
  <c r="C31" i="25"/>
  <c r="C33" i="25" s="1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F87" i="24" s="1"/>
  <c r="F88" i="24" s="1"/>
  <c r="F89" i="24" s="1"/>
  <c r="K78" i="24"/>
  <c r="H78" i="24"/>
  <c r="H79" i="24" s="1"/>
  <c r="H81" i="24" s="1"/>
  <c r="F78" i="24"/>
  <c r="F79" i="24" s="1"/>
  <c r="F81" i="24" s="1"/>
  <c r="D78" i="24"/>
  <c r="D79" i="24" s="1"/>
  <c r="D81" i="24" s="1"/>
  <c r="N77" i="24"/>
  <c r="N79" i="24" s="1"/>
  <c r="C49" i="24" s="1"/>
  <c r="F68" i="24"/>
  <c r="M66" i="24"/>
  <c r="L66" i="24"/>
  <c r="K66" i="24"/>
  <c r="M64" i="24"/>
  <c r="K64" i="24"/>
  <c r="C63" i="24"/>
  <c r="C64" i="24" s="1"/>
  <c r="C66" i="24" s="1"/>
  <c r="G95" i="24" s="1"/>
  <c r="G96" i="24" s="1"/>
  <c r="G97" i="24" s="1"/>
  <c r="H62" i="24"/>
  <c r="H63" i="24" s="1"/>
  <c r="C62" i="24"/>
  <c r="H60" i="24"/>
  <c r="C52" i="24"/>
  <c r="C34" i="24"/>
  <c r="C31" i="24"/>
  <c r="C33" i="24" s="1"/>
  <c r="F88" i="28" l="1"/>
  <c r="F89" i="28" s="1"/>
  <c r="F90" i="28" s="1"/>
  <c r="F91" i="28" s="1"/>
  <c r="F92" i="28" s="1"/>
  <c r="F93" i="28" s="1"/>
  <c r="F94" i="28" s="1"/>
  <c r="F95" i="28" s="1"/>
  <c r="F96" i="28" s="1"/>
  <c r="F97" i="28" s="1"/>
  <c r="F98" i="28" s="1"/>
  <c r="F99" i="28" s="1"/>
  <c r="F100" i="28" s="1"/>
  <c r="G98" i="27"/>
  <c r="G99" i="27" s="1"/>
  <c r="G100" i="27" s="1"/>
  <c r="C67" i="27" s="1"/>
  <c r="F88" i="27"/>
  <c r="F89" i="27" s="1"/>
  <c r="F90" i="27" s="1"/>
  <c r="F91" i="27" s="1"/>
  <c r="F92" i="27" s="1"/>
  <c r="F93" i="27" s="1"/>
  <c r="F94" i="27" s="1"/>
  <c r="F95" i="27" s="1"/>
  <c r="F96" i="27" s="1"/>
  <c r="F97" i="27" s="1"/>
  <c r="F98" i="27" s="1"/>
  <c r="F99" i="27" s="1"/>
  <c r="F100" i="27" s="1"/>
  <c r="F88" i="26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G98" i="25"/>
  <c r="G99" i="25" s="1"/>
  <c r="G100" i="25" s="1"/>
  <c r="C67" i="25" s="1"/>
  <c r="F90" i="25"/>
  <c r="F91" i="25" s="1"/>
  <c r="F92" i="25" s="1"/>
  <c r="F93" i="25" s="1"/>
  <c r="F94" i="25" s="1"/>
  <c r="F95" i="25" s="1"/>
  <c r="F96" i="25" s="1"/>
  <c r="F97" i="25" s="1"/>
  <c r="F98" i="25" s="1"/>
  <c r="F99" i="25" s="1"/>
  <c r="F100" i="25" s="1"/>
  <c r="G98" i="24"/>
  <c r="G99" i="24" s="1"/>
  <c r="G100" i="24" s="1"/>
  <c r="C67" i="24" s="1"/>
  <c r="C71" i="24" s="1"/>
  <c r="F90" i="24"/>
  <c r="F91" i="24" s="1"/>
  <c r="F92" i="24" s="1"/>
  <c r="F93" i="24" s="1"/>
  <c r="F94" i="24" s="1"/>
  <c r="F95" i="24" s="1"/>
  <c r="F96" i="24" s="1"/>
  <c r="F97" i="24" s="1"/>
  <c r="F98" i="24" s="1"/>
  <c r="F99" i="24" s="1"/>
  <c r="F100" i="24" s="1"/>
  <c r="F88" i="32"/>
  <c r="F89" i="32" s="1"/>
  <c r="F90" i="32" s="1"/>
  <c r="F91" i="32" s="1"/>
  <c r="F92" i="32" s="1"/>
  <c r="F93" i="32" s="1"/>
  <c r="F94" i="32" s="1"/>
  <c r="F95" i="32" s="1"/>
  <c r="F96" i="32" s="1"/>
  <c r="F97" i="32" s="1"/>
  <c r="F98" i="32" s="1"/>
  <c r="F99" i="32" s="1"/>
  <c r="F100" i="32" s="1"/>
  <c r="C64" i="32"/>
  <c r="C66" i="32" s="1"/>
  <c r="G95" i="32" s="1"/>
  <c r="G96" i="32" s="1"/>
  <c r="G97" i="32" s="1"/>
  <c r="G98" i="32" s="1"/>
  <c r="G99" i="32" s="1"/>
  <c r="G100" i="32" s="1"/>
  <c r="C67" i="32" s="1"/>
  <c r="C64" i="31"/>
  <c r="C66" i="31" s="1"/>
  <c r="G95" i="31" s="1"/>
  <c r="G96" i="31" s="1"/>
  <c r="G97" i="31" s="1"/>
  <c r="G98" i="31" s="1"/>
  <c r="G99" i="31" s="1"/>
  <c r="G100" i="31" s="1"/>
  <c r="C67" i="31" s="1"/>
  <c r="F90" i="31"/>
  <c r="F91" i="31" s="1"/>
  <c r="F92" i="31" s="1"/>
  <c r="F93" i="31" s="1"/>
  <c r="F94" i="31" s="1"/>
  <c r="F95" i="31" s="1"/>
  <c r="F96" i="31" s="1"/>
  <c r="F97" i="31" s="1"/>
  <c r="F98" i="31" s="1"/>
  <c r="F99" i="31" s="1"/>
  <c r="F100" i="31" s="1"/>
  <c r="F88" i="37"/>
  <c r="F89" i="37" s="1"/>
  <c r="F90" i="37" s="1"/>
  <c r="F91" i="37" s="1"/>
  <c r="F92" i="37" s="1"/>
  <c r="F93" i="37" s="1"/>
  <c r="F94" i="37" s="1"/>
  <c r="F95" i="37" s="1"/>
  <c r="F96" i="37" s="1"/>
  <c r="F97" i="37" s="1"/>
  <c r="F98" i="37" s="1"/>
  <c r="F99" i="37" s="1"/>
  <c r="F100" i="37" s="1"/>
  <c r="F90" i="35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89" i="33"/>
  <c r="F90" i="33" s="1"/>
  <c r="F91" i="33" s="1"/>
  <c r="F92" i="33" s="1"/>
  <c r="F93" i="33" s="1"/>
  <c r="F94" i="33" s="1"/>
  <c r="F95" i="33" s="1"/>
  <c r="F96" i="33" s="1"/>
  <c r="F97" i="33" s="1"/>
  <c r="F98" i="33" s="1"/>
  <c r="F99" i="33" s="1"/>
  <c r="F100" i="33" s="1"/>
  <c r="G97" i="33"/>
  <c r="G98" i="33" s="1"/>
  <c r="G99" i="33" s="1"/>
  <c r="G100" i="33" s="1"/>
  <c r="C67" i="33" s="1"/>
  <c r="C69" i="33" s="1"/>
  <c r="P8" i="7"/>
  <c r="L8" i="7" s="1"/>
  <c r="P12" i="7"/>
  <c r="L12" i="7" s="1"/>
  <c r="P16" i="7"/>
  <c r="L16" i="7" s="1"/>
  <c r="P6" i="7"/>
  <c r="L6" i="7" s="1"/>
  <c r="P14" i="7"/>
  <c r="L14" i="7" s="1"/>
  <c r="P11" i="7"/>
  <c r="L11" i="7" s="1"/>
  <c r="P15" i="7"/>
  <c r="L15" i="7" s="1"/>
  <c r="P9" i="7"/>
  <c r="L9" i="7" s="1"/>
  <c r="P13" i="7"/>
  <c r="L13" i="7" s="1"/>
  <c r="P5" i="7"/>
  <c r="L5" i="7" s="1"/>
  <c r="P10" i="7"/>
  <c r="L10" i="7" s="1"/>
  <c r="P7" i="7"/>
  <c r="L7" i="7" s="1"/>
  <c r="G95" i="30"/>
  <c r="G96" i="30" s="1"/>
  <c r="G97" i="30" s="1"/>
  <c r="G98" i="30" s="1"/>
  <c r="G99" i="30" s="1"/>
  <c r="G100" i="30" s="1"/>
  <c r="C67" i="30" s="1"/>
  <c r="K63" i="30" s="1"/>
  <c r="C69" i="39"/>
  <c r="K63" i="39"/>
  <c r="K65" i="39" s="1"/>
  <c r="C71" i="39"/>
  <c r="H67" i="39"/>
  <c r="H65" i="39"/>
  <c r="M63" i="39"/>
  <c r="M67" i="39" s="1"/>
  <c r="C69" i="38"/>
  <c r="K63" i="38"/>
  <c r="K65" i="38" s="1"/>
  <c r="C71" i="38"/>
  <c r="H67" i="38"/>
  <c r="H65" i="38"/>
  <c r="M63" i="38"/>
  <c r="M67" i="38" s="1"/>
  <c r="F88" i="38"/>
  <c r="F89" i="38" s="1"/>
  <c r="F90" i="38" s="1"/>
  <c r="F91" i="38" s="1"/>
  <c r="F92" i="38" s="1"/>
  <c r="F93" i="38" s="1"/>
  <c r="F94" i="38" s="1"/>
  <c r="F95" i="38" s="1"/>
  <c r="F96" i="38" s="1"/>
  <c r="F97" i="38" s="1"/>
  <c r="F98" i="38" s="1"/>
  <c r="F99" i="38" s="1"/>
  <c r="F100" i="38" s="1"/>
  <c r="C69" i="37"/>
  <c r="K63" i="37"/>
  <c r="C71" i="37"/>
  <c r="H67" i="37"/>
  <c r="H65" i="37"/>
  <c r="M63" i="37"/>
  <c r="M67" i="37" s="1"/>
  <c r="H67" i="36"/>
  <c r="H65" i="36"/>
  <c r="M63" i="36"/>
  <c r="M67" i="36" s="1"/>
  <c r="C69" i="36"/>
  <c r="K65" i="36"/>
  <c r="C71" i="36"/>
  <c r="H67" i="35"/>
  <c r="H65" i="35"/>
  <c r="M63" i="35"/>
  <c r="M67" i="35" s="1"/>
  <c r="C69" i="35"/>
  <c r="K63" i="35"/>
  <c r="K65" i="35" s="1"/>
  <c r="C71" i="35"/>
  <c r="C71" i="34"/>
  <c r="K63" i="34"/>
  <c r="K67" i="34" s="1"/>
  <c r="C69" i="34"/>
  <c r="H67" i="34"/>
  <c r="H65" i="34"/>
  <c r="M63" i="34"/>
  <c r="M65" i="34" s="1"/>
  <c r="K63" i="33"/>
  <c r="K65" i="33" s="1"/>
  <c r="C71" i="33"/>
  <c r="H67" i="33"/>
  <c r="H65" i="33"/>
  <c r="M63" i="33"/>
  <c r="M67" i="33" s="1"/>
  <c r="H67" i="32"/>
  <c r="H65" i="32"/>
  <c r="M63" i="32"/>
  <c r="M67" i="32" s="1"/>
  <c r="H67" i="31"/>
  <c r="H65" i="31"/>
  <c r="M63" i="31"/>
  <c r="C71" i="30"/>
  <c r="C69" i="30"/>
  <c r="H67" i="30"/>
  <c r="H65" i="30"/>
  <c r="C69" i="29"/>
  <c r="C71" i="29"/>
  <c r="K63" i="29"/>
  <c r="K67" i="29" s="1"/>
  <c r="H67" i="29"/>
  <c r="H65" i="29"/>
  <c r="M63" i="29"/>
  <c r="M65" i="29" s="1"/>
  <c r="H67" i="28"/>
  <c r="H65" i="28"/>
  <c r="M63" i="28"/>
  <c r="M65" i="28" s="1"/>
  <c r="C69" i="28"/>
  <c r="C71" i="28"/>
  <c r="K63" i="28"/>
  <c r="K67" i="28" s="1"/>
  <c r="C71" i="27"/>
  <c r="C69" i="27"/>
  <c r="K63" i="27"/>
  <c r="K67" i="27" s="1"/>
  <c r="H67" i="27"/>
  <c r="H65" i="27"/>
  <c r="M63" i="27"/>
  <c r="M65" i="27" s="1"/>
  <c r="C71" i="26"/>
  <c r="C69" i="26"/>
  <c r="K63" i="26"/>
  <c r="K67" i="26" s="1"/>
  <c r="H67" i="26"/>
  <c r="H65" i="26"/>
  <c r="M63" i="26"/>
  <c r="M65" i="26" s="1"/>
  <c r="C71" i="25"/>
  <c r="C69" i="25"/>
  <c r="K63" i="25"/>
  <c r="K65" i="25" s="1"/>
  <c r="H67" i="25"/>
  <c r="H65" i="25"/>
  <c r="M63" i="25"/>
  <c r="M65" i="25" s="1"/>
  <c r="H67" i="24"/>
  <c r="H65" i="24"/>
  <c r="M63" i="24"/>
  <c r="M65" i="24" s="1"/>
  <c r="K63" i="24" l="1"/>
  <c r="K65" i="24" s="1"/>
  <c r="C69" i="24"/>
  <c r="C69" i="32"/>
  <c r="K63" i="32"/>
  <c r="K65" i="32" s="1"/>
  <c r="C71" i="32"/>
  <c r="C69" i="31"/>
  <c r="C71" i="31"/>
  <c r="K63" i="31"/>
  <c r="M65" i="30"/>
  <c r="M67" i="31"/>
  <c r="K65" i="31"/>
  <c r="M65" i="31"/>
  <c r="M67" i="28"/>
  <c r="M67" i="29"/>
  <c r="K67" i="24"/>
  <c r="K65" i="26"/>
  <c r="K65" i="27"/>
  <c r="K65" i="28"/>
  <c r="K65" i="29"/>
  <c r="K67" i="31"/>
  <c r="M65" i="39"/>
  <c r="K67" i="39"/>
  <c r="M65" i="36"/>
  <c r="K67" i="36"/>
  <c r="M65" i="35"/>
  <c r="K67" i="35"/>
  <c r="K67" i="38"/>
  <c r="M65" i="37"/>
  <c r="K65" i="34"/>
  <c r="K67" i="33"/>
  <c r="M65" i="33"/>
  <c r="M65" i="38"/>
  <c r="K65" i="37"/>
  <c r="K67" i="37"/>
  <c r="M67" i="34"/>
  <c r="M65" i="32"/>
  <c r="K67" i="32"/>
  <c r="K65" i="30"/>
  <c r="K67" i="30"/>
  <c r="M67" i="30"/>
  <c r="M67" i="27"/>
  <c r="M67" i="26"/>
  <c r="M67" i="25"/>
  <c r="K67" i="25"/>
  <c r="M67" i="24"/>
  <c r="N12" i="3" l="1"/>
  <c r="O12" i="3" s="1"/>
  <c r="O7" i="3"/>
  <c r="M7" i="3"/>
  <c r="L8" i="3" l="1"/>
  <c r="P13" i="12" l="1"/>
  <c r="O15" i="4" l="1"/>
  <c r="N18" i="4" l="1"/>
  <c r="O18" i="4"/>
  <c r="P17" i="7" l="1"/>
  <c r="O17" i="7"/>
  <c r="F21" i="11" l="1"/>
  <c r="D21" i="11"/>
  <c r="D18" i="11"/>
  <c r="F18" i="11"/>
  <c r="H13" i="12" l="1"/>
  <c r="D13" i="12"/>
  <c r="P9" i="12"/>
  <c r="L9" i="12"/>
  <c r="I3" i="12"/>
  <c r="I2" i="12"/>
  <c r="F6" i="11"/>
  <c r="D6" i="11"/>
  <c r="D8" i="11" s="1"/>
  <c r="D11" i="11" s="1"/>
  <c r="D12" i="11" s="1"/>
  <c r="K35" i="3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35" i="3"/>
  <c r="M35" i="3" s="1"/>
  <c r="V20" i="3"/>
  <c r="U20" i="3"/>
  <c r="T20" i="3"/>
  <c r="S20" i="3"/>
  <c r="R20" i="3"/>
  <c r="Q20" i="3"/>
  <c r="P20" i="3"/>
  <c r="O20" i="3"/>
  <c r="N20" i="3"/>
  <c r="M20" i="3"/>
  <c r="L20" i="3"/>
  <c r="K20" i="3"/>
  <c r="W20" i="3" s="1"/>
  <c r="W19" i="3"/>
  <c r="L15" i="3"/>
  <c r="O13" i="3"/>
  <c r="O16" i="3" s="1"/>
  <c r="N13" i="3"/>
  <c r="N16" i="3" s="1"/>
  <c r="M13" i="3"/>
  <c r="M15" i="3" s="1"/>
  <c r="L9" i="3"/>
  <c r="L10" i="3" s="1"/>
  <c r="L11" i="3" s="1"/>
  <c r="O8" i="3"/>
  <c r="N8" i="3"/>
  <c r="M8" i="3"/>
  <c r="F33" i="5"/>
  <c r="E32" i="5"/>
  <c r="D32" i="5"/>
  <c r="C32" i="5"/>
  <c r="H28" i="5"/>
  <c r="E22" i="5"/>
  <c r="E23" i="5" s="1"/>
  <c r="E19" i="5"/>
  <c r="E12" i="5"/>
  <c r="E11" i="5"/>
  <c r="D24" i="2"/>
  <c r="D23" i="2"/>
  <c r="D22" i="2"/>
  <c r="D21" i="2"/>
  <c r="D20" i="2"/>
  <c r="D19" i="2"/>
  <c r="D18" i="2"/>
  <c r="D17" i="2"/>
  <c r="D16" i="2"/>
  <c r="D15" i="2"/>
  <c r="D14" i="2"/>
  <c r="C8" i="2"/>
  <c r="B8" i="2"/>
  <c r="C4" i="2"/>
  <c r="B4" i="2"/>
  <c r="M14" i="4"/>
  <c r="I4" i="12" l="1"/>
  <c r="I13" i="12"/>
  <c r="F13" i="2"/>
  <c r="L3" i="4"/>
  <c r="L10" i="4" s="1"/>
  <c r="L23" i="4" s="1"/>
  <c r="L26" i="4" s="1"/>
  <c r="Q13" i="12"/>
  <c r="I9" i="12"/>
  <c r="Q9" i="12"/>
  <c r="M23" i="3"/>
  <c r="F32" i="5"/>
  <c r="G31" i="5" s="1"/>
  <c r="H32" i="5" s="1"/>
  <c r="E7" i="5" s="1"/>
  <c r="E8" i="5" s="1"/>
  <c r="E24" i="5"/>
  <c r="E25" i="5" s="1"/>
  <c r="O5" i="5" s="1"/>
  <c r="O6" i="5" s="1"/>
  <c r="O11" i="5" s="1"/>
  <c r="O16" i="5" s="1"/>
  <c r="E13" i="5"/>
  <c r="E14" i="5" s="1"/>
  <c r="R5" i="3"/>
  <c r="L14" i="3"/>
  <c r="L16" i="3"/>
  <c r="M14" i="3"/>
  <c r="M16" i="3"/>
  <c r="N14" i="3"/>
  <c r="N15" i="3"/>
  <c r="O14" i="3"/>
  <c r="O15" i="3"/>
  <c r="O16" i="4"/>
  <c r="M16" i="4"/>
  <c r="F11" i="11"/>
  <c r="O9" i="3"/>
  <c r="O10" i="3" s="1"/>
  <c r="O11" i="3" s="1"/>
  <c r="T5" i="3"/>
  <c r="S5" i="3"/>
  <c r="N9" i="3"/>
  <c r="N10" i="3" s="1"/>
  <c r="N11" i="3" s="1"/>
  <c r="M16" i="2"/>
  <c r="M20" i="2"/>
  <c r="M24" i="2"/>
  <c r="M13" i="2"/>
  <c r="M17" i="2"/>
  <c r="M21" i="2"/>
  <c r="G13" i="2"/>
  <c r="M19" i="2"/>
  <c r="M14" i="2"/>
  <c r="M18" i="2"/>
  <c r="M22" i="2"/>
  <c r="M15" i="2"/>
  <c r="M23" i="2"/>
  <c r="G20" i="2"/>
  <c r="G24" i="2"/>
  <c r="N15" i="2"/>
  <c r="N19" i="2"/>
  <c r="N23" i="2"/>
  <c r="N20" i="2"/>
  <c r="N24" i="2"/>
  <c r="N14" i="2"/>
  <c r="N18" i="2"/>
  <c r="N16" i="2"/>
  <c r="N22" i="2"/>
  <c r="N17" i="2"/>
  <c r="N21" i="2"/>
  <c r="N13" i="2"/>
  <c r="H14" i="2"/>
  <c r="H18" i="2"/>
  <c r="H22" i="2"/>
  <c r="H20" i="2"/>
  <c r="H13" i="2"/>
  <c r="H17" i="2"/>
  <c r="H15" i="2"/>
  <c r="H19" i="2"/>
  <c r="H23" i="2"/>
  <c r="H16" i="2"/>
  <c r="H24" i="2"/>
  <c r="H21" i="2"/>
  <c r="E14" i="2"/>
  <c r="G15" i="2"/>
  <c r="E18" i="2"/>
  <c r="G19" i="2"/>
  <c r="G23" i="2"/>
  <c r="K14" i="2"/>
  <c r="K18" i="2"/>
  <c r="K15" i="2"/>
  <c r="K23" i="2"/>
  <c r="K21" i="2"/>
  <c r="K16" i="2"/>
  <c r="K20" i="2"/>
  <c r="K24" i="2"/>
  <c r="G14" i="2"/>
  <c r="E17" i="2"/>
  <c r="G18" i="2"/>
  <c r="G22" i="2"/>
  <c r="G16" i="2"/>
  <c r="L21" i="2"/>
  <c r="L14" i="2"/>
  <c r="L16" i="2"/>
  <c r="L24" i="2"/>
  <c r="L23" i="2"/>
  <c r="L13" i="2"/>
  <c r="F19" i="2"/>
  <c r="F23" i="2"/>
  <c r="F22" i="2"/>
  <c r="F16" i="2"/>
  <c r="F21" i="2"/>
  <c r="F18" i="2"/>
  <c r="E16" i="2"/>
  <c r="G17" i="2"/>
  <c r="E20" i="2"/>
  <c r="G21" i="2"/>
  <c r="E24" i="2"/>
  <c r="M9" i="3"/>
  <c r="M10" i="3" s="1"/>
  <c r="M11" i="3" s="1"/>
  <c r="E16" i="3" s="1"/>
  <c r="D11" i="3"/>
  <c r="D10" i="3"/>
  <c r="D9" i="3"/>
  <c r="D8" i="3"/>
  <c r="D7" i="3"/>
  <c r="D6" i="3"/>
  <c r="D5" i="3"/>
  <c r="D16" i="3"/>
  <c r="D15" i="3"/>
  <c r="D14" i="3"/>
  <c r="D13" i="3"/>
  <c r="D12" i="3"/>
  <c r="K17" i="7"/>
  <c r="E7" i="6" s="1"/>
  <c r="L14" i="4"/>
  <c r="E9" i="12" l="1"/>
  <c r="M13" i="12"/>
  <c r="M9" i="12"/>
  <c r="E13" i="12"/>
  <c r="L5" i="5"/>
  <c r="L6" i="5" s="1"/>
  <c r="L11" i="5" s="1"/>
  <c r="L16" i="5" s="1"/>
  <c r="M5" i="5"/>
  <c r="M6" i="5" s="1"/>
  <c r="M11" i="5" s="1"/>
  <c r="M16" i="5" s="1"/>
  <c r="O22" i="5"/>
  <c r="H10" i="6" s="1"/>
  <c r="P5" i="5"/>
  <c r="P6" i="5" s="1"/>
  <c r="P11" i="5" s="1"/>
  <c r="P16" i="5" s="1"/>
  <c r="F24" i="2"/>
  <c r="F14" i="2"/>
  <c r="F15" i="2"/>
  <c r="L19" i="2"/>
  <c r="L22" i="2"/>
  <c r="L17" i="2"/>
  <c r="K13" i="2"/>
  <c r="E23" i="2"/>
  <c r="E19" i="2"/>
  <c r="E15" i="2"/>
  <c r="F20" i="2"/>
  <c r="F17" i="2"/>
  <c r="L20" i="2"/>
  <c r="L15" i="2"/>
  <c r="L18" i="2"/>
  <c r="E21" i="2"/>
  <c r="K17" i="2"/>
  <c r="K19" i="2"/>
  <c r="K22" i="2"/>
  <c r="E22" i="2"/>
  <c r="C21" i="38"/>
  <c r="C23" i="38" s="1"/>
  <c r="C21" i="31"/>
  <c r="C23" i="31" s="1"/>
  <c r="C21" i="36"/>
  <c r="C23" i="36" s="1"/>
  <c r="C21" i="33"/>
  <c r="C23" i="33" s="1"/>
  <c r="C21" i="39"/>
  <c r="C23" i="39" s="1"/>
  <c r="C21" i="25"/>
  <c r="C23" i="25" s="1"/>
  <c r="C21" i="37"/>
  <c r="C23" i="37" s="1"/>
  <c r="C21" i="34"/>
  <c r="C23" i="34" s="1"/>
  <c r="C21" i="32"/>
  <c r="C23" i="32" s="1"/>
  <c r="C21" i="35"/>
  <c r="C23" i="35" s="1"/>
  <c r="C21" i="24"/>
  <c r="C23" i="24" s="1"/>
  <c r="L16" i="4"/>
  <c r="E15" i="3"/>
  <c r="E8" i="3"/>
  <c r="E6" i="3"/>
  <c r="E14" i="3"/>
  <c r="E9" i="3"/>
  <c r="E12" i="3"/>
  <c r="G15" i="3"/>
  <c r="G13" i="3"/>
  <c r="G9" i="3"/>
  <c r="G8" i="3"/>
  <c r="G14" i="3"/>
  <c r="G12" i="3"/>
  <c r="G10" i="3"/>
  <c r="G7" i="3"/>
  <c r="G6" i="3"/>
  <c r="G16" i="3"/>
  <c r="G11" i="3"/>
  <c r="G5" i="3"/>
  <c r="F12" i="3"/>
  <c r="F11" i="3"/>
  <c r="F10" i="3"/>
  <c r="F7" i="3"/>
  <c r="F5" i="3"/>
  <c r="F16" i="3"/>
  <c r="F14" i="3"/>
  <c r="F9" i="3"/>
  <c r="F13" i="3"/>
  <c r="F8" i="3"/>
  <c r="F6" i="3"/>
  <c r="F15" i="3"/>
  <c r="E7" i="3"/>
  <c r="E11" i="3"/>
  <c r="E10" i="3"/>
  <c r="G25" i="2"/>
  <c r="M8" i="6" s="1"/>
  <c r="H25" i="2"/>
  <c r="N25" i="2"/>
  <c r="M25" i="2"/>
  <c r="H7" i="6"/>
  <c r="G7" i="6"/>
  <c r="I7" i="6"/>
  <c r="D7" i="6"/>
  <c r="C7" i="6"/>
  <c r="E5" i="3"/>
  <c r="E13" i="3"/>
  <c r="D17" i="3"/>
  <c r="M19" i="4"/>
  <c r="J7" i="6"/>
  <c r="F7" i="6"/>
  <c r="L17" i="7"/>
  <c r="M23" i="4"/>
  <c r="M26" i="4" s="1"/>
  <c r="G7" i="24" l="1"/>
  <c r="L7" i="24"/>
  <c r="L7" i="25"/>
  <c r="G7" i="25"/>
  <c r="G7" i="31"/>
  <c r="L7" i="31"/>
  <c r="L7" i="32"/>
  <c r="G7" i="32"/>
  <c r="J10" i="6"/>
  <c r="O28" i="5"/>
  <c r="D10" i="6"/>
  <c r="F10" i="6" s="1"/>
  <c r="M22" i="5"/>
  <c r="P22" i="5"/>
  <c r="L22" i="5"/>
  <c r="K25" i="2"/>
  <c r="E25" i="2"/>
  <c r="C8" i="6" s="1"/>
  <c r="F25" i="2"/>
  <c r="I8" i="6" s="1"/>
  <c r="L25" i="2"/>
  <c r="L19" i="4"/>
  <c r="L20" i="4" s="1"/>
  <c r="C20" i="33"/>
  <c r="C22" i="33" s="1"/>
  <c r="C20" i="31"/>
  <c r="C22" i="31" s="1"/>
  <c r="C20" i="28"/>
  <c r="C22" i="28" s="1"/>
  <c r="C20" i="24"/>
  <c r="C22" i="24" s="1"/>
  <c r="C20" i="32"/>
  <c r="C22" i="32" s="1"/>
  <c r="C20" i="34"/>
  <c r="C22" i="34" s="1"/>
  <c r="C20" i="25"/>
  <c r="C22" i="25" s="1"/>
  <c r="C20" i="29"/>
  <c r="C22" i="29" s="1"/>
  <c r="C20" i="26"/>
  <c r="C22" i="26" s="1"/>
  <c r="C20" i="35"/>
  <c r="C22" i="35" s="1"/>
  <c r="C20" i="27"/>
  <c r="C22" i="27" s="1"/>
  <c r="N19" i="4"/>
  <c r="N20" i="4" s="1"/>
  <c r="C21" i="26"/>
  <c r="C23" i="26" s="1"/>
  <c r="C21" i="29"/>
  <c r="C23" i="29" s="1"/>
  <c r="C21" i="27"/>
  <c r="C23" i="27" s="1"/>
  <c r="C21" i="28"/>
  <c r="C23" i="28" s="1"/>
  <c r="O19" i="4"/>
  <c r="O20" i="4" s="1"/>
  <c r="N8" i="6"/>
  <c r="E17" i="3"/>
  <c r="G17" i="3"/>
  <c r="F17" i="3"/>
  <c r="L8" i="6"/>
  <c r="O8" i="6"/>
  <c r="R8" i="6"/>
  <c r="Q8" i="6"/>
  <c r="S8" i="6"/>
  <c r="P8" i="6"/>
  <c r="M9" i="6"/>
  <c r="H9" i="6"/>
  <c r="G9" i="6"/>
  <c r="D9" i="6"/>
  <c r="C9" i="6"/>
  <c r="M20" i="4"/>
  <c r="E4" i="4" s="1"/>
  <c r="R7" i="6"/>
  <c r="N7" i="6"/>
  <c r="Q7" i="6"/>
  <c r="M7" i="6"/>
  <c r="P7" i="6"/>
  <c r="S7" i="6"/>
  <c r="O7" i="6"/>
  <c r="L7" i="6"/>
  <c r="L7" i="33" l="1"/>
  <c r="G7" i="33"/>
  <c r="L7" i="27"/>
  <c r="G7" i="27"/>
  <c r="G7" i="26"/>
  <c r="L7" i="26"/>
  <c r="G7" i="28"/>
  <c r="L7" i="28"/>
  <c r="L7" i="29"/>
  <c r="G7" i="29"/>
  <c r="L7" i="35"/>
  <c r="G7" i="35"/>
  <c r="G7" i="34"/>
  <c r="L7" i="34"/>
  <c r="L13" i="6"/>
  <c r="N13" i="6"/>
  <c r="M13" i="6"/>
  <c r="O13" i="6"/>
  <c r="E8" i="6"/>
  <c r="F8" i="6"/>
  <c r="D8" i="6"/>
  <c r="S10" i="6"/>
  <c r="P28" i="5"/>
  <c r="Q10" i="6"/>
  <c r="M10" i="6"/>
  <c r="O10" i="6"/>
  <c r="I10" i="6"/>
  <c r="C10" i="6"/>
  <c r="E10" i="6" s="1"/>
  <c r="G10" i="6"/>
  <c r="L28" i="5"/>
  <c r="R10" i="6"/>
  <c r="P10" i="6"/>
  <c r="M28" i="5"/>
  <c r="N10" i="6"/>
  <c r="L10" i="6"/>
  <c r="J8" i="6"/>
  <c r="G8" i="6"/>
  <c r="H8" i="6"/>
  <c r="L28" i="4"/>
  <c r="D4" i="4"/>
  <c r="G13" i="4"/>
  <c r="G4" i="4"/>
  <c r="M28" i="4"/>
  <c r="G9" i="4"/>
  <c r="G12" i="4"/>
  <c r="G15" i="4"/>
  <c r="G11" i="4"/>
  <c r="G10" i="4"/>
  <c r="G6" i="4"/>
  <c r="G5" i="4"/>
  <c r="G7" i="4"/>
  <c r="G14" i="4"/>
  <c r="G8" i="4"/>
  <c r="F10" i="4"/>
  <c r="F4" i="4"/>
  <c r="F13" i="4"/>
  <c r="F8" i="4"/>
  <c r="F12" i="4"/>
  <c r="F6" i="4"/>
  <c r="F5" i="4"/>
  <c r="F11" i="4"/>
  <c r="F7" i="4"/>
  <c r="F15" i="4"/>
  <c r="F9" i="4"/>
  <c r="F14" i="4"/>
  <c r="C20" i="39"/>
  <c r="C22" i="39" s="1"/>
  <c r="C20" i="38"/>
  <c r="C22" i="38" s="1"/>
  <c r="C20" i="37"/>
  <c r="C22" i="37" s="1"/>
  <c r="C20" i="36"/>
  <c r="C22" i="36" s="1"/>
  <c r="D7" i="4"/>
  <c r="D11" i="4"/>
  <c r="D5" i="4"/>
  <c r="D14" i="4"/>
  <c r="D13" i="4"/>
  <c r="D9" i="4"/>
  <c r="D6" i="4"/>
  <c r="D15" i="4"/>
  <c r="D10" i="4"/>
  <c r="D12" i="4"/>
  <c r="D8" i="4"/>
  <c r="L9" i="6"/>
  <c r="Q9" i="6"/>
  <c r="P9" i="6"/>
  <c r="R9" i="6"/>
  <c r="O9" i="6"/>
  <c r="N9" i="6"/>
  <c r="S9" i="6"/>
  <c r="J9" i="6"/>
  <c r="I9" i="6"/>
  <c r="F9" i="6"/>
  <c r="E9" i="6"/>
  <c r="E9" i="4"/>
  <c r="E15" i="4"/>
  <c r="E13" i="4"/>
  <c r="E12" i="4"/>
  <c r="E5" i="4"/>
  <c r="E6" i="4"/>
  <c r="E8" i="4"/>
  <c r="E7" i="4"/>
  <c r="E10" i="4"/>
  <c r="E11" i="4"/>
  <c r="E14" i="4"/>
  <c r="G7" i="38" l="1"/>
  <c r="L7" i="38"/>
  <c r="L7" i="39"/>
  <c r="G7" i="39"/>
  <c r="G7" i="36"/>
  <c r="L7" i="36"/>
  <c r="L7" i="37"/>
  <c r="G7" i="37"/>
  <c r="O15" i="6"/>
  <c r="N15" i="6"/>
  <c r="M15" i="6"/>
  <c r="L15" i="6"/>
  <c r="E23" i="6"/>
  <c r="C23" i="6"/>
  <c r="D23" i="6"/>
  <c r="F23" i="6"/>
  <c r="G17" i="6"/>
  <c r="J17" i="6"/>
  <c r="I17" i="6"/>
  <c r="H17" i="6"/>
  <c r="S15" i="6"/>
  <c r="Q15" i="6"/>
  <c r="P15" i="6"/>
  <c r="R15" i="6"/>
  <c r="S21" i="6"/>
  <c r="Q21" i="6"/>
  <c r="P21" i="6"/>
  <c r="R21" i="6"/>
  <c r="R22" i="6"/>
  <c r="S22" i="6"/>
  <c r="P22" i="6"/>
  <c r="Q22" i="6"/>
  <c r="O19" i="6"/>
  <c r="N19" i="6"/>
  <c r="M19" i="6"/>
  <c r="L19" i="6"/>
  <c r="M14" i="6"/>
  <c r="L14" i="6"/>
  <c r="O14" i="6"/>
  <c r="N14" i="6"/>
  <c r="M18" i="6"/>
  <c r="L18" i="6"/>
  <c r="O18" i="6"/>
  <c r="N18" i="6"/>
  <c r="D17" i="6"/>
  <c r="C17" i="6"/>
  <c r="F17" i="6"/>
  <c r="E17" i="6"/>
  <c r="E15" i="6"/>
  <c r="C15" i="6"/>
  <c r="D15" i="6"/>
  <c r="F15" i="6"/>
  <c r="D14" i="6"/>
  <c r="C14" i="6"/>
  <c r="F14" i="6"/>
  <c r="E14" i="6"/>
  <c r="H18" i="6"/>
  <c r="J18" i="6"/>
  <c r="G18" i="6"/>
  <c r="I18" i="6"/>
  <c r="H14" i="6"/>
  <c r="G14" i="6"/>
  <c r="J14" i="6"/>
  <c r="I14" i="6"/>
  <c r="H22" i="6"/>
  <c r="I22" i="6"/>
  <c r="G22" i="6"/>
  <c r="J22" i="6"/>
  <c r="S23" i="6"/>
  <c r="Q23" i="6"/>
  <c r="P23" i="6"/>
  <c r="R23" i="6"/>
  <c r="S19" i="6"/>
  <c r="Q19" i="6"/>
  <c r="P19" i="6"/>
  <c r="R19" i="6"/>
  <c r="R18" i="6"/>
  <c r="Q18" i="6"/>
  <c r="S18" i="6"/>
  <c r="P18" i="6"/>
  <c r="D13" i="6"/>
  <c r="C13" i="6"/>
  <c r="F13" i="6"/>
  <c r="E13" i="6"/>
  <c r="O20" i="6"/>
  <c r="N20" i="6"/>
  <c r="M20" i="6"/>
  <c r="L20" i="6"/>
  <c r="J20" i="6"/>
  <c r="H20" i="6"/>
  <c r="I20" i="6"/>
  <c r="G20" i="6"/>
  <c r="J24" i="6"/>
  <c r="G24" i="6"/>
  <c r="I24" i="6"/>
  <c r="H24" i="6"/>
  <c r="S16" i="6"/>
  <c r="Q16" i="6"/>
  <c r="P16" i="6"/>
  <c r="R16" i="6"/>
  <c r="S20" i="6"/>
  <c r="Q20" i="6"/>
  <c r="P20" i="6"/>
  <c r="R20" i="6"/>
  <c r="L24" i="6"/>
  <c r="O24" i="6"/>
  <c r="N24" i="6"/>
  <c r="M24" i="6"/>
  <c r="F24" i="6"/>
  <c r="D24" i="6"/>
  <c r="E24" i="6"/>
  <c r="C24" i="6"/>
  <c r="I23" i="6"/>
  <c r="G23" i="6"/>
  <c r="H23" i="6"/>
  <c r="J23" i="6"/>
  <c r="R17" i="6"/>
  <c r="S17" i="6"/>
  <c r="Q17" i="6"/>
  <c r="P17" i="6"/>
  <c r="O16" i="6"/>
  <c r="N16" i="6"/>
  <c r="M16" i="6"/>
  <c r="L16" i="6"/>
  <c r="L21" i="6"/>
  <c r="O21" i="6"/>
  <c r="N21" i="6"/>
  <c r="M21" i="6"/>
  <c r="D21" i="6"/>
  <c r="C21" i="6"/>
  <c r="E21" i="6"/>
  <c r="F21" i="6"/>
  <c r="F18" i="6"/>
  <c r="E18" i="6"/>
  <c r="D18" i="6"/>
  <c r="C18" i="6"/>
  <c r="F20" i="6"/>
  <c r="E20" i="6"/>
  <c r="C20" i="6"/>
  <c r="D20" i="6"/>
  <c r="I15" i="6"/>
  <c r="H15" i="6"/>
  <c r="G15" i="6"/>
  <c r="J15" i="6"/>
  <c r="G13" i="6"/>
  <c r="I13" i="6"/>
  <c r="J13" i="6"/>
  <c r="H13" i="6"/>
  <c r="O23" i="6"/>
  <c r="N23" i="6"/>
  <c r="L23" i="6"/>
  <c r="M23" i="6"/>
  <c r="L17" i="6"/>
  <c r="O17" i="6"/>
  <c r="N17" i="6"/>
  <c r="M17" i="6"/>
  <c r="M22" i="6"/>
  <c r="O22" i="6"/>
  <c r="L22" i="6"/>
  <c r="N22" i="6"/>
  <c r="E19" i="6"/>
  <c r="D19" i="6"/>
  <c r="C19" i="6"/>
  <c r="F19" i="6"/>
  <c r="D22" i="6"/>
  <c r="C22" i="6"/>
  <c r="F22" i="6"/>
  <c r="E22" i="6"/>
  <c r="F16" i="6"/>
  <c r="E16" i="6"/>
  <c r="D16" i="6"/>
  <c r="C16" i="6"/>
  <c r="J16" i="6"/>
  <c r="I16" i="6"/>
  <c r="H16" i="6"/>
  <c r="G16" i="6"/>
  <c r="G21" i="6"/>
  <c r="I21" i="6"/>
  <c r="J21" i="6"/>
  <c r="H21" i="6"/>
  <c r="I19" i="6"/>
  <c r="G19" i="6"/>
  <c r="H19" i="6"/>
  <c r="J19" i="6"/>
  <c r="R14" i="6"/>
  <c r="S14" i="6"/>
  <c r="Q14" i="6"/>
  <c r="P14" i="6"/>
  <c r="R24" i="6"/>
  <c r="S24" i="6"/>
  <c r="Q24" i="6"/>
  <c r="P24" i="6"/>
  <c r="Q13" i="6"/>
  <c r="S13" i="6"/>
  <c r="R13" i="6"/>
  <c r="P13" i="6"/>
  <c r="G16" i="4"/>
  <c r="P6" i="6" s="1"/>
  <c r="P30" i="6" s="1"/>
  <c r="F16" i="4"/>
  <c r="J6" i="6" s="1"/>
  <c r="J30" i="6" s="1"/>
  <c r="D16" i="4"/>
  <c r="E16" i="4"/>
  <c r="C5" i="31" s="1"/>
  <c r="C26" i="38" l="1"/>
  <c r="H6" i="6"/>
  <c r="H30" i="6" s="1"/>
  <c r="R6" i="6"/>
  <c r="R30" i="6" s="1"/>
  <c r="S25" i="6"/>
  <c r="Q6" i="6"/>
  <c r="Q30" i="6" s="1"/>
  <c r="S6" i="6"/>
  <c r="S30" i="6" s="1"/>
  <c r="P25" i="6"/>
  <c r="G6" i="6"/>
  <c r="G30" i="6" s="1"/>
  <c r="Q25" i="6"/>
  <c r="R25" i="6"/>
  <c r="I6" i="6"/>
  <c r="I30" i="6" s="1"/>
  <c r="J25" i="6"/>
  <c r="G25" i="6"/>
  <c r="H25" i="6"/>
  <c r="I25" i="6"/>
  <c r="F25" i="6"/>
  <c r="D6" i="6"/>
  <c r="D30" i="6" s="1"/>
  <c r="E6" i="6"/>
  <c r="E30" i="6" s="1"/>
  <c r="C6" i="6"/>
  <c r="C30" i="6" s="1"/>
  <c r="F6" i="6"/>
  <c r="F30" i="6" s="1"/>
  <c r="D25" i="6"/>
  <c r="E25" i="6"/>
  <c r="C26" i="35"/>
  <c r="C26" i="39"/>
  <c r="C26" i="37"/>
  <c r="C26" i="34"/>
  <c r="C26" i="36"/>
  <c r="J11" i="6"/>
  <c r="J27" i="6" s="1"/>
  <c r="C25" i="6"/>
  <c r="P11" i="6"/>
  <c r="P27" i="6" s="1"/>
  <c r="N25" i="6"/>
  <c r="L6" i="6"/>
  <c r="L30" i="6" s="1"/>
  <c r="O6" i="6"/>
  <c r="O30" i="6" s="1"/>
  <c r="N6" i="6"/>
  <c r="N30" i="6" s="1"/>
  <c r="O25" i="6"/>
  <c r="M6" i="6"/>
  <c r="M30" i="6" s="1"/>
  <c r="L25" i="6"/>
  <c r="M25" i="6"/>
  <c r="C5" i="30" l="1"/>
  <c r="H8" i="30" s="1"/>
  <c r="I11" i="6"/>
  <c r="I27" i="6" s="1"/>
  <c r="I28" i="6" s="1"/>
  <c r="I29" i="6" s="1"/>
  <c r="C48" i="38" s="1"/>
  <c r="C50" i="38" s="1"/>
  <c r="C53" i="38" s="1"/>
  <c r="S11" i="6"/>
  <c r="S27" i="6" s="1"/>
  <c r="S28" i="6" s="1"/>
  <c r="S29" i="6" s="1"/>
  <c r="C48" i="29" s="1"/>
  <c r="R11" i="6"/>
  <c r="R27" i="6" s="1"/>
  <c r="AD88" i="39" s="1"/>
  <c r="AD89" i="39" s="1"/>
  <c r="Q11" i="6"/>
  <c r="Q27" i="6" s="1"/>
  <c r="AC88" i="36" s="1"/>
  <c r="AC89" i="36" s="1"/>
  <c r="G11" i="6"/>
  <c r="G27" i="6" s="1"/>
  <c r="S88" i="34" s="1"/>
  <c r="S89" i="34" s="1"/>
  <c r="M11" i="31"/>
  <c r="M15" i="31"/>
  <c r="M19" i="31"/>
  <c r="M23" i="31"/>
  <c r="M27" i="31"/>
  <c r="M12" i="31"/>
  <c r="M16" i="31"/>
  <c r="M20" i="31"/>
  <c r="M24" i="31"/>
  <c r="M8" i="31"/>
  <c r="M10" i="31"/>
  <c r="M18" i="31"/>
  <c r="M26" i="31"/>
  <c r="M9" i="31"/>
  <c r="M25" i="31"/>
  <c r="M13" i="31"/>
  <c r="M21" i="31"/>
  <c r="H8" i="31"/>
  <c r="M14" i="31"/>
  <c r="M22" i="31"/>
  <c r="M17" i="31"/>
  <c r="H10" i="31"/>
  <c r="H14" i="31"/>
  <c r="H18" i="31"/>
  <c r="H22" i="31"/>
  <c r="H26" i="31"/>
  <c r="H11" i="31"/>
  <c r="H15" i="31"/>
  <c r="H19" i="31"/>
  <c r="H23" i="31"/>
  <c r="H27" i="31"/>
  <c r="H12" i="31"/>
  <c r="H16" i="31"/>
  <c r="H20" i="31"/>
  <c r="H24" i="31"/>
  <c r="H9" i="31"/>
  <c r="H13" i="31"/>
  <c r="H17" i="31"/>
  <c r="H21" i="31"/>
  <c r="H25" i="31"/>
  <c r="H11" i="6"/>
  <c r="H27" i="6" s="1"/>
  <c r="T88" i="34" s="1"/>
  <c r="T89" i="34" s="1"/>
  <c r="C5" i="27"/>
  <c r="C5" i="29"/>
  <c r="C5" i="26"/>
  <c r="C11" i="6"/>
  <c r="C27" i="6" s="1"/>
  <c r="C28" i="6" s="1"/>
  <c r="C29" i="6" s="1"/>
  <c r="D11" i="6"/>
  <c r="D27" i="6" s="1"/>
  <c r="F11" i="6"/>
  <c r="F27" i="6" s="1"/>
  <c r="R88" i="36" s="1"/>
  <c r="R89" i="36" s="1"/>
  <c r="M11" i="6"/>
  <c r="M27" i="6" s="1"/>
  <c r="Y88" i="37" s="1"/>
  <c r="Y89" i="37" s="1"/>
  <c r="N11" i="6"/>
  <c r="N27" i="6" s="1"/>
  <c r="O11" i="6"/>
  <c r="O27" i="6" s="1"/>
  <c r="V88" i="39"/>
  <c r="E11" i="6"/>
  <c r="E27" i="6" s="1"/>
  <c r="V88" i="33"/>
  <c r="V89" i="33" s="1"/>
  <c r="J28" i="6"/>
  <c r="J29" i="6" s="1"/>
  <c r="C48" i="39" s="1"/>
  <c r="C50" i="39" s="1"/>
  <c r="V88" i="24"/>
  <c r="V89" i="24" s="1"/>
  <c r="V88" i="31"/>
  <c r="V89" i="31" s="1"/>
  <c r="V88" i="29"/>
  <c r="V89" i="29" s="1"/>
  <c r="V88" i="36"/>
  <c r="V89" i="36" s="1"/>
  <c r="V88" i="32"/>
  <c r="V89" i="32" s="1"/>
  <c r="V88" i="37"/>
  <c r="V89" i="37" s="1"/>
  <c r="V88" i="27"/>
  <c r="V89" i="27" s="1"/>
  <c r="V88" i="30"/>
  <c r="V89" i="30" s="1"/>
  <c r="V88" i="35"/>
  <c r="V89" i="35" s="1"/>
  <c r="V88" i="38"/>
  <c r="V89" i="38" s="1"/>
  <c r="V88" i="25"/>
  <c r="V89" i="25" s="1"/>
  <c r="V88" i="28"/>
  <c r="V89" i="28" s="1"/>
  <c r="V88" i="26"/>
  <c r="V89" i="26" s="1"/>
  <c r="V88" i="34"/>
  <c r="V89" i="34" s="1"/>
  <c r="AB88" i="39"/>
  <c r="AB89" i="39" s="1"/>
  <c r="AB88" i="38"/>
  <c r="AB89" i="38" s="1"/>
  <c r="AB88" i="34"/>
  <c r="AB89" i="34" s="1"/>
  <c r="AB88" i="37"/>
  <c r="AB89" i="37" s="1"/>
  <c r="AB88" i="36"/>
  <c r="AB89" i="36" s="1"/>
  <c r="AB88" i="35"/>
  <c r="AB89" i="35" s="1"/>
  <c r="AB88" i="33"/>
  <c r="AB89" i="33" s="1"/>
  <c r="AB88" i="32"/>
  <c r="AB89" i="32" s="1"/>
  <c r="AB88" i="29"/>
  <c r="AB89" i="29" s="1"/>
  <c r="AB88" i="28"/>
  <c r="AB89" i="28" s="1"/>
  <c r="AB88" i="27"/>
  <c r="AB89" i="27" s="1"/>
  <c r="AB88" i="25"/>
  <c r="AB89" i="25" s="1"/>
  <c r="AB88" i="24"/>
  <c r="AB89" i="24" s="1"/>
  <c r="AB88" i="30"/>
  <c r="AB89" i="30" s="1"/>
  <c r="AB88" i="31"/>
  <c r="AB89" i="31" s="1"/>
  <c r="AB88" i="26"/>
  <c r="C26" i="31"/>
  <c r="P28" i="6"/>
  <c r="P29" i="6" s="1"/>
  <c r="C48" i="26" s="1"/>
  <c r="L11" i="6"/>
  <c r="AD88" i="26" l="1"/>
  <c r="AD89" i="26" s="1"/>
  <c r="S88" i="28"/>
  <c r="S89" i="28" s="1"/>
  <c r="G25" i="31"/>
  <c r="G8" i="31"/>
  <c r="G20" i="31"/>
  <c r="L18" i="31"/>
  <c r="G22" i="31"/>
  <c r="L9" i="31"/>
  <c r="G18" i="31"/>
  <c r="L20" i="31"/>
  <c r="L22" i="31"/>
  <c r="G13" i="31"/>
  <c r="L26" i="31"/>
  <c r="L17" i="31"/>
  <c r="G19" i="31"/>
  <c r="G26" i="31"/>
  <c r="L14" i="31"/>
  <c r="L12" i="31"/>
  <c r="L24" i="31"/>
  <c r="G27" i="31"/>
  <c r="G9" i="31"/>
  <c r="L21" i="31"/>
  <c r="L16" i="31"/>
  <c r="G23" i="31"/>
  <c r="L8" i="31"/>
  <c r="G10" i="31"/>
  <c r="L13" i="31"/>
  <c r="L19" i="31"/>
  <c r="G12" i="31"/>
  <c r="G14" i="31"/>
  <c r="L27" i="31"/>
  <c r="G15" i="31"/>
  <c r="G11" i="31"/>
  <c r="L10" i="31"/>
  <c r="L23" i="31"/>
  <c r="L25" i="31"/>
  <c r="L15" i="31"/>
  <c r="G24" i="31"/>
  <c r="L11" i="31"/>
  <c r="G21" i="31"/>
  <c r="G17" i="31"/>
  <c r="G16" i="31"/>
  <c r="AE88" i="25"/>
  <c r="AE89" i="25" s="1"/>
  <c r="AE88" i="34"/>
  <c r="AE89" i="34" s="1"/>
  <c r="AE88" i="24"/>
  <c r="AE89" i="24" s="1"/>
  <c r="AE88" i="35"/>
  <c r="AE89" i="35" s="1"/>
  <c r="AE88" i="32"/>
  <c r="AE89" i="32" s="1"/>
  <c r="S88" i="38"/>
  <c r="S89" i="38" s="1"/>
  <c r="U88" i="29"/>
  <c r="U89" i="29" s="1"/>
  <c r="U88" i="26"/>
  <c r="U89" i="26" s="1"/>
  <c r="U88" i="33"/>
  <c r="U89" i="33" s="1"/>
  <c r="AD88" i="38"/>
  <c r="AD89" i="38" s="1"/>
  <c r="U88" i="31"/>
  <c r="U89" i="31" s="1"/>
  <c r="AD88" i="36"/>
  <c r="AD89" i="36" s="1"/>
  <c r="S88" i="30"/>
  <c r="S89" i="30" s="1"/>
  <c r="S88" i="35"/>
  <c r="S89" i="35" s="1"/>
  <c r="AD88" i="29"/>
  <c r="AD89" i="29" s="1"/>
  <c r="AD88" i="28"/>
  <c r="AD89" i="28" s="1"/>
  <c r="S88" i="29"/>
  <c r="S89" i="29" s="1"/>
  <c r="S88" i="39"/>
  <c r="S89" i="39" s="1"/>
  <c r="AD88" i="33"/>
  <c r="AD89" i="33" s="1"/>
  <c r="AD88" i="34"/>
  <c r="AD89" i="34" s="1"/>
  <c r="S88" i="24"/>
  <c r="S89" i="24" s="1"/>
  <c r="S88" i="36"/>
  <c r="S89" i="36" s="1"/>
  <c r="AD88" i="35"/>
  <c r="AD89" i="35" s="1"/>
  <c r="AD88" i="30"/>
  <c r="AD89" i="30" s="1"/>
  <c r="AD88" i="25"/>
  <c r="AD89" i="25" s="1"/>
  <c r="C25" i="30"/>
  <c r="G17" i="30" s="1"/>
  <c r="U88" i="28"/>
  <c r="U89" i="28" s="1"/>
  <c r="AE88" i="26"/>
  <c r="AE89" i="26" s="1"/>
  <c r="AE88" i="36"/>
  <c r="AE89" i="36" s="1"/>
  <c r="U88" i="39"/>
  <c r="U89" i="39" s="1"/>
  <c r="U88" i="38"/>
  <c r="L89" i="38" s="1"/>
  <c r="L90" i="38" s="1"/>
  <c r="Q96" i="38" s="1"/>
  <c r="Q100" i="38" s="1"/>
  <c r="M91" i="38" s="1"/>
  <c r="M92" i="38" s="1"/>
  <c r="U88" i="32"/>
  <c r="U89" i="32" s="1"/>
  <c r="U88" i="30"/>
  <c r="U89" i="30" s="1"/>
  <c r="U88" i="37"/>
  <c r="U89" i="37" s="1"/>
  <c r="AE88" i="28"/>
  <c r="AE89" i="28" s="1"/>
  <c r="AE88" i="27"/>
  <c r="AE89" i="27" s="1"/>
  <c r="AE88" i="29"/>
  <c r="L89" i="29" s="1"/>
  <c r="AE88" i="31"/>
  <c r="AE89" i="31" s="1"/>
  <c r="U88" i="24"/>
  <c r="U89" i="24" s="1"/>
  <c r="U88" i="36"/>
  <c r="U89" i="36" s="1"/>
  <c r="U88" i="34"/>
  <c r="U89" i="34" s="1"/>
  <c r="AE88" i="30"/>
  <c r="AE89" i="30" s="1"/>
  <c r="AE88" i="33"/>
  <c r="AE89" i="33" s="1"/>
  <c r="U88" i="27"/>
  <c r="U89" i="27" s="1"/>
  <c r="U88" i="35"/>
  <c r="U89" i="35" s="1"/>
  <c r="U88" i="25"/>
  <c r="U89" i="25" s="1"/>
  <c r="AE88" i="39"/>
  <c r="AE89" i="39" s="1"/>
  <c r="AE88" i="38"/>
  <c r="AE89" i="38" s="1"/>
  <c r="AE88" i="37"/>
  <c r="AE89" i="37" s="1"/>
  <c r="AC88" i="29"/>
  <c r="AC89" i="29" s="1"/>
  <c r="G28" i="6"/>
  <c r="G29" i="6" s="1"/>
  <c r="C48" i="36" s="1"/>
  <c r="C50" i="36" s="1"/>
  <c r="S88" i="26"/>
  <c r="S89" i="26" s="1"/>
  <c r="S88" i="25"/>
  <c r="S89" i="25" s="1"/>
  <c r="S88" i="32"/>
  <c r="S89" i="32" s="1"/>
  <c r="S88" i="37"/>
  <c r="S89" i="37" s="1"/>
  <c r="AD88" i="24"/>
  <c r="AD89" i="24" s="1"/>
  <c r="AD88" i="27"/>
  <c r="AD89" i="27" s="1"/>
  <c r="R28" i="6"/>
  <c r="R29" i="6" s="1"/>
  <c r="C48" i="28" s="1"/>
  <c r="C50" i="28" s="1"/>
  <c r="C53" i="28" s="1"/>
  <c r="S88" i="31"/>
  <c r="S89" i="31" s="1"/>
  <c r="S88" i="27"/>
  <c r="S89" i="27" s="1"/>
  <c r="S88" i="33"/>
  <c r="S89" i="33" s="1"/>
  <c r="AD88" i="37"/>
  <c r="AD89" i="37" s="1"/>
  <c r="AD88" i="32"/>
  <c r="AD89" i="32" s="1"/>
  <c r="AD88" i="31"/>
  <c r="AD89" i="31" s="1"/>
  <c r="AC88" i="28"/>
  <c r="AC89" i="28" s="1"/>
  <c r="AC88" i="38"/>
  <c r="AC89" i="38" s="1"/>
  <c r="AC88" i="25"/>
  <c r="AC89" i="25" s="1"/>
  <c r="AC88" i="30"/>
  <c r="AC89" i="30" s="1"/>
  <c r="AC88" i="31"/>
  <c r="AC89" i="31" s="1"/>
  <c r="AC88" i="35"/>
  <c r="AC89" i="35" s="1"/>
  <c r="AC88" i="34"/>
  <c r="AC89" i="34" s="1"/>
  <c r="AC88" i="37"/>
  <c r="AC89" i="37" s="1"/>
  <c r="AC88" i="26"/>
  <c r="AC89" i="26" s="1"/>
  <c r="AC88" i="27"/>
  <c r="L89" i="27" s="1"/>
  <c r="L90" i="27" s="1"/>
  <c r="Q96" i="27" s="1"/>
  <c r="Q100" i="27" s="1"/>
  <c r="M91" i="27" s="1"/>
  <c r="M92" i="27" s="1"/>
  <c r="H26" i="26"/>
  <c r="H24" i="26"/>
  <c r="H22" i="26"/>
  <c r="H20" i="26"/>
  <c r="H18" i="26"/>
  <c r="H16" i="26"/>
  <c r="H14" i="26"/>
  <c r="M27" i="26"/>
  <c r="M25" i="26"/>
  <c r="M23" i="26"/>
  <c r="M21" i="26"/>
  <c r="M19" i="26"/>
  <c r="M17" i="26"/>
  <c r="M15" i="26"/>
  <c r="M13" i="26"/>
  <c r="M11" i="26"/>
  <c r="M9" i="26"/>
  <c r="H27" i="26"/>
  <c r="H25" i="26"/>
  <c r="H23" i="26"/>
  <c r="H21" i="26"/>
  <c r="H19" i="26"/>
  <c r="H17" i="26"/>
  <c r="H15" i="26"/>
  <c r="H13" i="26"/>
  <c r="M20" i="26"/>
  <c r="M12" i="26"/>
  <c r="H10" i="26"/>
  <c r="M26" i="26"/>
  <c r="M18" i="26"/>
  <c r="H12" i="26"/>
  <c r="H9" i="26"/>
  <c r="M24" i="26"/>
  <c r="M16" i="26"/>
  <c r="H11" i="26"/>
  <c r="M8" i="26"/>
  <c r="M14" i="26"/>
  <c r="M10" i="26"/>
  <c r="M22" i="26"/>
  <c r="H8" i="26"/>
  <c r="M26" i="27"/>
  <c r="M24" i="27"/>
  <c r="M22" i="27"/>
  <c r="M20" i="27"/>
  <c r="M18" i="27"/>
  <c r="M16" i="27"/>
  <c r="M14" i="27"/>
  <c r="M12" i="27"/>
  <c r="M10" i="27"/>
  <c r="M8" i="27"/>
  <c r="M27" i="27"/>
  <c r="H25" i="27"/>
  <c r="H22" i="27"/>
  <c r="M19" i="27"/>
  <c r="H17" i="27"/>
  <c r="H14" i="27"/>
  <c r="M11" i="27"/>
  <c r="H9" i="27"/>
  <c r="H27" i="27"/>
  <c r="H24" i="27"/>
  <c r="M21" i="27"/>
  <c r="H19" i="27"/>
  <c r="H16" i="27"/>
  <c r="M13" i="27"/>
  <c r="H11" i="27"/>
  <c r="H8" i="27"/>
  <c r="H26" i="27"/>
  <c r="M23" i="27"/>
  <c r="H21" i="27"/>
  <c r="H18" i="27"/>
  <c r="M15" i="27"/>
  <c r="H13" i="27"/>
  <c r="H10" i="27"/>
  <c r="H20" i="27"/>
  <c r="M9" i="27"/>
  <c r="M17" i="27"/>
  <c r="M25" i="27"/>
  <c r="H15" i="27"/>
  <c r="H23" i="27"/>
  <c r="H12" i="27"/>
  <c r="AC88" i="24"/>
  <c r="AC89" i="24" s="1"/>
  <c r="Q28" i="6"/>
  <c r="Q29" i="6" s="1"/>
  <c r="C48" i="27" s="1"/>
  <c r="C50" i="27" s="1"/>
  <c r="C53" i="27" s="1"/>
  <c r="M27" i="29"/>
  <c r="M25" i="29"/>
  <c r="M23" i="29"/>
  <c r="M21" i="29"/>
  <c r="M19" i="29"/>
  <c r="M17" i="29"/>
  <c r="M15" i="29"/>
  <c r="M13" i="29"/>
  <c r="M11" i="29"/>
  <c r="M9" i="29"/>
  <c r="H26" i="29"/>
  <c r="H23" i="29"/>
  <c r="M20" i="29"/>
  <c r="H18" i="29"/>
  <c r="H15" i="29"/>
  <c r="M12" i="29"/>
  <c r="H10" i="29"/>
  <c r="H25" i="29"/>
  <c r="M22" i="29"/>
  <c r="H20" i="29"/>
  <c r="H17" i="29"/>
  <c r="M14" i="29"/>
  <c r="H12" i="29"/>
  <c r="H9" i="29"/>
  <c r="H27" i="29"/>
  <c r="M24" i="29"/>
  <c r="H22" i="29"/>
  <c r="H19" i="29"/>
  <c r="M16" i="29"/>
  <c r="H14" i="29"/>
  <c r="H11" i="29"/>
  <c r="M8" i="29"/>
  <c r="M18" i="29"/>
  <c r="H8" i="29"/>
  <c r="M26" i="29"/>
  <c r="H16" i="29"/>
  <c r="H24" i="29"/>
  <c r="H13" i="29"/>
  <c r="M10" i="29"/>
  <c r="H21" i="29"/>
  <c r="AC88" i="32"/>
  <c r="AC89" i="32" s="1"/>
  <c r="AC88" i="39"/>
  <c r="AC89" i="39" s="1"/>
  <c r="AC88" i="33"/>
  <c r="AC89" i="33" s="1"/>
  <c r="M6" i="31"/>
  <c r="T88" i="39"/>
  <c r="T89" i="39" s="1"/>
  <c r="T88" i="24"/>
  <c r="T89" i="24" s="1"/>
  <c r="T88" i="32"/>
  <c r="T89" i="32" s="1"/>
  <c r="T88" i="26"/>
  <c r="T89" i="26" s="1"/>
  <c r="T88" i="29"/>
  <c r="T89" i="29" s="1"/>
  <c r="T88" i="31"/>
  <c r="T89" i="31" s="1"/>
  <c r="T88" i="37"/>
  <c r="T89" i="37" s="1"/>
  <c r="H28" i="6"/>
  <c r="H29" i="6" s="1"/>
  <c r="C48" i="37" s="1"/>
  <c r="C50" i="37" s="1"/>
  <c r="C54" i="37" s="1"/>
  <c r="T88" i="35"/>
  <c r="T89" i="35" s="1"/>
  <c r="T88" i="27"/>
  <c r="T89" i="27" s="1"/>
  <c r="T88" i="38"/>
  <c r="T89" i="38" s="1"/>
  <c r="T88" i="36"/>
  <c r="T89" i="36" s="1"/>
  <c r="T88" i="28"/>
  <c r="T89" i="28" s="1"/>
  <c r="T88" i="30"/>
  <c r="T89" i="30" s="1"/>
  <c r="T88" i="25"/>
  <c r="T89" i="25" s="1"/>
  <c r="T88" i="33"/>
  <c r="T89" i="33" s="1"/>
  <c r="U89" i="38"/>
  <c r="V89" i="39"/>
  <c r="L89" i="39"/>
  <c r="AB89" i="26"/>
  <c r="L89" i="26"/>
  <c r="L90" i="26" s="1"/>
  <c r="Q96" i="26" s="1"/>
  <c r="Q100" i="26" s="1"/>
  <c r="M91" i="26" s="1"/>
  <c r="M92" i="26" s="1"/>
  <c r="C26" i="27"/>
  <c r="C26" i="29"/>
  <c r="C5" i="25"/>
  <c r="AA88" i="25"/>
  <c r="AA88" i="33"/>
  <c r="AA89" i="33" s="1"/>
  <c r="C5" i="32"/>
  <c r="C5" i="33"/>
  <c r="C5" i="28"/>
  <c r="C26" i="26"/>
  <c r="AA88" i="32"/>
  <c r="AA89" i="32" s="1"/>
  <c r="AA88" i="39"/>
  <c r="AA89" i="39" s="1"/>
  <c r="C48" i="30"/>
  <c r="C50" i="30" s="1"/>
  <c r="C53" i="30" s="1"/>
  <c r="C5" i="36"/>
  <c r="O28" i="6"/>
  <c r="O29" i="6" s="1"/>
  <c r="C48" i="25" s="1"/>
  <c r="C50" i="25" s="1"/>
  <c r="C53" i="25" s="1"/>
  <c r="AA88" i="26"/>
  <c r="AA89" i="26" s="1"/>
  <c r="AA88" i="24"/>
  <c r="AA89" i="24" s="1"/>
  <c r="AA88" i="31"/>
  <c r="AA89" i="31" s="1"/>
  <c r="AA88" i="37"/>
  <c r="AA89" i="37" s="1"/>
  <c r="AA88" i="28"/>
  <c r="AA89" i="28" s="1"/>
  <c r="AA88" i="35"/>
  <c r="AA89" i="35" s="1"/>
  <c r="AA88" i="29"/>
  <c r="AA89" i="29" s="1"/>
  <c r="AA88" i="34"/>
  <c r="AA89" i="34" s="1"/>
  <c r="N28" i="6"/>
  <c r="N29" i="6" s="1"/>
  <c r="C48" i="24" s="1"/>
  <c r="C50" i="24" s="1"/>
  <c r="C53" i="24" s="1"/>
  <c r="Z88" i="37"/>
  <c r="Z89" i="37" s="1"/>
  <c r="P88" i="30"/>
  <c r="P89" i="30" s="1"/>
  <c r="R88" i="28"/>
  <c r="R89" i="28" s="1"/>
  <c r="R88" i="27"/>
  <c r="R89" i="27" s="1"/>
  <c r="R88" i="39"/>
  <c r="R89" i="39" s="1"/>
  <c r="Z88" i="25"/>
  <c r="Z89" i="25" s="1"/>
  <c r="P88" i="27"/>
  <c r="P89" i="27" s="1"/>
  <c r="P88" i="33"/>
  <c r="P88" i="36"/>
  <c r="P89" i="36" s="1"/>
  <c r="Z88" i="26"/>
  <c r="Z89" i="26" s="1"/>
  <c r="F28" i="6"/>
  <c r="F29" i="6" s="1"/>
  <c r="C48" i="35" s="1"/>
  <c r="C50" i="35" s="1"/>
  <c r="C54" i="35" s="1"/>
  <c r="Z88" i="39"/>
  <c r="Z89" i="39" s="1"/>
  <c r="R88" i="33"/>
  <c r="R89" i="33" s="1"/>
  <c r="P88" i="31"/>
  <c r="P89" i="31" s="1"/>
  <c r="AA88" i="27"/>
  <c r="AA89" i="27" s="1"/>
  <c r="AA88" i="30"/>
  <c r="AA89" i="30" s="1"/>
  <c r="AA88" i="36"/>
  <c r="AA89" i="36" s="1"/>
  <c r="AA88" i="38"/>
  <c r="AA89" i="38" s="1"/>
  <c r="Y88" i="34"/>
  <c r="Y89" i="34" s="1"/>
  <c r="Z88" i="27"/>
  <c r="Z89" i="27" s="1"/>
  <c r="R88" i="34"/>
  <c r="R89" i="34" s="1"/>
  <c r="R88" i="29"/>
  <c r="R89" i="29" s="1"/>
  <c r="R88" i="37"/>
  <c r="R89" i="37" s="1"/>
  <c r="P88" i="26"/>
  <c r="P89" i="26" s="1"/>
  <c r="P88" i="37"/>
  <c r="P89" i="37" s="1"/>
  <c r="Z88" i="30"/>
  <c r="Z89" i="30" s="1"/>
  <c r="Z88" i="28"/>
  <c r="Z89" i="28" s="1"/>
  <c r="Z88" i="34"/>
  <c r="Z89" i="34" s="1"/>
  <c r="Z88" i="35"/>
  <c r="Z89" i="35" s="1"/>
  <c r="R88" i="35"/>
  <c r="R88" i="30"/>
  <c r="R89" i="30" s="1"/>
  <c r="P88" i="39"/>
  <c r="P89" i="39" s="1"/>
  <c r="R88" i="38"/>
  <c r="R89" i="38" s="1"/>
  <c r="P88" i="32"/>
  <c r="P89" i="32" s="1"/>
  <c r="R88" i="24"/>
  <c r="R89" i="24" s="1"/>
  <c r="D28" i="6"/>
  <c r="D29" i="6" s="1"/>
  <c r="C48" i="33" s="1"/>
  <c r="C50" i="33" s="1"/>
  <c r="C53" i="33" s="1"/>
  <c r="P88" i="29"/>
  <c r="P89" i="29" s="1"/>
  <c r="P88" i="28"/>
  <c r="P89" i="28" s="1"/>
  <c r="C5" i="35"/>
  <c r="Z88" i="31"/>
  <c r="Z89" i="31" s="1"/>
  <c r="Z88" i="33"/>
  <c r="Z89" i="33" s="1"/>
  <c r="P88" i="35"/>
  <c r="P89" i="35" s="1"/>
  <c r="P88" i="24"/>
  <c r="P89" i="24" s="1"/>
  <c r="Z88" i="32"/>
  <c r="Z89" i="32" s="1"/>
  <c r="Z88" i="24"/>
  <c r="Z88" i="29"/>
  <c r="Z89" i="29" s="1"/>
  <c r="Z88" i="38"/>
  <c r="Z89" i="38" s="1"/>
  <c r="Z88" i="36"/>
  <c r="Z89" i="36" s="1"/>
  <c r="R88" i="26"/>
  <c r="R89" i="26" s="1"/>
  <c r="R88" i="31"/>
  <c r="R89" i="31" s="1"/>
  <c r="R88" i="25"/>
  <c r="R89" i="25" s="1"/>
  <c r="R88" i="32"/>
  <c r="R89" i="32" s="1"/>
  <c r="P88" i="25"/>
  <c r="P89" i="25" s="1"/>
  <c r="P88" i="34"/>
  <c r="P89" i="34" s="1"/>
  <c r="P88" i="38"/>
  <c r="P89" i="38" s="1"/>
  <c r="Y88" i="25"/>
  <c r="Y89" i="25" s="1"/>
  <c r="Y88" i="32"/>
  <c r="Y88" i="30"/>
  <c r="Y89" i="30" s="1"/>
  <c r="Y88" i="38"/>
  <c r="Y89" i="38" s="1"/>
  <c r="M28" i="6"/>
  <c r="M29" i="6" s="1"/>
  <c r="C48" i="32" s="1"/>
  <c r="C50" i="32" s="1"/>
  <c r="C53" i="32" s="1"/>
  <c r="Y88" i="26"/>
  <c r="Y89" i="26" s="1"/>
  <c r="Y88" i="27"/>
  <c r="Y89" i="27" s="1"/>
  <c r="Y88" i="35"/>
  <c r="Y89" i="35" s="1"/>
  <c r="Y88" i="31"/>
  <c r="Y89" i="31" s="1"/>
  <c r="Y88" i="28"/>
  <c r="Y89" i="28" s="1"/>
  <c r="Y88" i="39"/>
  <c r="Y89" i="39" s="1"/>
  <c r="Y88" i="36"/>
  <c r="Y89" i="36" s="1"/>
  <c r="Y88" i="24"/>
  <c r="Y89" i="24" s="1"/>
  <c r="Y88" i="29"/>
  <c r="Y89" i="29" s="1"/>
  <c r="Y88" i="33"/>
  <c r="Y89" i="33" s="1"/>
  <c r="C5" i="24"/>
  <c r="C5" i="38"/>
  <c r="C5" i="39"/>
  <c r="C5" i="37"/>
  <c r="Q88" i="33"/>
  <c r="Q89" i="33" s="1"/>
  <c r="O88" i="39"/>
  <c r="O89" i="39" s="1"/>
  <c r="Q88" i="24"/>
  <c r="Q89" i="24" s="1"/>
  <c r="Q88" i="36"/>
  <c r="Q89" i="36" s="1"/>
  <c r="Q88" i="31"/>
  <c r="Q89" i="31" s="1"/>
  <c r="Q88" i="38"/>
  <c r="Q89" i="38" s="1"/>
  <c r="Q88" i="39"/>
  <c r="Q89" i="39" s="1"/>
  <c r="Q88" i="32"/>
  <c r="Q89" i="32" s="1"/>
  <c r="Q88" i="34"/>
  <c r="Q88" i="27"/>
  <c r="Q89" i="27" s="1"/>
  <c r="E28" i="6"/>
  <c r="E29" i="6" s="1"/>
  <c r="C48" i="34" s="1"/>
  <c r="C50" i="34" s="1"/>
  <c r="C54" i="34" s="1"/>
  <c r="Q88" i="26"/>
  <c r="Q89" i="26" s="1"/>
  <c r="Q88" i="28"/>
  <c r="Q89" i="28" s="1"/>
  <c r="Q88" i="35"/>
  <c r="Q89" i="35" s="1"/>
  <c r="Q88" i="25"/>
  <c r="Q89" i="25" s="1"/>
  <c r="Q88" i="37"/>
  <c r="Q89" i="37" s="1"/>
  <c r="Q88" i="29"/>
  <c r="Q89" i="29" s="1"/>
  <c r="Q88" i="30"/>
  <c r="Q89" i="30" s="1"/>
  <c r="C54" i="39"/>
  <c r="C53" i="39"/>
  <c r="C54" i="38"/>
  <c r="O88" i="37"/>
  <c r="O89" i="37" s="1"/>
  <c r="O88" i="30"/>
  <c r="L89" i="30" s="1"/>
  <c r="O88" i="28"/>
  <c r="O89" i="28" s="1"/>
  <c r="O88" i="24"/>
  <c r="O89" i="24" s="1"/>
  <c r="O88" i="34"/>
  <c r="O89" i="34" s="1"/>
  <c r="O88" i="26"/>
  <c r="O89" i="26" s="1"/>
  <c r="O88" i="25"/>
  <c r="O89" i="25" s="1"/>
  <c r="O88" i="32"/>
  <c r="O89" i="32" s="1"/>
  <c r="O88" i="35"/>
  <c r="O89" i="35" s="1"/>
  <c r="O88" i="38"/>
  <c r="O89" i="38" s="1"/>
  <c r="O88" i="29"/>
  <c r="O89" i="29" s="1"/>
  <c r="O88" i="33"/>
  <c r="O89" i="33" s="1"/>
  <c r="O88" i="31"/>
  <c r="O89" i="31" s="1"/>
  <c r="O88" i="27"/>
  <c r="O89" i="27" s="1"/>
  <c r="O88" i="36"/>
  <c r="O89" i="36" s="1"/>
  <c r="C50" i="29"/>
  <c r="C53" i="29" s="1"/>
  <c r="C50" i="26"/>
  <c r="C53" i="26" s="1"/>
  <c r="L27" i="6"/>
  <c r="G25" i="30" l="1"/>
  <c r="L11" i="30"/>
  <c r="G14" i="30"/>
  <c r="G15" i="30"/>
  <c r="L14" i="30"/>
  <c r="L16" i="30"/>
  <c r="L23" i="30"/>
  <c r="G12" i="30"/>
  <c r="L25" i="30"/>
  <c r="G21" i="30"/>
  <c r="L17" i="30"/>
  <c r="L10" i="30"/>
  <c r="L20" i="30"/>
  <c r="L18" i="30"/>
  <c r="G27" i="30"/>
  <c r="G13" i="30"/>
  <c r="L12" i="30"/>
  <c r="L89" i="36"/>
  <c r="L90" i="36" s="1"/>
  <c r="Q96" i="36" s="1"/>
  <c r="Q100" i="36" s="1"/>
  <c r="M91" i="36" s="1"/>
  <c r="M92" i="36" s="1"/>
  <c r="G18" i="30"/>
  <c r="G22" i="30"/>
  <c r="G11" i="30"/>
  <c r="L22" i="30"/>
  <c r="G23" i="30"/>
  <c r="G16" i="30"/>
  <c r="G24" i="30"/>
  <c r="L24" i="30"/>
  <c r="G19" i="30"/>
  <c r="M6" i="29"/>
  <c r="L15" i="30"/>
  <c r="L9" i="30"/>
  <c r="G10" i="30"/>
  <c r="L21" i="30"/>
  <c r="G25" i="26"/>
  <c r="G11" i="26"/>
  <c r="L21" i="26"/>
  <c r="L8" i="26"/>
  <c r="G23" i="26"/>
  <c r="L17" i="26"/>
  <c r="G22" i="26"/>
  <c r="L12" i="26"/>
  <c r="L23" i="26"/>
  <c r="L25" i="26"/>
  <c r="L22" i="26"/>
  <c r="G27" i="26"/>
  <c r="G17" i="26"/>
  <c r="L9" i="26"/>
  <c r="G24" i="26"/>
  <c r="G13" i="26"/>
  <c r="L19" i="26"/>
  <c r="G12" i="26"/>
  <c r="G16" i="26"/>
  <c r="G14" i="26"/>
  <c r="G10" i="26"/>
  <c r="G9" i="26"/>
  <c r="L16" i="26"/>
  <c r="L20" i="26"/>
  <c r="L24" i="26"/>
  <c r="L14" i="26"/>
  <c r="G18" i="26"/>
  <c r="G26" i="26"/>
  <c r="G21" i="26"/>
  <c r="L10" i="26"/>
  <c r="G19" i="26"/>
  <c r="L18" i="26"/>
  <c r="G20" i="26"/>
  <c r="G8" i="26"/>
  <c r="L15" i="26"/>
  <c r="L11" i="26"/>
  <c r="L26" i="26"/>
  <c r="L13" i="26"/>
  <c r="G15" i="26"/>
  <c r="L27" i="26"/>
  <c r="L9" i="27"/>
  <c r="G14" i="27"/>
  <c r="G24" i="27"/>
  <c r="L22" i="27"/>
  <c r="G27" i="27"/>
  <c r="L17" i="27"/>
  <c r="G22" i="27"/>
  <c r="G12" i="27"/>
  <c r="L21" i="27"/>
  <c r="G26" i="27"/>
  <c r="G8" i="27"/>
  <c r="L25" i="27"/>
  <c r="L11" i="27"/>
  <c r="L20" i="27"/>
  <c r="L13" i="27"/>
  <c r="G18" i="27"/>
  <c r="L16" i="27"/>
  <c r="G13" i="27"/>
  <c r="L19" i="27"/>
  <c r="L24" i="27"/>
  <c r="G17" i="27"/>
  <c r="L23" i="27"/>
  <c r="G20" i="27"/>
  <c r="L18" i="27"/>
  <c r="G11" i="27"/>
  <c r="L26" i="27"/>
  <c r="L8" i="27"/>
  <c r="G10" i="27"/>
  <c r="L15" i="27"/>
  <c r="L27" i="27"/>
  <c r="G9" i="27"/>
  <c r="G16" i="27"/>
  <c r="G15" i="27"/>
  <c r="L14" i="27"/>
  <c r="G21" i="27"/>
  <c r="L10" i="27"/>
  <c r="G23" i="27"/>
  <c r="G25" i="27"/>
  <c r="L12" i="27"/>
  <c r="G19" i="27"/>
  <c r="L21" i="29"/>
  <c r="G27" i="29"/>
  <c r="L27" i="29"/>
  <c r="L9" i="29"/>
  <c r="G15" i="29"/>
  <c r="G10" i="29"/>
  <c r="L15" i="29"/>
  <c r="G14" i="29"/>
  <c r="L19" i="29"/>
  <c r="G18" i="29"/>
  <c r="L23" i="29"/>
  <c r="L25" i="29"/>
  <c r="L11" i="29"/>
  <c r="G26" i="29"/>
  <c r="G12" i="29"/>
  <c r="L10" i="29"/>
  <c r="G8" i="29"/>
  <c r="G25" i="29"/>
  <c r="G20" i="29"/>
  <c r="L18" i="29"/>
  <c r="L13" i="29"/>
  <c r="G24" i="29"/>
  <c r="G23" i="29"/>
  <c r="L26" i="29"/>
  <c r="L14" i="29"/>
  <c r="G16" i="29"/>
  <c r="L22" i="29"/>
  <c r="G21" i="29"/>
  <c r="L8" i="29"/>
  <c r="L16" i="29"/>
  <c r="L17" i="29"/>
  <c r="L24" i="29"/>
  <c r="L12" i="29"/>
  <c r="G11" i="29"/>
  <c r="G13" i="29"/>
  <c r="G19" i="29"/>
  <c r="L20" i="29"/>
  <c r="G9" i="29"/>
  <c r="G22" i="29"/>
  <c r="G17" i="29"/>
  <c r="G20" i="30"/>
  <c r="L19" i="30"/>
  <c r="L13" i="30"/>
  <c r="G9" i="30"/>
  <c r="G26" i="30"/>
  <c r="L8" i="30"/>
  <c r="G8" i="30"/>
  <c r="L27" i="30"/>
  <c r="L26" i="30"/>
  <c r="L89" i="28"/>
  <c r="L90" i="28" s="1"/>
  <c r="Q96" i="28" s="1"/>
  <c r="Q100" i="28" s="1"/>
  <c r="M91" i="28" s="1"/>
  <c r="M92" i="28" s="1"/>
  <c r="AC89" i="27"/>
  <c r="AE89" i="29"/>
  <c r="L90" i="29" s="1"/>
  <c r="Q96" i="29" s="1"/>
  <c r="Q100" i="29" s="1"/>
  <c r="M91" i="29" s="1"/>
  <c r="M92" i="29" s="1"/>
  <c r="F59" i="29" s="1"/>
  <c r="M27" i="35"/>
  <c r="M25" i="35"/>
  <c r="M23" i="35"/>
  <c r="M21" i="35"/>
  <c r="M19" i="35"/>
  <c r="M17" i="35"/>
  <c r="M15" i="35"/>
  <c r="M13" i="35"/>
  <c r="M11" i="35"/>
  <c r="M9" i="35"/>
  <c r="H8" i="35"/>
  <c r="H24" i="35"/>
  <c r="H27" i="35"/>
  <c r="H25" i="35"/>
  <c r="H23" i="35"/>
  <c r="H21" i="35"/>
  <c r="H19" i="35"/>
  <c r="H17" i="35"/>
  <c r="H15" i="35"/>
  <c r="H13" i="35"/>
  <c r="H11" i="35"/>
  <c r="H9" i="35"/>
  <c r="H22" i="35"/>
  <c r="H16" i="35"/>
  <c r="H12" i="35"/>
  <c r="M26" i="35"/>
  <c r="M24" i="35"/>
  <c r="M22" i="35"/>
  <c r="M20" i="35"/>
  <c r="M18" i="35"/>
  <c r="M16" i="35"/>
  <c r="M14" i="35"/>
  <c r="M12" i="35"/>
  <c r="M10" i="35"/>
  <c r="M8" i="35"/>
  <c r="H26" i="35"/>
  <c r="H20" i="35"/>
  <c r="H18" i="35"/>
  <c r="H14" i="35"/>
  <c r="H10" i="35"/>
  <c r="H26" i="36"/>
  <c r="H24" i="36"/>
  <c r="H22" i="36"/>
  <c r="H20" i="36"/>
  <c r="H18" i="36"/>
  <c r="M27" i="36"/>
  <c r="M25" i="36"/>
  <c r="M23" i="36"/>
  <c r="M21" i="36"/>
  <c r="M19" i="36"/>
  <c r="H27" i="36"/>
  <c r="H23" i="36"/>
  <c r="H19" i="36"/>
  <c r="M16" i="36"/>
  <c r="M14" i="36"/>
  <c r="M12" i="36"/>
  <c r="M10" i="36"/>
  <c r="M8" i="36"/>
  <c r="M26" i="36"/>
  <c r="M22" i="36"/>
  <c r="M18" i="36"/>
  <c r="H16" i="36"/>
  <c r="H14" i="36"/>
  <c r="H12" i="36"/>
  <c r="H10" i="36"/>
  <c r="H8" i="36"/>
  <c r="M24" i="36"/>
  <c r="H17" i="36"/>
  <c r="H13" i="36"/>
  <c r="H9" i="36"/>
  <c r="H25" i="36"/>
  <c r="H21" i="36"/>
  <c r="M17" i="36"/>
  <c r="M15" i="36"/>
  <c r="M13" i="36"/>
  <c r="M11" i="36"/>
  <c r="M9" i="36"/>
  <c r="M20" i="36"/>
  <c r="H15" i="36"/>
  <c r="H11" i="36"/>
  <c r="M26" i="39"/>
  <c r="M24" i="39"/>
  <c r="M22" i="39"/>
  <c r="M20" i="39"/>
  <c r="M18" i="39"/>
  <c r="M16" i="39"/>
  <c r="M14" i="39"/>
  <c r="M12" i="39"/>
  <c r="M10" i="39"/>
  <c r="M8" i="39"/>
  <c r="H26" i="39"/>
  <c r="H24" i="39"/>
  <c r="H22" i="39"/>
  <c r="H20" i="39"/>
  <c r="H18" i="39"/>
  <c r="H16" i="39"/>
  <c r="H14" i="39"/>
  <c r="H12" i="39"/>
  <c r="H10" i="39"/>
  <c r="H8" i="39"/>
  <c r="H25" i="39"/>
  <c r="H21" i="39"/>
  <c r="H17" i="39"/>
  <c r="H13" i="39"/>
  <c r="H9" i="39"/>
  <c r="M27" i="39"/>
  <c r="M23" i="39"/>
  <c r="M19" i="39"/>
  <c r="M15" i="39"/>
  <c r="M11" i="39"/>
  <c r="M25" i="39"/>
  <c r="M21" i="39"/>
  <c r="M13" i="39"/>
  <c r="H27" i="39"/>
  <c r="H23" i="39"/>
  <c r="H19" i="39"/>
  <c r="H15" i="39"/>
  <c r="H11" i="39"/>
  <c r="M17" i="39"/>
  <c r="M9" i="39"/>
  <c r="H27" i="24"/>
  <c r="H25" i="24"/>
  <c r="H23" i="24"/>
  <c r="H21" i="24"/>
  <c r="H19" i="24"/>
  <c r="H17" i="24"/>
  <c r="H15" i="24"/>
  <c r="H13" i="24"/>
  <c r="H11" i="24"/>
  <c r="H9" i="24"/>
  <c r="M25" i="24"/>
  <c r="M22" i="24"/>
  <c r="H20" i="24"/>
  <c r="M17" i="24"/>
  <c r="M14" i="24"/>
  <c r="H12" i="24"/>
  <c r="M9" i="24"/>
  <c r="M27" i="24"/>
  <c r="M24" i="24"/>
  <c r="H22" i="24"/>
  <c r="M19" i="24"/>
  <c r="M16" i="24"/>
  <c r="H14" i="24"/>
  <c r="M11" i="24"/>
  <c r="M8" i="24"/>
  <c r="M26" i="24"/>
  <c r="H24" i="24"/>
  <c r="M21" i="24"/>
  <c r="M18" i="24"/>
  <c r="H16" i="24"/>
  <c r="M13" i="24"/>
  <c r="M10" i="24"/>
  <c r="H8" i="24"/>
  <c r="M23" i="24"/>
  <c r="M12" i="24"/>
  <c r="M20" i="24"/>
  <c r="H10" i="24"/>
  <c r="M15" i="24"/>
  <c r="H18" i="24"/>
  <c r="H26" i="24"/>
  <c r="H26" i="33"/>
  <c r="H24" i="33"/>
  <c r="H22" i="33"/>
  <c r="H20" i="33"/>
  <c r="H18" i="33"/>
  <c r="H16" i="33"/>
  <c r="H14" i="33"/>
  <c r="H12" i="33"/>
  <c r="H10" i="33"/>
  <c r="M22" i="33"/>
  <c r="M14" i="33"/>
  <c r="M27" i="33"/>
  <c r="M25" i="33"/>
  <c r="M23" i="33"/>
  <c r="M21" i="33"/>
  <c r="M19" i="33"/>
  <c r="M17" i="33"/>
  <c r="M15" i="33"/>
  <c r="M13" i="33"/>
  <c r="M11" i="33"/>
  <c r="M9" i="33"/>
  <c r="H8" i="33"/>
  <c r="M26" i="33"/>
  <c r="M20" i="33"/>
  <c r="M16" i="33"/>
  <c r="M10" i="33"/>
  <c r="H27" i="33"/>
  <c r="H25" i="33"/>
  <c r="H23" i="33"/>
  <c r="H21" i="33"/>
  <c r="H19" i="33"/>
  <c r="H17" i="33"/>
  <c r="H15" i="33"/>
  <c r="H13" i="33"/>
  <c r="H11" i="33"/>
  <c r="H9" i="33"/>
  <c r="M24" i="33"/>
  <c r="M18" i="33"/>
  <c r="M12" i="33"/>
  <c r="M8" i="33"/>
  <c r="M27" i="25"/>
  <c r="M25" i="25"/>
  <c r="M23" i="25"/>
  <c r="M21" i="25"/>
  <c r="M19" i="25"/>
  <c r="M17" i="25"/>
  <c r="M15" i="25"/>
  <c r="M13" i="25"/>
  <c r="M11" i="25"/>
  <c r="M9" i="25"/>
  <c r="H27" i="25"/>
  <c r="M24" i="25"/>
  <c r="H22" i="25"/>
  <c r="H19" i="25"/>
  <c r="M16" i="25"/>
  <c r="H14" i="25"/>
  <c r="H11" i="25"/>
  <c r="M8" i="25"/>
  <c r="M26" i="25"/>
  <c r="H24" i="25"/>
  <c r="H21" i="25"/>
  <c r="M18" i="25"/>
  <c r="H16" i="25"/>
  <c r="H13" i="25"/>
  <c r="M10" i="25"/>
  <c r="H8" i="25"/>
  <c r="H26" i="25"/>
  <c r="H23" i="25"/>
  <c r="M20" i="25"/>
  <c r="H18" i="25"/>
  <c r="H15" i="25"/>
  <c r="M12" i="25"/>
  <c r="H10" i="25"/>
  <c r="H20" i="25"/>
  <c r="H9" i="25"/>
  <c r="H17" i="25"/>
  <c r="H12" i="25"/>
  <c r="H25" i="25"/>
  <c r="M14" i="25"/>
  <c r="M22" i="25"/>
  <c r="M6" i="26"/>
  <c r="M26" i="37"/>
  <c r="M24" i="37"/>
  <c r="M22" i="37"/>
  <c r="M20" i="37"/>
  <c r="M18" i="37"/>
  <c r="M16" i="37"/>
  <c r="M14" i="37"/>
  <c r="M12" i="37"/>
  <c r="M10" i="37"/>
  <c r="M8" i="37"/>
  <c r="H26" i="37"/>
  <c r="H24" i="37"/>
  <c r="H22" i="37"/>
  <c r="H20" i="37"/>
  <c r="H18" i="37"/>
  <c r="H16" i="37"/>
  <c r="H14" i="37"/>
  <c r="H12" i="37"/>
  <c r="H10" i="37"/>
  <c r="H25" i="37"/>
  <c r="H21" i="37"/>
  <c r="H17" i="37"/>
  <c r="H13" i="37"/>
  <c r="H9" i="37"/>
  <c r="M27" i="37"/>
  <c r="M23" i="37"/>
  <c r="M19" i="37"/>
  <c r="M15" i="37"/>
  <c r="M11" i="37"/>
  <c r="H8" i="37"/>
  <c r="M21" i="37"/>
  <c r="M13" i="37"/>
  <c r="H27" i="37"/>
  <c r="H23" i="37"/>
  <c r="H19" i="37"/>
  <c r="H15" i="37"/>
  <c r="H11" i="37"/>
  <c r="M25" i="37"/>
  <c r="M17" i="37"/>
  <c r="M9" i="37"/>
  <c r="M26" i="32"/>
  <c r="M24" i="32"/>
  <c r="M22" i="32"/>
  <c r="M20" i="32"/>
  <c r="M18" i="32"/>
  <c r="M16" i="32"/>
  <c r="M14" i="32"/>
  <c r="M12" i="32"/>
  <c r="M10" i="32"/>
  <c r="M8" i="32"/>
  <c r="H26" i="32"/>
  <c r="M23" i="32"/>
  <c r="H21" i="32"/>
  <c r="H18" i="32"/>
  <c r="M15" i="32"/>
  <c r="H13" i="32"/>
  <c r="H10" i="32"/>
  <c r="M25" i="32"/>
  <c r="H23" i="32"/>
  <c r="H20" i="32"/>
  <c r="M17" i="32"/>
  <c r="H15" i="32"/>
  <c r="H12" i="32"/>
  <c r="M9" i="32"/>
  <c r="M27" i="32"/>
  <c r="H25" i="32"/>
  <c r="H22" i="32"/>
  <c r="M19" i="32"/>
  <c r="H17" i="32"/>
  <c r="H14" i="32"/>
  <c r="M11" i="32"/>
  <c r="H9" i="32"/>
  <c r="H27" i="32"/>
  <c r="H16" i="32"/>
  <c r="H24" i="32"/>
  <c r="M13" i="32"/>
  <c r="H8" i="32"/>
  <c r="M21" i="32"/>
  <c r="H11" i="32"/>
  <c r="H19" i="32"/>
  <c r="M27" i="38"/>
  <c r="M25" i="38"/>
  <c r="M23" i="38"/>
  <c r="M21" i="38"/>
  <c r="M19" i="38"/>
  <c r="M17" i="38"/>
  <c r="M15" i="38"/>
  <c r="M13" i="38"/>
  <c r="M11" i="38"/>
  <c r="M9" i="38"/>
  <c r="H27" i="38"/>
  <c r="H25" i="38"/>
  <c r="H23" i="38"/>
  <c r="H21" i="38"/>
  <c r="H19" i="38"/>
  <c r="H17" i="38"/>
  <c r="H15" i="38"/>
  <c r="H13" i="38"/>
  <c r="H11" i="38"/>
  <c r="H9" i="38"/>
  <c r="H26" i="38"/>
  <c r="H22" i="38"/>
  <c r="H18" i="38"/>
  <c r="H14" i="38"/>
  <c r="H10" i="38"/>
  <c r="M24" i="38"/>
  <c r="M20" i="38"/>
  <c r="M16" i="38"/>
  <c r="M12" i="38"/>
  <c r="M8" i="38"/>
  <c r="M26" i="38"/>
  <c r="M18" i="38"/>
  <c r="M10" i="38"/>
  <c r="H24" i="38"/>
  <c r="H20" i="38"/>
  <c r="H16" i="38"/>
  <c r="H12" i="38"/>
  <c r="H8" i="38"/>
  <c r="M22" i="38"/>
  <c r="M14" i="38"/>
  <c r="H27" i="28"/>
  <c r="H25" i="28"/>
  <c r="H23" i="28"/>
  <c r="H21" i="28"/>
  <c r="H19" i="28"/>
  <c r="H17" i="28"/>
  <c r="H15" i="28"/>
  <c r="H13" i="28"/>
  <c r="H11" i="28"/>
  <c r="H9" i="28"/>
  <c r="M26" i="28"/>
  <c r="H24" i="28"/>
  <c r="M21" i="28"/>
  <c r="M18" i="28"/>
  <c r="H16" i="28"/>
  <c r="M13" i="28"/>
  <c r="M10" i="28"/>
  <c r="H8" i="28"/>
  <c r="H26" i="28"/>
  <c r="M23" i="28"/>
  <c r="M20" i="28"/>
  <c r="H18" i="28"/>
  <c r="M15" i="28"/>
  <c r="M12" i="28"/>
  <c r="H10" i="28"/>
  <c r="M25" i="28"/>
  <c r="M22" i="28"/>
  <c r="H20" i="28"/>
  <c r="M17" i="28"/>
  <c r="M14" i="28"/>
  <c r="H12" i="28"/>
  <c r="M9" i="28"/>
  <c r="M24" i="28"/>
  <c r="H14" i="28"/>
  <c r="H22" i="28"/>
  <c r="M11" i="28"/>
  <c r="M19" i="28"/>
  <c r="M8" i="28"/>
  <c r="M16" i="28"/>
  <c r="M27" i="28"/>
  <c r="M6" i="27"/>
  <c r="C53" i="36"/>
  <c r="C54" i="36"/>
  <c r="H11" i="30"/>
  <c r="H13" i="30"/>
  <c r="H15" i="30"/>
  <c r="H17" i="30"/>
  <c r="H19" i="30"/>
  <c r="H21" i="30"/>
  <c r="H23" i="30"/>
  <c r="H25" i="30"/>
  <c r="H27" i="30"/>
  <c r="H12" i="30"/>
  <c r="H16" i="30"/>
  <c r="H20" i="30"/>
  <c r="H24" i="30"/>
  <c r="H14" i="30"/>
  <c r="H18" i="30"/>
  <c r="H22" i="30"/>
  <c r="H26" i="30"/>
  <c r="H9" i="30"/>
  <c r="M9" i="30"/>
  <c r="M13" i="30"/>
  <c r="M17" i="30"/>
  <c r="M21" i="30"/>
  <c r="M25" i="30"/>
  <c r="M11" i="30"/>
  <c r="M15" i="30"/>
  <c r="M23" i="30"/>
  <c r="M10" i="30"/>
  <c r="M14" i="30"/>
  <c r="M18" i="30"/>
  <c r="M22" i="30"/>
  <c r="M26" i="30"/>
  <c r="M19" i="30"/>
  <c r="M27" i="30"/>
  <c r="M12" i="30"/>
  <c r="M16" i="30"/>
  <c r="M20" i="30"/>
  <c r="M24" i="30"/>
  <c r="M8" i="30"/>
  <c r="H10" i="30"/>
  <c r="F59" i="28"/>
  <c r="F59" i="26"/>
  <c r="F59" i="38"/>
  <c r="L63" i="38" s="1"/>
  <c r="F59" i="27"/>
  <c r="F59" i="36"/>
  <c r="L63" i="36" s="1"/>
  <c r="L67" i="36" s="1"/>
  <c r="N67" i="36" s="1"/>
  <c r="L89" i="37"/>
  <c r="L90" i="37" s="1"/>
  <c r="Q96" i="37" s="1"/>
  <c r="Q100" i="37" s="1"/>
  <c r="M91" i="37" s="1"/>
  <c r="M92" i="37" s="1"/>
  <c r="C53" i="37"/>
  <c r="Y89" i="32"/>
  <c r="L89" i="32"/>
  <c r="P89" i="33"/>
  <c r="L89" i="33"/>
  <c r="L90" i="33" s="1"/>
  <c r="Q96" i="33" s="1"/>
  <c r="Q100" i="33" s="1"/>
  <c r="M91" i="33" s="1"/>
  <c r="M92" i="33" s="1"/>
  <c r="Z89" i="24"/>
  <c r="L89" i="24"/>
  <c r="L90" i="24" s="1"/>
  <c r="Q96" i="24" s="1"/>
  <c r="Q100" i="24" s="1"/>
  <c r="M91" i="24" s="1"/>
  <c r="M92" i="24" s="1"/>
  <c r="R89" i="35"/>
  <c r="L89" i="35"/>
  <c r="L90" i="35" s="1"/>
  <c r="Q96" i="35" s="1"/>
  <c r="Q100" i="35" s="1"/>
  <c r="M91" i="35" s="1"/>
  <c r="M92" i="35" s="1"/>
  <c r="AA89" i="25"/>
  <c r="L89" i="25"/>
  <c r="L90" i="25" s="1"/>
  <c r="Q96" i="25" s="1"/>
  <c r="Q100" i="25" s="1"/>
  <c r="M91" i="25" s="1"/>
  <c r="M92" i="25" s="1"/>
  <c r="Q89" i="34"/>
  <c r="L89" i="34"/>
  <c r="L90" i="34" s="1"/>
  <c r="Q96" i="34" s="1"/>
  <c r="Q100" i="34" s="1"/>
  <c r="M91" i="34" s="1"/>
  <c r="M92" i="34" s="1"/>
  <c r="L90" i="39"/>
  <c r="Q96" i="39" s="1"/>
  <c r="Q100" i="39" s="1"/>
  <c r="M91" i="39" s="1"/>
  <c r="M92" i="39" s="1"/>
  <c r="O89" i="30"/>
  <c r="C25" i="33"/>
  <c r="C26" i="25"/>
  <c r="C26" i="28"/>
  <c r="C25" i="36"/>
  <c r="C25" i="35"/>
  <c r="C53" i="35"/>
  <c r="C54" i="33"/>
  <c r="C26" i="32"/>
  <c r="C26" i="24"/>
  <c r="C25" i="37"/>
  <c r="C25" i="38"/>
  <c r="C25" i="39"/>
  <c r="C5" i="34"/>
  <c r="C53" i="34"/>
  <c r="C54" i="30"/>
  <c r="X88" i="39"/>
  <c r="X89" i="39" s="1"/>
  <c r="X88" i="38"/>
  <c r="X89" i="38" s="1"/>
  <c r="X88" i="34"/>
  <c r="X89" i="34" s="1"/>
  <c r="X88" i="37"/>
  <c r="X89" i="37" s="1"/>
  <c r="X88" i="36"/>
  <c r="X89" i="36" s="1"/>
  <c r="X88" i="35"/>
  <c r="X89" i="35" s="1"/>
  <c r="X88" i="33"/>
  <c r="X89" i="33" s="1"/>
  <c r="C54" i="25"/>
  <c r="C54" i="28"/>
  <c r="C54" i="26"/>
  <c r="X88" i="32"/>
  <c r="X89" i="32" s="1"/>
  <c r="X88" i="29"/>
  <c r="X89" i="29" s="1"/>
  <c r="X88" i="28"/>
  <c r="X89" i="28" s="1"/>
  <c r="X88" i="27"/>
  <c r="X89" i="27" s="1"/>
  <c r="X88" i="25"/>
  <c r="X89" i="25" s="1"/>
  <c r="X88" i="24"/>
  <c r="X89" i="24" s="1"/>
  <c r="X88" i="30"/>
  <c r="X89" i="30" s="1"/>
  <c r="X88" i="31"/>
  <c r="X88" i="26"/>
  <c r="X89" i="26" s="1"/>
  <c r="C54" i="29"/>
  <c r="C54" i="27"/>
  <c r="C54" i="24"/>
  <c r="C54" i="32"/>
  <c r="L28" i="6"/>
  <c r="L29" i="6" s="1"/>
  <c r="L13" i="28" l="1"/>
  <c r="G18" i="28"/>
  <c r="G20" i="28"/>
  <c r="L24" i="28"/>
  <c r="L10" i="28"/>
  <c r="G15" i="28"/>
  <c r="G21" i="28"/>
  <c r="L21" i="28"/>
  <c r="G26" i="28"/>
  <c r="L8" i="28"/>
  <c r="G9" i="28"/>
  <c r="L15" i="28"/>
  <c r="L16" i="28"/>
  <c r="L25" i="28"/>
  <c r="L26" i="28"/>
  <c r="L20" i="28"/>
  <c r="G14" i="28"/>
  <c r="G17" i="28"/>
  <c r="L23" i="28"/>
  <c r="L22" i="28"/>
  <c r="L11" i="28"/>
  <c r="G13" i="28"/>
  <c r="G12" i="28"/>
  <c r="L9" i="28"/>
  <c r="G16" i="28"/>
  <c r="L12" i="28"/>
  <c r="G11" i="28"/>
  <c r="G22" i="28"/>
  <c r="G8" i="28"/>
  <c r="G23" i="28"/>
  <c r="L14" i="28"/>
  <c r="L27" i="28"/>
  <c r="G27" i="28"/>
  <c r="L19" i="28"/>
  <c r="G10" i="28"/>
  <c r="G25" i="28"/>
  <c r="L17" i="28"/>
  <c r="G19" i="28"/>
  <c r="G24" i="28"/>
  <c r="L18" i="28"/>
  <c r="G21" i="25"/>
  <c r="L27" i="25"/>
  <c r="G25" i="25"/>
  <c r="G11" i="25"/>
  <c r="L10" i="25"/>
  <c r="G15" i="25"/>
  <c r="L14" i="25"/>
  <c r="G19" i="25"/>
  <c r="L18" i="25"/>
  <c r="G23" i="25"/>
  <c r="L22" i="25"/>
  <c r="G27" i="25"/>
  <c r="L26" i="25"/>
  <c r="L12" i="25"/>
  <c r="G10" i="25"/>
  <c r="L8" i="25"/>
  <c r="L9" i="25"/>
  <c r="G14" i="25"/>
  <c r="G24" i="25"/>
  <c r="L20" i="25"/>
  <c r="L15" i="25"/>
  <c r="G13" i="25"/>
  <c r="L24" i="25"/>
  <c r="L23" i="25"/>
  <c r="G18" i="25"/>
  <c r="L13" i="25"/>
  <c r="L16" i="25"/>
  <c r="G22" i="25"/>
  <c r="L21" i="25"/>
  <c r="G8" i="25"/>
  <c r="L17" i="25"/>
  <c r="L25" i="25"/>
  <c r="G9" i="25"/>
  <c r="G16" i="25"/>
  <c r="L19" i="25"/>
  <c r="G17" i="25"/>
  <c r="G20" i="25"/>
  <c r="L11" i="25"/>
  <c r="G12" i="25"/>
  <c r="G26" i="25"/>
  <c r="L9" i="24"/>
  <c r="L14" i="24"/>
  <c r="L24" i="24"/>
  <c r="L13" i="24"/>
  <c r="L18" i="24"/>
  <c r="G20" i="24"/>
  <c r="L17" i="24"/>
  <c r="L22" i="24"/>
  <c r="L12" i="24"/>
  <c r="L21" i="24"/>
  <c r="L11" i="24"/>
  <c r="L8" i="24"/>
  <c r="L25" i="24"/>
  <c r="L15" i="24"/>
  <c r="G24" i="24"/>
  <c r="G9" i="24"/>
  <c r="L19" i="24"/>
  <c r="L16" i="24"/>
  <c r="G13" i="24"/>
  <c r="L23" i="24"/>
  <c r="G12" i="24"/>
  <c r="G17" i="24"/>
  <c r="L27" i="24"/>
  <c r="G26" i="24"/>
  <c r="G21" i="24"/>
  <c r="G11" i="24"/>
  <c r="G14" i="24"/>
  <c r="L20" i="24"/>
  <c r="G22" i="24"/>
  <c r="G8" i="24"/>
  <c r="G27" i="24"/>
  <c r="G25" i="24"/>
  <c r="G19" i="24"/>
  <c r="G10" i="24"/>
  <c r="G15" i="24"/>
  <c r="G23" i="24"/>
  <c r="G18" i="24"/>
  <c r="G16" i="24"/>
  <c r="L10" i="24"/>
  <c r="L26" i="24"/>
  <c r="L13" i="32"/>
  <c r="G19" i="32"/>
  <c r="L14" i="32"/>
  <c r="L25" i="32"/>
  <c r="L17" i="32"/>
  <c r="G23" i="32"/>
  <c r="L22" i="32"/>
  <c r="L9" i="32"/>
  <c r="L21" i="32"/>
  <c r="G27" i="32"/>
  <c r="G10" i="32"/>
  <c r="G21" i="32"/>
  <c r="G9" i="32"/>
  <c r="L10" i="32"/>
  <c r="G26" i="32"/>
  <c r="G15" i="32"/>
  <c r="G13" i="32"/>
  <c r="L18" i="32"/>
  <c r="L24" i="32"/>
  <c r="L19" i="32"/>
  <c r="G17" i="32"/>
  <c r="L26" i="32"/>
  <c r="G8" i="32"/>
  <c r="G18" i="32"/>
  <c r="L23" i="32"/>
  <c r="G20" i="32"/>
  <c r="L27" i="32"/>
  <c r="L8" i="32"/>
  <c r="G11" i="32"/>
  <c r="G14" i="32"/>
  <c r="L15" i="32"/>
  <c r="G22" i="32"/>
  <c r="L12" i="32"/>
  <c r="L20" i="32"/>
  <c r="G25" i="32"/>
  <c r="G12" i="32"/>
  <c r="G16" i="32"/>
  <c r="G24" i="32"/>
  <c r="L16" i="32"/>
  <c r="L11" i="32"/>
  <c r="M6" i="24"/>
  <c r="J5" i="30"/>
  <c r="J6" i="30" s="1"/>
  <c r="G15" i="36"/>
  <c r="L12" i="36"/>
  <c r="L8" i="36"/>
  <c r="G12" i="36"/>
  <c r="L9" i="36"/>
  <c r="L25" i="36"/>
  <c r="G13" i="36"/>
  <c r="L10" i="36"/>
  <c r="L26" i="36"/>
  <c r="L23" i="36"/>
  <c r="G18" i="36"/>
  <c r="G14" i="36"/>
  <c r="G19" i="36"/>
  <c r="L16" i="36"/>
  <c r="G16" i="36"/>
  <c r="L13" i="36"/>
  <c r="G8" i="36"/>
  <c r="G17" i="36"/>
  <c r="L14" i="36"/>
  <c r="G22" i="36"/>
  <c r="L11" i="36"/>
  <c r="G27" i="36"/>
  <c r="G24" i="36"/>
  <c r="G25" i="36"/>
  <c r="G26" i="36"/>
  <c r="G23" i="36"/>
  <c r="L20" i="36"/>
  <c r="G20" i="36"/>
  <c r="L17" i="36"/>
  <c r="G21" i="36"/>
  <c r="L18" i="36"/>
  <c r="L19" i="36"/>
  <c r="G10" i="36"/>
  <c r="L27" i="36"/>
  <c r="G11" i="36"/>
  <c r="L24" i="36"/>
  <c r="L21" i="36"/>
  <c r="G9" i="36"/>
  <c r="L22" i="36"/>
  <c r="L15" i="36"/>
  <c r="G12" i="39"/>
  <c r="G22" i="39"/>
  <c r="L19" i="39"/>
  <c r="G19" i="39"/>
  <c r="L16" i="39"/>
  <c r="G20" i="39"/>
  <c r="L17" i="39"/>
  <c r="L14" i="39"/>
  <c r="G9" i="39"/>
  <c r="G26" i="39"/>
  <c r="L23" i="39"/>
  <c r="G8" i="39"/>
  <c r="G23" i="39"/>
  <c r="L20" i="39"/>
  <c r="G24" i="39"/>
  <c r="L21" i="39"/>
  <c r="G13" i="39"/>
  <c r="G25" i="39"/>
  <c r="G21" i="39"/>
  <c r="L15" i="39"/>
  <c r="G15" i="39"/>
  <c r="L8" i="39"/>
  <c r="G16" i="39"/>
  <c r="L26" i="39"/>
  <c r="G17" i="39"/>
  <c r="L22" i="39"/>
  <c r="G14" i="39"/>
  <c r="L11" i="39"/>
  <c r="L27" i="39"/>
  <c r="G10" i="39"/>
  <c r="G27" i="39"/>
  <c r="L24" i="39"/>
  <c r="G11" i="39"/>
  <c r="L9" i="39"/>
  <c r="L25" i="39"/>
  <c r="L10" i="39"/>
  <c r="L18" i="39"/>
  <c r="G18" i="39"/>
  <c r="L12" i="39"/>
  <c r="L13" i="39"/>
  <c r="M6" i="28"/>
  <c r="G15" i="38"/>
  <c r="L12" i="38"/>
  <c r="L8" i="38"/>
  <c r="G12" i="38"/>
  <c r="L9" i="38"/>
  <c r="L25" i="38"/>
  <c r="G13" i="38"/>
  <c r="L10" i="38"/>
  <c r="L26" i="38"/>
  <c r="G22" i="38"/>
  <c r="L11" i="38"/>
  <c r="G18" i="38"/>
  <c r="G19" i="38"/>
  <c r="L16" i="38"/>
  <c r="G16" i="38"/>
  <c r="L13" i="38"/>
  <c r="G8" i="38"/>
  <c r="G17" i="38"/>
  <c r="L14" i="38"/>
  <c r="L19" i="38"/>
  <c r="G10" i="38"/>
  <c r="L27" i="38"/>
  <c r="G27" i="38"/>
  <c r="L24" i="38"/>
  <c r="L21" i="38"/>
  <c r="G9" i="38"/>
  <c r="L22" i="38"/>
  <c r="G14" i="38"/>
  <c r="G23" i="38"/>
  <c r="L20" i="38"/>
  <c r="G20" i="38"/>
  <c r="L17" i="38"/>
  <c r="G21" i="38"/>
  <c r="L18" i="38"/>
  <c r="G26" i="38"/>
  <c r="L15" i="38"/>
  <c r="G11" i="38"/>
  <c r="G24" i="38"/>
  <c r="G25" i="38"/>
  <c r="L23" i="38"/>
  <c r="G23" i="37"/>
  <c r="L19" i="37"/>
  <c r="G20" i="37"/>
  <c r="L16" i="37"/>
  <c r="G21" i="37"/>
  <c r="L17" i="37"/>
  <c r="L26" i="37"/>
  <c r="G18" i="37"/>
  <c r="G11" i="37"/>
  <c r="G27" i="37"/>
  <c r="L23" i="37"/>
  <c r="G24" i="37"/>
  <c r="L20" i="37"/>
  <c r="G9" i="37"/>
  <c r="G25" i="37"/>
  <c r="L21" i="37"/>
  <c r="L14" i="37"/>
  <c r="G10" i="37"/>
  <c r="L15" i="37"/>
  <c r="L12" i="37"/>
  <c r="L13" i="37"/>
  <c r="G15" i="37"/>
  <c r="L11" i="37"/>
  <c r="L8" i="37"/>
  <c r="G12" i="37"/>
  <c r="L27" i="37"/>
  <c r="L24" i="37"/>
  <c r="G13" i="37"/>
  <c r="L9" i="37"/>
  <c r="L25" i="37"/>
  <c r="G14" i="37"/>
  <c r="G22" i="37"/>
  <c r="L22" i="37"/>
  <c r="G19" i="37"/>
  <c r="G16" i="37"/>
  <c r="G8" i="37"/>
  <c r="G17" i="37"/>
  <c r="L10" i="37"/>
  <c r="G26" i="37"/>
  <c r="L18" i="37"/>
  <c r="H27" i="34"/>
  <c r="H25" i="34"/>
  <c r="H23" i="34"/>
  <c r="H21" i="34"/>
  <c r="H19" i="34"/>
  <c r="H17" i="34"/>
  <c r="H15" i="34"/>
  <c r="H13" i="34"/>
  <c r="H11" i="34"/>
  <c r="H9" i="34"/>
  <c r="M25" i="34"/>
  <c r="M11" i="34"/>
  <c r="M26" i="34"/>
  <c r="M24" i="34"/>
  <c r="M22" i="34"/>
  <c r="M20" i="34"/>
  <c r="M18" i="34"/>
  <c r="M16" i="34"/>
  <c r="M14" i="34"/>
  <c r="M12" i="34"/>
  <c r="M10" i="34"/>
  <c r="M8" i="34"/>
  <c r="M23" i="34"/>
  <c r="M17" i="34"/>
  <c r="M13" i="34"/>
  <c r="H26" i="34"/>
  <c r="H24" i="34"/>
  <c r="H22" i="34"/>
  <c r="H20" i="34"/>
  <c r="H18" i="34"/>
  <c r="H16" i="34"/>
  <c r="H14" i="34"/>
  <c r="H12" i="34"/>
  <c r="H10" i="34"/>
  <c r="H8" i="34"/>
  <c r="M27" i="34"/>
  <c r="M21" i="34"/>
  <c r="M19" i="34"/>
  <c r="M15" i="34"/>
  <c r="M9" i="34"/>
  <c r="G11" i="35"/>
  <c r="G27" i="35"/>
  <c r="L24" i="35"/>
  <c r="G12" i="35"/>
  <c r="L9" i="35"/>
  <c r="L25" i="35"/>
  <c r="G9" i="35"/>
  <c r="G25" i="35"/>
  <c r="L22" i="35"/>
  <c r="L27" i="35"/>
  <c r="G18" i="35"/>
  <c r="G15" i="35"/>
  <c r="L12" i="35"/>
  <c r="L8" i="35"/>
  <c r="G16" i="35"/>
  <c r="L13" i="35"/>
  <c r="G8" i="35"/>
  <c r="G13" i="35"/>
  <c r="L10" i="35"/>
  <c r="L26" i="35"/>
  <c r="L15" i="35"/>
  <c r="G10" i="35"/>
  <c r="G23" i="35"/>
  <c r="G24" i="35"/>
  <c r="L21" i="35"/>
  <c r="L18" i="35"/>
  <c r="L19" i="35"/>
  <c r="G26" i="35"/>
  <c r="G19" i="35"/>
  <c r="L16" i="35"/>
  <c r="G20" i="35"/>
  <c r="L17" i="35"/>
  <c r="G17" i="35"/>
  <c r="L14" i="35"/>
  <c r="G14" i="35"/>
  <c r="L23" i="35"/>
  <c r="G22" i="35"/>
  <c r="L20" i="35"/>
  <c r="G21" i="35"/>
  <c r="L11" i="35"/>
  <c r="G11" i="33"/>
  <c r="G27" i="33"/>
  <c r="L24" i="33"/>
  <c r="G12" i="33"/>
  <c r="L9" i="33"/>
  <c r="L25" i="33"/>
  <c r="L11" i="33"/>
  <c r="G17" i="33"/>
  <c r="L15" i="33"/>
  <c r="L18" i="33"/>
  <c r="G15" i="33"/>
  <c r="L12" i="33"/>
  <c r="L8" i="33"/>
  <c r="G16" i="33"/>
  <c r="L13" i="33"/>
  <c r="G8" i="33"/>
  <c r="L19" i="33"/>
  <c r="G25" i="33"/>
  <c r="G13" i="33"/>
  <c r="G10" i="33"/>
  <c r="L23" i="33"/>
  <c r="L20" i="33"/>
  <c r="G24" i="33"/>
  <c r="L22" i="33"/>
  <c r="G26" i="33"/>
  <c r="G21" i="33"/>
  <c r="G19" i="33"/>
  <c r="L16" i="33"/>
  <c r="G20" i="33"/>
  <c r="L17" i="33"/>
  <c r="G14" i="33"/>
  <c r="L27" i="33"/>
  <c r="L14" i="33"/>
  <c r="L10" i="33"/>
  <c r="G18" i="33"/>
  <c r="G23" i="33"/>
  <c r="L21" i="33"/>
  <c r="G22" i="33"/>
  <c r="G9" i="33"/>
  <c r="L26" i="33"/>
  <c r="M6" i="32"/>
  <c r="M6" i="25"/>
  <c r="L67" i="38"/>
  <c r="N67" i="38" s="1"/>
  <c r="P58" i="38"/>
  <c r="P58" i="36"/>
  <c r="F59" i="24"/>
  <c r="F59" i="25"/>
  <c r="F59" i="34"/>
  <c r="L63" i="34" s="1"/>
  <c r="F59" i="35"/>
  <c r="L63" i="35" s="1"/>
  <c r="F59" i="33"/>
  <c r="L63" i="33" s="1"/>
  <c r="F59" i="39"/>
  <c r="L63" i="39" s="1"/>
  <c r="F59" i="37"/>
  <c r="L63" i="37" s="1"/>
  <c r="L90" i="32"/>
  <c r="Q96" i="32" s="1"/>
  <c r="Q100" i="32" s="1"/>
  <c r="M91" i="32" s="1"/>
  <c r="M92" i="32" s="1"/>
  <c r="X89" i="31"/>
  <c r="L89" i="31"/>
  <c r="L90" i="31" s="1"/>
  <c r="Q96" i="31" s="1"/>
  <c r="Q100" i="31" s="1"/>
  <c r="M91" i="31" s="1"/>
  <c r="M92" i="31" s="1"/>
  <c r="L90" i="30"/>
  <c r="Q96" i="30" s="1"/>
  <c r="Q100" i="30" s="1"/>
  <c r="C25" i="34"/>
  <c r="C48" i="31"/>
  <c r="C50" i="31" s="1"/>
  <c r="C53" i="31" s="1"/>
  <c r="G19" i="34" l="1"/>
  <c r="L16" i="34"/>
  <c r="G20" i="34"/>
  <c r="L17" i="34"/>
  <c r="L19" i="34"/>
  <c r="G25" i="34"/>
  <c r="L18" i="34"/>
  <c r="G10" i="34"/>
  <c r="L23" i="34"/>
  <c r="G13" i="34"/>
  <c r="G23" i="34"/>
  <c r="L20" i="34"/>
  <c r="G24" i="34"/>
  <c r="L21" i="34"/>
  <c r="G14" i="34"/>
  <c r="L27" i="34"/>
  <c r="L14" i="34"/>
  <c r="G18" i="34"/>
  <c r="L10" i="34"/>
  <c r="G15" i="34"/>
  <c r="L8" i="34"/>
  <c r="L13" i="34"/>
  <c r="L11" i="34"/>
  <c r="G17" i="34"/>
  <c r="G21" i="34"/>
  <c r="G11" i="34"/>
  <c r="G27" i="34"/>
  <c r="L24" i="34"/>
  <c r="G12" i="34"/>
  <c r="L9" i="34"/>
  <c r="L25" i="34"/>
  <c r="G22" i="34"/>
  <c r="G9" i="34"/>
  <c r="L22" i="34"/>
  <c r="G26" i="34"/>
  <c r="L26" i="34"/>
  <c r="L12" i="34"/>
  <c r="G16" i="34"/>
  <c r="G8" i="34"/>
  <c r="L15" i="34"/>
  <c r="J5" i="33"/>
  <c r="J6" i="33" s="1"/>
  <c r="O5" i="33"/>
  <c r="O6" i="33" s="1"/>
  <c r="J5" i="35"/>
  <c r="J6" i="35" s="1"/>
  <c r="O5" i="39"/>
  <c r="O6" i="39" s="1"/>
  <c r="J5" i="39"/>
  <c r="J6" i="39" s="1"/>
  <c r="J5" i="36"/>
  <c r="J6" i="36" s="1"/>
  <c r="J5" i="37"/>
  <c r="J6" i="37" s="1"/>
  <c r="J5" i="38"/>
  <c r="J6" i="38" s="1"/>
  <c r="O5" i="37"/>
  <c r="O6" i="37" s="1"/>
  <c r="O5" i="36"/>
  <c r="O6" i="36" s="1"/>
  <c r="K5" i="44" s="1"/>
  <c r="O5" i="35"/>
  <c r="O6" i="35" s="1"/>
  <c r="J5" i="44" s="1"/>
  <c r="O5" i="38"/>
  <c r="O6" i="38" s="1"/>
  <c r="L67" i="34"/>
  <c r="N67" i="34" s="1"/>
  <c r="L67" i="39"/>
  <c r="N67" i="39" s="1"/>
  <c r="L67" i="35"/>
  <c r="N67" i="35" s="1"/>
  <c r="L67" i="37"/>
  <c r="N67" i="37" s="1"/>
  <c r="L67" i="33"/>
  <c r="N67" i="33" s="1"/>
  <c r="P58" i="33"/>
  <c r="P58" i="34"/>
  <c r="P58" i="37"/>
  <c r="P58" i="39"/>
  <c r="P58" i="35"/>
  <c r="F59" i="31"/>
  <c r="L63" i="31" s="1"/>
  <c r="F59" i="32"/>
  <c r="L63" i="32" s="1"/>
  <c r="L67" i="32" s="1"/>
  <c r="N67" i="32" s="1"/>
  <c r="M91" i="30"/>
  <c r="M92" i="30" s="1"/>
  <c r="C54" i="31"/>
  <c r="J5" i="34" l="1"/>
  <c r="J6" i="34" s="1"/>
  <c r="O5" i="34"/>
  <c r="O6" i="34" s="1"/>
  <c r="L5" i="44"/>
  <c r="L4" i="44"/>
  <c r="K4" i="44"/>
  <c r="N5" i="44"/>
  <c r="J4" i="44"/>
  <c r="H5" i="44"/>
  <c r="M5" i="44"/>
  <c r="N4" i="44"/>
  <c r="M4" i="44"/>
  <c r="L67" i="31"/>
  <c r="N67" i="31" s="1"/>
  <c r="P58" i="31"/>
  <c r="P58" i="32"/>
  <c r="F59" i="30"/>
  <c r="L63" i="30" s="1"/>
  <c r="L63" i="29"/>
  <c r="L63" i="25"/>
  <c r="L63" i="28"/>
  <c r="L63" i="27"/>
  <c r="L63" i="26"/>
  <c r="L63" i="24"/>
  <c r="I4" i="44" l="1"/>
  <c r="I5" i="44"/>
  <c r="P58" i="30"/>
  <c r="P58" i="26"/>
  <c r="P58" i="29"/>
  <c r="P58" i="27"/>
  <c r="P58" i="28"/>
  <c r="P58" i="24"/>
  <c r="P58" i="25"/>
  <c r="L67" i="30"/>
  <c r="N67" i="30" s="1"/>
  <c r="L67" i="28"/>
  <c r="N67" i="28" s="1"/>
  <c r="L67" i="24"/>
  <c r="N67" i="24" s="1"/>
  <c r="L67" i="25"/>
  <c r="N67" i="25" s="1"/>
  <c r="L67" i="26"/>
  <c r="N67" i="26" s="1"/>
  <c r="L67" i="29"/>
  <c r="N67" i="29" s="1"/>
  <c r="L67" i="27"/>
  <c r="N67" i="27" s="1"/>
  <c r="O5" i="30" l="1"/>
  <c r="O6" i="30" s="1"/>
  <c r="J5" i="32" l="1"/>
  <c r="J6" i="32" s="1"/>
  <c r="O5" i="29"/>
  <c r="O6" i="29" s="1"/>
  <c r="J5" i="27"/>
  <c r="J6" i="27" s="1"/>
  <c r="J5" i="28"/>
  <c r="J6" i="28" s="1"/>
  <c r="O5" i="28"/>
  <c r="O6" i="28" s="1"/>
  <c r="J5" i="26"/>
  <c r="J6" i="26" s="1"/>
  <c r="S4" i="44" s="1"/>
  <c r="O5" i="25"/>
  <c r="O6" i="25" s="1"/>
  <c r="J5" i="25"/>
  <c r="J6" i="25" s="1"/>
  <c r="J5" i="29"/>
  <c r="J6" i="29" s="1"/>
  <c r="V4" i="44" s="1"/>
  <c r="O5" i="27"/>
  <c r="O6" i="27" s="1"/>
  <c r="O5" i="24"/>
  <c r="O6" i="24" s="1"/>
  <c r="J5" i="24"/>
  <c r="J6" i="24" s="1"/>
  <c r="O5" i="32"/>
  <c r="O6" i="32" s="1"/>
  <c r="P5" i="44" s="1"/>
  <c r="O5" i="26"/>
  <c r="O6" i="26" s="1"/>
  <c r="G4" i="44"/>
  <c r="O5" i="31"/>
  <c r="O6" i="31" s="1"/>
  <c r="G5" i="44"/>
  <c r="J5" i="31"/>
  <c r="Q5" i="44" l="1"/>
  <c r="R4" i="44"/>
  <c r="T4" i="44"/>
  <c r="P4" i="44"/>
  <c r="U5" i="44"/>
  <c r="O5" i="44"/>
  <c r="U4" i="44"/>
  <c r="S5" i="44"/>
  <c r="V5" i="44"/>
  <c r="T5" i="44"/>
  <c r="R5" i="44"/>
  <c r="Q4" i="44"/>
  <c r="J6" i="31"/>
  <c r="O4" i="44" l="1"/>
  <c r="H4" i="44"/>
  <c r="P60" i="29"/>
  <c r="P60" i="28"/>
  <c r="P60" i="27"/>
  <c r="P60" i="26"/>
  <c r="P60" i="25"/>
  <c r="P60" i="24"/>
  <c r="P60" i="32"/>
  <c r="P60" i="31"/>
  <c r="P60" i="37"/>
  <c r="P60" i="36"/>
  <c r="P60" i="35"/>
  <c r="P60" i="34"/>
  <c r="P60" i="33"/>
  <c r="P60" i="38"/>
  <c r="P60" i="39"/>
  <c r="P60" i="30" l="1"/>
</calcChain>
</file>

<file path=xl/sharedStrings.xml><?xml version="1.0" encoding="utf-8"?>
<sst xmlns="http://schemas.openxmlformats.org/spreadsheetml/2006/main" count="2871" uniqueCount="314">
  <si>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</si>
  <si>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</si>
  <si>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</si>
  <si>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</si>
  <si>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</si>
  <si>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</si>
  <si>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</si>
  <si>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</si>
  <si>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</si>
  <si>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</si>
  <si>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</si>
  <si>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</si>
  <si>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%heating</t>
  </si>
  <si>
    <t>new SFH</t>
  </si>
  <si>
    <t>retro SFH</t>
  </si>
  <si>
    <t>new MFH</t>
  </si>
  <si>
    <t>retro MFH</t>
  </si>
  <si>
    <t>Progressive electricity demand - SFH</t>
  </si>
  <si>
    <t>Progressive electricity demand - MFH</t>
  </si>
  <si>
    <t>Conservative electricity demand - SFH</t>
  </si>
  <si>
    <t>Conservative electricity demand - MFH</t>
  </si>
  <si>
    <t>January</t>
  </si>
  <si>
    <t xml:space="preserve">May </t>
  </si>
  <si>
    <t>Total</t>
  </si>
  <si>
    <t>Electricity demand.</t>
  </si>
  <si>
    <t>SFH</t>
  </si>
  <si>
    <t>MFH</t>
  </si>
  <si>
    <t>climate share</t>
  </si>
  <si>
    <t>climate share [kWh]</t>
  </si>
  <si>
    <t xml:space="preserve">reduction </t>
  </si>
  <si>
    <t>progressive</t>
  </si>
  <si>
    <t>conservative</t>
  </si>
  <si>
    <t>%lighting</t>
  </si>
  <si>
    <t>reduced demand</t>
  </si>
  <si>
    <t>13.3% of red. Demand</t>
  </si>
  <si>
    <t>base red. Demand w/o 13.3%</t>
  </si>
  <si>
    <t>lighting in absolute values</t>
  </si>
  <si>
    <t>climate share July</t>
  </si>
  <si>
    <t>transposed</t>
  </si>
  <si>
    <t>monthly base red. Demand w/o 13.3%</t>
  </si>
  <si>
    <t>sum (for control)</t>
  </si>
  <si>
    <t>adjusted absolute values to 100.00%</t>
  </si>
  <si>
    <t>rooftop</t>
  </si>
  <si>
    <t>yearly prod/m2</t>
  </si>
  <si>
    <t>yearly yield</t>
  </si>
  <si>
    <t>facade</t>
  </si>
  <si>
    <t>factor</t>
  </si>
  <si>
    <t>facade area</t>
  </si>
  <si>
    <t>total yield</t>
  </si>
  <si>
    <t>rooftop area w/o solar collectors</t>
  </si>
  <si>
    <t>factor of rooftop discount</t>
  </si>
  <si>
    <t>rooftop area of solar PV w/o discount</t>
  </si>
  <si>
    <t>rooftop area of solar PV w discount</t>
  </si>
  <si>
    <t>heat pump SPF</t>
  </si>
  <si>
    <t>kWh/100km</t>
  </si>
  <si>
    <t>urban</t>
  </si>
  <si>
    <t xml:space="preserve">km/person/day </t>
  </si>
  <si>
    <t xml:space="preserve">Declinition </t>
  </si>
  <si>
    <t>ratio of SFH and MFH</t>
  </si>
  <si>
    <t xml:space="preserve">Urban </t>
  </si>
  <si>
    <t>Rural</t>
  </si>
  <si>
    <t>rural</t>
  </si>
  <si>
    <t>km/person/day</t>
  </si>
  <si>
    <t>km/person/day with declination</t>
  </si>
  <si>
    <t xml:space="preserve">SFH average km </t>
  </si>
  <si>
    <t xml:space="preserve">difference </t>
  </si>
  <si>
    <t>MFH average km</t>
  </si>
  <si>
    <t>distribution of difference</t>
  </si>
  <si>
    <t>half of difference</t>
  </si>
  <si>
    <t xml:space="preserve">MFH average km </t>
  </si>
  <si>
    <t>difference</t>
  </si>
  <si>
    <t>days</t>
  </si>
  <si>
    <t>km/year</t>
  </si>
  <si>
    <t>occupancy rate</t>
  </si>
  <si>
    <t>km/year with occupancy rate</t>
  </si>
  <si>
    <t>pp</t>
  </si>
  <si>
    <t>p unit</t>
  </si>
  <si>
    <t xml:space="preserve">km/(person*year) without occupancy rate </t>
  </si>
  <si>
    <t>km/(house unit*year)</t>
  </si>
  <si>
    <t>kWh/(house unit * year)</t>
  </si>
  <si>
    <t xml:space="preserve">kWh/km </t>
  </si>
  <si>
    <t>months</t>
  </si>
  <si>
    <t>People in Mio.</t>
  </si>
  <si>
    <t xml:space="preserve">km/(person*car*year) with occupancy rate </t>
  </si>
  <si>
    <t>people/car</t>
  </si>
  <si>
    <t>New</t>
  </si>
  <si>
    <t>Retrofit</t>
  </si>
  <si>
    <t>Progressive</t>
  </si>
  <si>
    <t>Conservative</t>
  </si>
  <si>
    <t>Urban</t>
  </si>
  <si>
    <t>MFH unit</t>
  </si>
  <si>
    <t>solar yield</t>
  </si>
  <si>
    <t>DHW expense</t>
  </si>
  <si>
    <t>Heat expense</t>
  </si>
  <si>
    <t>Electricity demand</t>
  </si>
  <si>
    <t>Spatial expense</t>
  </si>
  <si>
    <t>adjusted to SPF of heat pump</t>
  </si>
  <si>
    <t>Final Table</t>
  </si>
  <si>
    <t>floor area</t>
  </si>
  <si>
    <t>MFB</t>
  </si>
  <si>
    <t>stories</t>
  </si>
  <si>
    <t>per story</t>
  </si>
  <si>
    <t>each house side</t>
  </si>
  <si>
    <t>rooftop angle</t>
  </si>
  <si>
    <t>roof hypothenuse</t>
  </si>
  <si>
    <t>roof area</t>
  </si>
  <si>
    <t>roof height (ankatete)</t>
  </si>
  <si>
    <t>tan(35)</t>
  </si>
  <si>
    <t>performance ratio</t>
  </si>
  <si>
    <t>Same efficiency as today</t>
  </si>
  <si>
    <t>climate share August</t>
  </si>
  <si>
    <t>climate share June</t>
  </si>
  <si>
    <t>Efficiency: 0.05%/year</t>
  </si>
  <si>
    <t>Efficiency: 0.10%/year</t>
  </si>
  <si>
    <t>Efficiency: 0.15%/year</t>
  </si>
  <si>
    <t>Efficiency: 0.20%/year</t>
  </si>
  <si>
    <t>Efficiency: 0.25%/year</t>
  </si>
  <si>
    <t>Efficiency matters</t>
  </si>
  <si>
    <t>Share facades</t>
  </si>
  <si>
    <t>Share rooftop</t>
  </si>
  <si>
    <t>efficiency in 2050 facade</t>
  </si>
  <si>
    <t>efficiency in 2050 rooftop</t>
  </si>
  <si>
    <t>rooftop to facade efficiency factor:</t>
  </si>
  <si>
    <t>thin film</t>
  </si>
  <si>
    <t xml:space="preserve">thin film </t>
  </si>
  <si>
    <t>efficiency future facade</t>
  </si>
  <si>
    <t>efficiency future rooftop</t>
  </si>
  <si>
    <t>kwh/m2/year facade</t>
  </si>
  <si>
    <t>kwh/m2/year rooftop</t>
  </si>
  <si>
    <t>MNPR</t>
  </si>
  <si>
    <t>kWh/(house unit * month)</t>
  </si>
  <si>
    <t>Inverter efficiency</t>
  </si>
  <si>
    <t>electrolyzer</t>
  </si>
  <si>
    <t>fuel cell</t>
  </si>
  <si>
    <t xml:space="preserve">Efficiencies </t>
  </si>
  <si>
    <t>compression effort</t>
  </si>
  <si>
    <t>round trip</t>
  </si>
  <si>
    <t>Facade</t>
  </si>
  <si>
    <t>L</t>
  </si>
  <si>
    <t>H</t>
  </si>
  <si>
    <t>area</t>
  </si>
  <si>
    <t>share of PV</t>
  </si>
  <si>
    <t>PV area</t>
  </si>
  <si>
    <t>daily</t>
  </si>
  <si>
    <t>required battery (2xdaily need)</t>
  </si>
  <si>
    <t>battery efficiency</t>
  </si>
  <si>
    <t>heat pump SPF of retrofitted houses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</si>
  <si>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</si>
  <si>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</si>
  <si>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</si>
  <si>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</si>
  <si>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</si>
  <si>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</si>
  <si>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</si>
  <si>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</si>
  <si>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</si>
  <si>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</si>
  <si>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</si>
  <si>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</si>
  <si>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</si>
  <si>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discount rate</t>
  </si>
  <si>
    <t>LCOE</t>
  </si>
  <si>
    <t>LCOE over a time period of _ years</t>
  </si>
  <si>
    <t>CHF/kWh</t>
  </si>
  <si>
    <t>sum</t>
  </si>
  <si>
    <t>withouth SPF (for conventional heating)</t>
  </si>
  <si>
    <t>Expenditures</t>
  </si>
  <si>
    <t>kWh</t>
  </si>
  <si>
    <t>Conventional building</t>
  </si>
  <si>
    <t>SFB</t>
  </si>
  <si>
    <t>D1</t>
  </si>
  <si>
    <t>D2</t>
  </si>
  <si>
    <t>D3</t>
  </si>
  <si>
    <t>D4</t>
  </si>
  <si>
    <t>rooftop PV investment [CHF/m2]</t>
  </si>
  <si>
    <t>rooftop area SFH [m2]</t>
  </si>
  <si>
    <t>rooftop area MFH [m2]</t>
  </si>
  <si>
    <t>costs rooftop PV SFH</t>
  </si>
  <si>
    <t>costs rooftop PV MFH</t>
  </si>
  <si>
    <t>facade PV investment [CHF/m2]</t>
  </si>
  <si>
    <t>facade area SFH [m2]</t>
  </si>
  <si>
    <t>facade area MFH [m2]</t>
  </si>
  <si>
    <t>costs facade PV SFH</t>
  </si>
  <si>
    <t>costs facade PV MFH</t>
  </si>
  <si>
    <t>Battery</t>
  </si>
  <si>
    <t>Required Battery [kWh] - each individual case is different</t>
  </si>
  <si>
    <t>STORAGE</t>
  </si>
  <si>
    <t>Costs per kWh [CHF/kWh]</t>
  </si>
  <si>
    <t>O&amp;M per kWh [CHF/kWh]</t>
  </si>
  <si>
    <t>Electricity production SFH [kWh]</t>
  </si>
  <si>
    <t>Electricity production MFH [kWh]</t>
  </si>
  <si>
    <t>kW</t>
  </si>
  <si>
    <t>Electrolyzer</t>
  </si>
  <si>
    <t>Storage</t>
  </si>
  <si>
    <t>total costs</t>
  </si>
  <si>
    <t>euros/kW</t>
  </si>
  <si>
    <t>euros/kg</t>
  </si>
  <si>
    <t>Compressor</t>
  </si>
  <si>
    <t>O&amp;M  (%)</t>
  </si>
  <si>
    <t>O&amp;M /year</t>
  </si>
  <si>
    <t>Fuel Cell</t>
  </si>
  <si>
    <t>BOS (% of capital costs)</t>
  </si>
  <si>
    <t>O&amp;M/year</t>
  </si>
  <si>
    <t>O&amp;M (%)</t>
  </si>
  <si>
    <t>tons</t>
  </si>
  <si>
    <t>Grosspietsch</t>
  </si>
  <si>
    <t>Beccali</t>
  </si>
  <si>
    <t>source</t>
  </si>
  <si>
    <t>Storage tank</t>
  </si>
  <si>
    <t>Beccalli values: (backup)</t>
  </si>
  <si>
    <t>Zoulias [inflation adjusted]</t>
  </si>
  <si>
    <t>heat pump O&amp;M [CHF/year]</t>
  </si>
  <si>
    <t>heat pump investment [CHF] - MFH</t>
  </si>
  <si>
    <t>heat pump investment [CHF] - SFH</t>
  </si>
  <si>
    <t>O&amp;M costs [CHF/kWh]</t>
  </si>
  <si>
    <t>Battery O&amp;M</t>
  </si>
  <si>
    <t>Battery capital costs</t>
  </si>
  <si>
    <t>CHF</t>
  </si>
  <si>
    <t>hardware</t>
  </si>
  <si>
    <t>reduction in 2050</t>
  </si>
  <si>
    <t>2050 price</t>
  </si>
  <si>
    <t>Hardware costs (just once per battery system) [CHF]</t>
  </si>
  <si>
    <t>battery pack costs [CHF]</t>
  </si>
  <si>
    <t>Total battery capital costs [CHF]</t>
  </si>
  <si>
    <t>Lifetime [years]</t>
  </si>
  <si>
    <t>kW Brütten</t>
  </si>
  <si>
    <t>kW SFB</t>
  </si>
  <si>
    <t>kW MFB</t>
  </si>
  <si>
    <t>equation</t>
  </si>
  <si>
    <t>TOTAL capital costs without inflation</t>
  </si>
  <si>
    <t>TOTAL capital costs with inflation and € to CHF</t>
  </si>
  <si>
    <t>€ to CHF (https://www.finanzen.ch/waehrungsrechner/euro-schweizer-franken)</t>
  </si>
  <si>
    <t>inflation in europe: https://de.inflation.eu/inflationsraten/europa/historische-inflation/hvpi-inflation-europa.aspx</t>
  </si>
  <si>
    <t>storage tank</t>
  </si>
  <si>
    <t xml:space="preserve">cost reduction </t>
  </si>
  <si>
    <t xml:space="preserve">Electricity production </t>
  </si>
  <si>
    <t>Lifetime of PV (rooftop and facade) [years]</t>
  </si>
  <si>
    <t>O&amp;M costs [CHF] - MFH [CHF]</t>
  </si>
  <si>
    <t>O&amp;M costs [CHF] - SFH [CHF]</t>
  </si>
  <si>
    <t>Lifetime of heat pumps [years]</t>
  </si>
  <si>
    <t>SUM</t>
  </si>
  <si>
    <t xml:space="preserve">Lifetime </t>
  </si>
  <si>
    <t>O&amp;M GROSSPIETSCH:</t>
  </si>
  <si>
    <t>Lifetime</t>
  </si>
  <si>
    <t>battery factor</t>
  </si>
  <si>
    <t>MFH new</t>
  </si>
  <si>
    <t>SFH retro</t>
  </si>
  <si>
    <t>MFH retro</t>
  </si>
  <si>
    <t>SFH new</t>
  </si>
  <si>
    <t>SFH retrofitted</t>
  </si>
  <si>
    <t>MFH retrofitted</t>
  </si>
  <si>
    <t>Efficiency: 0.17%/year</t>
  </si>
  <si>
    <t>V</t>
  </si>
  <si>
    <t>T</t>
  </si>
  <si>
    <t>Rs</t>
  </si>
  <si>
    <t>price</t>
  </si>
  <si>
    <t>m [kg]</t>
  </si>
  <si>
    <t>p</t>
  </si>
  <si>
    <t>kg</t>
  </si>
  <si>
    <t>kwh/kg</t>
  </si>
  <si>
    <t>requiered storage volume:</t>
  </si>
  <si>
    <t>new SFB</t>
  </si>
  <si>
    <t>$/m3</t>
  </si>
  <si>
    <t>Capital</t>
  </si>
  <si>
    <t>BOS</t>
  </si>
  <si>
    <t>O&amp;M</t>
  </si>
  <si>
    <t>price/kW</t>
  </si>
  <si>
    <t>total capital costs</t>
  </si>
  <si>
    <t>% of capital costs</t>
  </si>
  <si>
    <t>Storage tank factor</t>
  </si>
  <si>
    <t>Price based on "h2 tank"</t>
  </si>
  <si>
    <t>Assumption:</t>
  </si>
  <si>
    <t>SFB -&gt; only two stories and not three -&gt; rooftop area increases!</t>
  </si>
  <si>
    <t>Installation cost per system [CHF]</t>
  </si>
  <si>
    <t>Yearly net energy</t>
  </si>
  <si>
    <t>electric energy needed in one year</t>
  </si>
  <si>
    <t>required energy production; total (with considering hydrogen)</t>
  </si>
  <si>
    <t>Investment costs for storage:</t>
  </si>
  <si>
    <t>Share of whole costs</t>
  </si>
  <si>
    <t>factor:</t>
  </si>
  <si>
    <t>rooftop area of solar collectors</t>
  </si>
  <si>
    <t>average [kWh/(m2*year)]</t>
  </si>
  <si>
    <t>mono cr-Si</t>
  </si>
  <si>
    <t>Fuel cell</t>
  </si>
  <si>
    <t>PV price</t>
  </si>
  <si>
    <t>Discount rate</t>
  </si>
  <si>
    <t>MNPU</t>
  </si>
  <si>
    <t>MNCU</t>
  </si>
  <si>
    <t>MNCR</t>
  </si>
  <si>
    <t>MRPU</t>
  </si>
  <si>
    <t>MRPR</t>
  </si>
  <si>
    <t>MRCU</t>
  </si>
  <si>
    <t>MRCR</t>
  </si>
  <si>
    <t>kWh demanded in total</t>
  </si>
  <si>
    <t xml:space="preserve">heat pump price </t>
  </si>
  <si>
    <t>scarce</t>
  </si>
  <si>
    <t>abundant</t>
  </si>
  <si>
    <t>Expenditures same values as with alternative cases</t>
  </si>
  <si>
    <t xml:space="preserve"> SNPU</t>
  </si>
  <si>
    <t xml:space="preserve"> SNPR</t>
  </si>
  <si>
    <t xml:space="preserve"> SNCU</t>
  </si>
  <si>
    <t xml:space="preserve"> SNCR</t>
  </si>
  <si>
    <t xml:space="preserve"> SRPU</t>
  </si>
  <si>
    <t xml:space="preserve"> SRPR</t>
  </si>
  <si>
    <t xml:space="preserve"> SRCU</t>
  </si>
  <si>
    <t xml:space="preserve"> SRCR</t>
  </si>
  <si>
    <t>Formula:</t>
  </si>
  <si>
    <t>Real:</t>
  </si>
  <si>
    <t>w/o Batt</t>
  </si>
  <si>
    <t>Income</t>
  </si>
  <si>
    <t xml:space="preserve">Abundant electricity </t>
  </si>
  <si>
    <t>Scarce electricity</t>
  </si>
  <si>
    <t>Case X - Production</t>
  </si>
  <si>
    <t>Case X -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</si>
</sst>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" fillId="0" borderId="0" xfId="0" applyFont="1"/>
    <xf numFmtId="1" fontId="0" fillId="0" borderId="0" xfId="1" applyNumberFormat="1" applyFont="1"/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1" fontId="1" fillId="3" borderId="0" xfId="0" applyNumberFormat="1" applyFont="1" applyFill="1" applyAlignment="1">
      <alignment horizontal="justify" vertical="center" wrapText="1"/>
    </xf>
    <xf numFmtId="1" fontId="1" fillId="3" borderId="6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1" fontId="1" fillId="3" borderId="8" xfId="0" applyNumberFormat="1" applyFont="1" applyFill="1" applyBorder="1" applyAlignment="1">
      <alignment horizontal="justify" vertical="center" wrapText="1"/>
    </xf>
    <xf numFmtId="1" fontId="1" fillId="3" borderId="9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23" xfId="0" applyBorder="1"/>
    <xf numFmtId="0" fontId="2" fillId="3" borderId="24" xfId="0" applyFont="1" applyFill="1" applyBorder="1" applyAlignment="1">
      <alignment horizontal="justify"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1" fillId="0" borderId="12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3" xfId="0" applyFont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2" fillId="0" borderId="10" xfId="0" applyFont="1" applyBorder="1"/>
    <xf numFmtId="0" fontId="1" fillId="0" borderId="16" xfId="0" applyFont="1" applyBorder="1"/>
    <xf numFmtId="1" fontId="1" fillId="8" borderId="6" xfId="0" applyNumberFormat="1" applyFont="1" applyFill="1" applyBorder="1"/>
    <xf numFmtId="1" fontId="1" fillId="0" borderId="0" xfId="0" applyNumberFormat="1" applyFont="1"/>
    <xf numFmtId="0" fontId="1" fillId="8" borderId="6" xfId="0" applyFont="1" applyFill="1" applyBorder="1"/>
    <xf numFmtId="0" fontId="1" fillId="8" borderId="0" xfId="0" applyFont="1" applyFill="1"/>
    <xf numFmtId="0" fontId="2" fillId="0" borderId="0" xfId="0" applyFont="1"/>
    <xf numFmtId="0" fontId="2" fillId="0" borderId="6" xfId="0" applyFont="1" applyBorder="1"/>
    <xf numFmtId="1" fontId="2" fillId="0" borderId="0" xfId="0" applyNumberFormat="1" applyFont="1"/>
    <xf numFmtId="0" fontId="2" fillId="0" borderId="14" xfId="0" applyFont="1" applyBorder="1"/>
    <xf numFmtId="0" fontId="2" fillId="0" borderId="8" xfId="0" applyFont="1" applyBorder="1"/>
    <xf numFmtId="1" fontId="1" fillId="3" borderId="0" xfId="0" applyNumberFormat="1" applyFont="1" applyFill="1"/>
    <xf numFmtId="1" fontId="1" fillId="3" borderId="6" xfId="0" applyNumberFormat="1" applyFont="1" applyFill="1" applyBorder="1"/>
    <xf numFmtId="1" fontId="1" fillId="3" borderId="8" xfId="0" applyNumberFormat="1" applyFont="1" applyFill="1" applyBorder="1"/>
    <xf numFmtId="1" fontId="1" fillId="3" borderId="9" xfId="0" applyNumberFormat="1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4" borderId="11" xfId="0" applyFont="1" applyFill="1" applyBorder="1"/>
    <xf numFmtId="0" fontId="1" fillId="4" borderId="12" xfId="0" quotePrefix="1" applyFont="1" applyFill="1" applyBorder="1"/>
    <xf numFmtId="0" fontId="1" fillId="4" borderId="13" xfId="0" applyFont="1" applyFill="1" applyBorder="1"/>
    <xf numFmtId="0" fontId="1" fillId="4" borderId="0" xfId="0" applyFont="1" applyFill="1"/>
    <xf numFmtId="0" fontId="1" fillId="4" borderId="6" xfId="0" quotePrefix="1" applyFont="1" applyFill="1" applyBorder="1"/>
    <xf numFmtId="0" fontId="1" fillId="4" borderId="14" xfId="0" applyFont="1" applyFill="1" applyBorder="1"/>
    <xf numFmtId="0" fontId="1" fillId="4" borderId="8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1" fillId="8" borderId="10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1" fillId="8" borderId="9" xfId="0" applyFont="1" applyFill="1" applyBorder="1"/>
    <xf numFmtId="0" fontId="1" fillId="2" borderId="6" xfId="0" applyFont="1" applyFill="1" applyBorder="1"/>
    <xf numFmtId="0" fontId="1" fillId="4" borderId="10" xfId="0" applyFont="1" applyFill="1" applyBorder="1"/>
    <xf numFmtId="0" fontId="1" fillId="0" borderId="23" xfId="0" applyFont="1" applyBorder="1"/>
    <xf numFmtId="0" fontId="1" fillId="0" borderId="15" xfId="0" applyFont="1" applyBorder="1"/>
    <xf numFmtId="0" fontId="1" fillId="8" borderId="18" xfId="0" applyFont="1" applyFill="1" applyBorder="1"/>
    <xf numFmtId="1" fontId="1" fillId="0" borderId="6" xfId="0" applyNumberFormat="1" applyFont="1" applyBorder="1"/>
    <xf numFmtId="1" fontId="1" fillId="0" borderId="13" xfId="0" applyNumberFormat="1" applyFont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8" borderId="0" xfId="0" applyNumberFormat="1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164" fontId="1" fillId="3" borderId="6" xfId="0" applyNumberFormat="1" applyFont="1" applyFill="1" applyBorder="1"/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1" fontId="1" fillId="5" borderId="10" xfId="0" applyNumberFormat="1" applyFont="1" applyFill="1" applyBorder="1"/>
    <xf numFmtId="1" fontId="1" fillId="5" borderId="11" xfId="0" applyNumberFormat="1" applyFont="1" applyFill="1" applyBorder="1"/>
    <xf numFmtId="1" fontId="1" fillId="5" borderId="12" xfId="0" applyNumberFormat="1" applyFont="1" applyFill="1" applyBorder="1"/>
    <xf numFmtId="1" fontId="1" fillId="5" borderId="13" xfId="0" applyNumberFormat="1" applyFont="1" applyFill="1" applyBorder="1"/>
    <xf numFmtId="1" fontId="1" fillId="5" borderId="0" xfId="0" applyNumberFormat="1" applyFont="1" applyFill="1"/>
    <xf numFmtId="1" fontId="1" fillId="5" borderId="6" xfId="0" applyNumberFormat="1" applyFont="1" applyFill="1" applyBorder="1"/>
    <xf numFmtId="0" fontId="1" fillId="5" borderId="13" xfId="0" applyFont="1" applyFill="1" applyBorder="1"/>
    <xf numFmtId="0" fontId="1" fillId="5" borderId="0" xfId="0" applyFont="1" applyFill="1"/>
    <xf numFmtId="0" fontId="1" fillId="5" borderId="6" xfId="0" applyFont="1" applyFill="1" applyBorder="1"/>
    <xf numFmtId="1" fontId="1" fillId="7" borderId="14" xfId="0" applyNumberFormat="1" applyFont="1" applyFill="1" applyBorder="1"/>
    <xf numFmtId="1" fontId="1" fillId="7" borderId="8" xfId="0" applyNumberFormat="1" applyFont="1" applyFill="1" applyBorder="1"/>
    <xf numFmtId="1" fontId="1" fillId="7" borderId="9" xfId="0" applyNumberFormat="1" applyFont="1" applyFill="1" applyBorder="1"/>
    <xf numFmtId="1" fontId="1" fillId="4" borderId="10" xfId="0" applyNumberFormat="1" applyFont="1" applyFill="1" applyBorder="1"/>
    <xf numFmtId="1" fontId="1" fillId="4" borderId="11" xfId="0" applyNumberFormat="1" applyFont="1" applyFill="1" applyBorder="1"/>
    <xf numFmtId="1" fontId="1" fillId="4" borderId="12" xfId="0" applyNumberFormat="1" applyFont="1" applyFill="1" applyBorder="1"/>
    <xf numFmtId="1" fontId="1" fillId="4" borderId="13" xfId="0" applyNumberFormat="1" applyFont="1" applyFill="1" applyBorder="1"/>
    <xf numFmtId="1" fontId="1" fillId="4" borderId="0" xfId="0" applyNumberFormat="1" applyFont="1" applyFill="1"/>
    <xf numFmtId="1" fontId="1" fillId="4" borderId="6" xfId="0" applyNumberFormat="1" applyFont="1" applyFill="1" applyBorder="1"/>
    <xf numFmtId="0" fontId="1" fillId="4" borderId="6" xfId="0" applyFont="1" applyFill="1" applyBorder="1"/>
    <xf numFmtId="1" fontId="1" fillId="6" borderId="14" xfId="0" applyNumberFormat="1" applyFont="1" applyFill="1" applyBorder="1"/>
    <xf numFmtId="1" fontId="1" fillId="6" borderId="8" xfId="0" applyNumberFormat="1" applyFont="1" applyFill="1" applyBorder="1"/>
    <xf numFmtId="1" fontId="1" fillId="6" borderId="9" xfId="0" applyNumberFormat="1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6" borderId="21" xfId="0" applyFont="1" applyFill="1" applyBorder="1"/>
    <xf numFmtId="0" fontId="1" fillId="10" borderId="0" xfId="0" applyFont="1" applyFill="1"/>
    <xf numFmtId="1" fontId="1" fillId="10" borderId="0" xfId="0" applyNumberFormat="1" applyFont="1" applyFill="1"/>
    <xf numFmtId="0" fontId="0" fillId="10" borderId="0" xfId="0" applyFill="1"/>
    <xf numFmtId="1" fontId="0" fillId="10" borderId="0" xfId="0" applyNumberFormat="1" applyFill="1"/>
    <xf numFmtId="1" fontId="1" fillId="11" borderId="11" xfId="0" applyNumberFormat="1" applyFont="1" applyFill="1" applyBorder="1"/>
    <xf numFmtId="1" fontId="1" fillId="11" borderId="12" xfId="0" applyNumberFormat="1" applyFont="1" applyFill="1" applyBorder="1"/>
    <xf numFmtId="0" fontId="1" fillId="11" borderId="0" xfId="0" applyFont="1" applyFill="1"/>
    <xf numFmtId="0" fontId="1" fillId="11" borderId="6" xfId="0" applyFont="1" applyFill="1" applyBorder="1"/>
    <xf numFmtId="0" fontId="1" fillId="11" borderId="11" xfId="0" applyFont="1" applyFill="1" applyBorder="1"/>
    <xf numFmtId="0" fontId="1" fillId="11" borderId="12" xfId="0" applyFont="1" applyFill="1" applyBorder="1"/>
    <xf numFmtId="0" fontId="1" fillId="11" borderId="8" xfId="0" applyFont="1" applyFill="1" applyBorder="1"/>
    <xf numFmtId="0" fontId="1" fillId="11" borderId="9" xfId="0" applyFont="1" applyFill="1" applyBorder="1"/>
    <xf numFmtId="1" fontId="1" fillId="11" borderId="8" xfId="0" applyNumberFormat="1" applyFont="1" applyFill="1" applyBorder="1"/>
    <xf numFmtId="165" fontId="1" fillId="11" borderId="8" xfId="0" applyNumberFormat="1" applyFont="1" applyFill="1" applyBorder="1"/>
    <xf numFmtId="1" fontId="1" fillId="11" borderId="9" xfId="0" applyNumberFormat="1" applyFont="1" applyFill="1" applyBorder="1"/>
    <xf numFmtId="0" fontId="1" fillId="11" borderId="13" xfId="0" applyFont="1" applyFill="1" applyBorder="1"/>
    <xf numFmtId="0" fontId="1" fillId="11" borderId="10" xfId="0" applyFont="1" applyFill="1" applyBorder="1"/>
    <xf numFmtId="0" fontId="1" fillId="11" borderId="14" xfId="0" applyFont="1" applyFill="1" applyBorder="1"/>
    <xf numFmtId="1" fontId="1" fillId="11" borderId="10" xfId="0" applyNumberFormat="1" applyFont="1" applyFill="1" applyBorder="1"/>
    <xf numFmtId="1" fontId="1" fillId="11" borderId="14" xfId="0" applyNumberFormat="1" applyFont="1" applyFill="1" applyBorder="1"/>
    <xf numFmtId="0" fontId="1" fillId="0" borderId="0" xfId="0" applyFont="1" applyAlignment="1">
      <alignment horizontal="center"/>
    </xf>
    <xf numFmtId="2" fontId="1" fillId="0" borderId="6" xfId="0" applyNumberFormat="1" applyFont="1" applyBorder="1"/>
    <xf numFmtId="0" fontId="1" fillId="10" borderId="10" xfId="0" applyFont="1" applyFill="1" applyBorder="1"/>
    <xf numFmtId="0" fontId="1" fillId="10" borderId="11" xfId="0" applyFont="1" applyFill="1" applyBorder="1"/>
    <xf numFmtId="0" fontId="1" fillId="10" borderId="13" xfId="0" applyFont="1" applyFill="1" applyBorder="1"/>
    <xf numFmtId="1" fontId="1" fillId="10" borderId="8" xfId="0" applyNumberFormat="1" applyFont="1" applyFill="1" applyBorder="1"/>
    <xf numFmtId="0" fontId="2" fillId="11" borderId="0" xfId="0" applyFont="1" applyFill="1"/>
    <xf numFmtId="0" fontId="0" fillId="11" borderId="12" xfId="0" applyFill="1" applyBorder="1"/>
    <xf numFmtId="0" fontId="2" fillId="11" borderId="14" xfId="0" applyFont="1" applyFill="1" applyBorder="1"/>
    <xf numFmtId="0" fontId="2" fillId="11" borderId="8" xfId="0" applyFont="1" applyFill="1" applyBorder="1"/>
    <xf numFmtId="0" fontId="0" fillId="11" borderId="9" xfId="0" applyFill="1" applyBorder="1"/>
    <xf numFmtId="0" fontId="1" fillId="11" borderId="11" xfId="0" applyFont="1" applyFill="1" applyBorder="1" applyAlignment="1">
      <alignment horizontal="justify" vertical="center" wrapText="1"/>
    </xf>
    <xf numFmtId="0" fontId="2" fillId="11" borderId="12" xfId="0" applyFont="1" applyFill="1" applyBorder="1" applyAlignment="1">
      <alignment horizontal="justify" vertical="center" wrapText="1"/>
    </xf>
    <xf numFmtId="0" fontId="1" fillId="11" borderId="0" xfId="0" applyFont="1" applyFill="1" applyAlignment="1">
      <alignment horizontal="justify" vertical="center" wrapText="1"/>
    </xf>
    <xf numFmtId="0" fontId="2" fillId="11" borderId="6" xfId="0" applyFont="1" applyFill="1" applyBorder="1" applyAlignment="1">
      <alignment horizontal="justify" vertical="center" wrapText="1"/>
    </xf>
    <xf numFmtId="0" fontId="2" fillId="11" borderId="6" xfId="0" applyFont="1" applyFill="1" applyBorder="1"/>
    <xf numFmtId="164" fontId="1" fillId="11" borderId="0" xfId="0" applyNumberFormat="1" applyFont="1" applyFill="1"/>
    <xf numFmtId="0" fontId="2" fillId="11" borderId="27" xfId="0" applyFont="1" applyFill="1" applyBorder="1"/>
    <xf numFmtId="0" fontId="1" fillId="11" borderId="28" xfId="0" applyFont="1" applyFill="1" applyBorder="1"/>
    <xf numFmtId="0" fontId="1" fillId="11" borderId="29" xfId="0" applyFont="1" applyFill="1" applyBorder="1"/>
    <xf numFmtId="0" fontId="5" fillId="11" borderId="10" xfId="0" applyFont="1" applyFill="1" applyBorder="1" applyAlignment="1">
      <alignment horizontal="justify" vertical="center" wrapText="1"/>
    </xf>
    <xf numFmtId="0" fontId="6" fillId="11" borderId="11" xfId="0" applyFont="1" applyFill="1" applyBorder="1" applyAlignment="1">
      <alignment horizontal="justify" vertical="center" wrapText="1"/>
    </xf>
    <xf numFmtId="10" fontId="7" fillId="11" borderId="11" xfId="0" applyNumberFormat="1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vertical="top" wrapText="1"/>
    </xf>
    <xf numFmtId="3" fontId="6" fillId="11" borderId="0" xfId="0" applyNumberFormat="1" applyFont="1" applyFill="1" applyAlignment="1">
      <alignment vertical="center" wrapText="1"/>
    </xf>
    <xf numFmtId="10" fontId="7" fillId="11" borderId="0" xfId="0" applyNumberFormat="1" applyFont="1" applyFill="1" applyAlignment="1">
      <alignment vertical="center" wrapText="1"/>
    </xf>
    <xf numFmtId="0" fontId="6" fillId="11" borderId="13" xfId="0" applyFont="1" applyFill="1" applyBorder="1" applyAlignment="1">
      <alignment horizontal="justify" vertical="center" wrapText="1"/>
    </xf>
    <xf numFmtId="0" fontId="6" fillId="11" borderId="0" xfId="0" applyFont="1" applyFill="1" applyAlignment="1">
      <alignment horizontal="justify" vertical="center" wrapText="1"/>
    </xf>
    <xf numFmtId="0" fontId="1" fillId="11" borderId="16" xfId="0" applyFont="1" applyFill="1" applyBorder="1"/>
    <xf numFmtId="0" fontId="1" fillId="11" borderId="18" xfId="0" applyFont="1" applyFill="1" applyBorder="1"/>
    <xf numFmtId="164" fontId="1" fillId="11" borderId="6" xfId="0" applyNumberFormat="1" applyFont="1" applyFill="1" applyBorder="1"/>
    <xf numFmtId="164" fontId="1" fillId="11" borderId="9" xfId="0" applyNumberFormat="1" applyFont="1" applyFill="1" applyBorder="1"/>
    <xf numFmtId="164" fontId="1" fillId="11" borderId="8" xfId="0" applyNumberFormat="1" applyFont="1" applyFill="1" applyBorder="1"/>
    <xf numFmtId="166" fontId="1" fillId="11" borderId="8" xfId="0" applyNumberFormat="1" applyFont="1" applyFill="1" applyBorder="1"/>
    <xf numFmtId="0" fontId="2" fillId="11" borderId="10" xfId="0" applyFont="1" applyFill="1" applyBorder="1"/>
    <xf numFmtId="0" fontId="2" fillId="11" borderId="9" xfId="0" applyFont="1" applyFill="1" applyBorder="1"/>
    <xf numFmtId="0" fontId="1" fillId="11" borderId="22" xfId="0" applyFont="1" applyFill="1" applyBorder="1"/>
    <xf numFmtId="0" fontId="1" fillId="11" borderId="23" xfId="0" applyFont="1" applyFill="1" applyBorder="1"/>
    <xf numFmtId="0" fontId="1" fillId="11" borderId="26" xfId="0" applyFont="1" applyFill="1" applyBorder="1"/>
    <xf numFmtId="167" fontId="1" fillId="11" borderId="14" xfId="0" applyNumberFormat="1" applyFont="1" applyFill="1" applyBorder="1"/>
    <xf numFmtId="0" fontId="2" fillId="11" borderId="11" xfId="0" applyFont="1" applyFill="1" applyBorder="1"/>
    <xf numFmtId="1" fontId="1" fillId="12" borderId="0" xfId="0" applyNumberFormat="1" applyFont="1" applyFill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9" fillId="0" borderId="0" xfId="2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Border="1"/>
    <xf numFmtId="1" fontId="1" fillId="0" borderId="0" xfId="0" applyNumberFormat="1" applyFont="1" applyBorder="1"/>
    <xf numFmtId="0" fontId="1" fillId="9" borderId="6" xfId="0" applyFont="1" applyFill="1" applyBorder="1"/>
    <xf numFmtId="0" fontId="1" fillId="2" borderId="0" xfId="0" applyFont="1" applyFill="1" applyBorder="1" applyAlignment="1">
      <alignment horizontal="center" vertical="top"/>
    </xf>
    <xf numFmtId="0" fontId="1" fillId="11" borderId="0" xfId="0" applyFont="1" applyFill="1" applyBorder="1"/>
    <xf numFmtId="0" fontId="1" fillId="11" borderId="0" xfId="0" applyFont="1" applyFill="1" applyBorder="1" applyAlignment="1">
      <alignment horizontal="center"/>
    </xf>
    <xf numFmtId="0" fontId="1" fillId="10" borderId="0" xfId="0" applyFont="1" applyFill="1" applyBorder="1"/>
    <xf numFmtId="0" fontId="0" fillId="10" borderId="13" xfId="0" applyFill="1" applyBorder="1"/>
    <xf numFmtId="0" fontId="0" fillId="10" borderId="0" xfId="0" applyFill="1" applyBorder="1"/>
    <xf numFmtId="0" fontId="0" fillId="10" borderId="6" xfId="0" applyFill="1" applyBorder="1"/>
    <xf numFmtId="1" fontId="0" fillId="10" borderId="0" xfId="0" applyNumberFormat="1" applyFill="1" applyBorder="1"/>
    <xf numFmtId="1" fontId="0" fillId="4" borderId="13" xfId="0" applyNumberFormat="1" applyFill="1" applyBorder="1"/>
    <xf numFmtId="1" fontId="0" fillId="4" borderId="0" xfId="0" applyNumberFormat="1" applyFill="1" applyBorder="1"/>
    <xf numFmtId="1" fontId="0" fillId="5" borderId="0" xfId="0" applyNumberFormat="1" applyFill="1" applyBorder="1"/>
    <xf numFmtId="1" fontId="0" fillId="5" borderId="6" xfId="0" applyNumberFormat="1" applyFill="1" applyBorder="1"/>
    <xf numFmtId="1" fontId="0" fillId="13" borderId="14" xfId="0" applyNumberFormat="1" applyFill="1" applyBorder="1"/>
    <xf numFmtId="1" fontId="0" fillId="13" borderId="8" xfId="0" applyNumberFormat="1" applyFill="1" applyBorder="1"/>
    <xf numFmtId="1" fontId="0" fillId="10" borderId="8" xfId="0" applyNumberFormat="1" applyFill="1" applyBorder="1"/>
    <xf numFmtId="1" fontId="0" fillId="7" borderId="8" xfId="0" applyNumberFormat="1" applyFill="1" applyBorder="1"/>
    <xf numFmtId="1" fontId="0" fillId="7" borderId="9" xfId="0" applyNumberFormat="1" applyFill="1" applyBorder="1"/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1" fontId="1" fillId="10" borderId="11" xfId="0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3C11-07B6-4FB9-961C-62F18CAE6AF3}">
  <dimension ref="A1:AX42"/>
  <sheetViews>
    <sheetView workbookViewId="0">
      <selection activeCell="J25" sqref="J25"/>
    </sheetView>
  </sheetViews>
  <sheetFormatPr defaultRowHeight="14.4" x14ac:dyDescent="0.3"/>
  <cols>
    <col min="6" max="6" width="21.77734375" customWidth="1"/>
  </cols>
  <sheetData>
    <row r="1" spans="1:43" x14ac:dyDescent="0.3">
      <c r="A1" s="7"/>
      <c r="B1" s="180"/>
      <c r="C1" s="180"/>
      <c r="D1" s="180"/>
      <c r="E1" s="180"/>
      <c r="F1" s="18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43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x14ac:dyDescent="0.3">
      <c r="A3" s="7"/>
      <c r="B3" s="128" t="s">
        <v>96</v>
      </c>
      <c r="C3" s="120"/>
      <c r="D3" s="120"/>
      <c r="E3" s="139"/>
      <c r="F3" s="128"/>
      <c r="G3" s="143">
        <v>8</v>
      </c>
      <c r="H3" s="144">
        <v>11</v>
      </c>
      <c r="I3" s="3"/>
      <c r="J3" s="182" t="s">
        <v>97</v>
      </c>
      <c r="K3" s="183"/>
      <c r="L3" s="184"/>
      <c r="M3" s="3"/>
      <c r="N3" s="128"/>
      <c r="O3" s="120" t="s">
        <v>168</v>
      </c>
      <c r="P3" s="121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15" thickBot="1" x14ac:dyDescent="0.35">
      <c r="A4" s="7"/>
      <c r="B4" s="140" t="s">
        <v>46</v>
      </c>
      <c r="C4" s="141">
        <v>3.5</v>
      </c>
      <c r="D4" s="122"/>
      <c r="E4" s="142"/>
      <c r="F4" s="127"/>
      <c r="G4" s="145">
        <v>11.8</v>
      </c>
      <c r="H4" s="146">
        <v>23</v>
      </c>
      <c r="J4" s="33"/>
      <c r="K4" s="34" t="s">
        <v>25</v>
      </c>
      <c r="L4" s="35" t="s">
        <v>90</v>
      </c>
      <c r="N4" s="127"/>
      <c r="O4" s="118" t="s">
        <v>169</v>
      </c>
      <c r="P4" s="119" t="s">
        <v>99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x14ac:dyDescent="0.3">
      <c r="A5" s="7"/>
      <c r="B5" s="24"/>
      <c r="C5" s="7"/>
      <c r="D5" s="7"/>
      <c r="F5" s="127"/>
      <c r="G5" s="145">
        <v>23.8</v>
      </c>
      <c r="H5" s="119"/>
      <c r="J5" s="33" t="s">
        <v>21</v>
      </c>
      <c r="K5" s="49">
        <f>O5/$C$4</f>
        <v>51.904761904761905</v>
      </c>
      <c r="L5" s="50">
        <f t="shared" ref="L5:L16" si="0">P5/$C$4</f>
        <v>270</v>
      </c>
      <c r="N5" s="127" t="s">
        <v>147</v>
      </c>
      <c r="O5" s="118">
        <f t="shared" ref="O5:O16" si="1">$G$17</f>
        <v>181.66666666666666</v>
      </c>
      <c r="P5" s="119">
        <f t="shared" ref="P5:P16" si="2">$H$17</f>
        <v>945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x14ac:dyDescent="0.3">
      <c r="A6" s="7"/>
      <c r="B6" s="24"/>
      <c r="C6" s="7"/>
      <c r="D6" s="7"/>
      <c r="F6" s="127"/>
      <c r="G6" s="145">
        <v>15.2</v>
      </c>
      <c r="H6" s="119"/>
      <c r="J6" s="33" t="s">
        <v>1</v>
      </c>
      <c r="K6" s="49">
        <f t="shared" ref="K6:K16" si="3">O6/$C$4</f>
        <v>51.904761904761905</v>
      </c>
      <c r="L6" s="50">
        <f t="shared" si="0"/>
        <v>270</v>
      </c>
      <c r="N6" s="127" t="s">
        <v>148</v>
      </c>
      <c r="O6" s="118">
        <f t="shared" si="1"/>
        <v>181.66666666666666</v>
      </c>
      <c r="P6" s="119">
        <f t="shared" si="2"/>
        <v>945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x14ac:dyDescent="0.3">
      <c r="A7" s="7"/>
      <c r="B7" s="24"/>
      <c r="C7" s="7"/>
      <c r="D7" s="7"/>
      <c r="F7" s="127" t="s">
        <v>281</v>
      </c>
      <c r="G7" s="118">
        <f>AVERAGE(G3:G6)</f>
        <v>14.7</v>
      </c>
      <c r="H7" s="119">
        <f>AVERAGE(H3:H4)</f>
        <v>17</v>
      </c>
      <c r="J7" s="33" t="s">
        <v>2</v>
      </c>
      <c r="K7" s="49">
        <f t="shared" si="3"/>
        <v>51.904761904761905</v>
      </c>
      <c r="L7" s="50">
        <f t="shared" si="0"/>
        <v>270</v>
      </c>
      <c r="N7" s="127" t="s">
        <v>149</v>
      </c>
      <c r="O7" s="118">
        <f t="shared" si="1"/>
        <v>181.66666666666666</v>
      </c>
      <c r="P7" s="119">
        <f t="shared" si="2"/>
        <v>945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x14ac:dyDescent="0.3">
      <c r="A8" s="7"/>
      <c r="B8" s="24"/>
      <c r="C8" s="7"/>
      <c r="D8" s="7"/>
      <c r="F8" s="127"/>
      <c r="G8" s="118"/>
      <c r="H8" s="119"/>
      <c r="J8" s="33" t="s">
        <v>3</v>
      </c>
      <c r="K8" s="49">
        <f t="shared" si="3"/>
        <v>51.904761904761905</v>
      </c>
      <c r="L8" s="50">
        <f t="shared" si="0"/>
        <v>270</v>
      </c>
      <c r="N8" s="127" t="s">
        <v>150</v>
      </c>
      <c r="O8" s="118">
        <f t="shared" si="1"/>
        <v>181.66666666666666</v>
      </c>
      <c r="P8" s="119">
        <f t="shared" si="2"/>
        <v>945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A9" s="7"/>
      <c r="B9" s="24"/>
      <c r="C9" s="7"/>
      <c r="D9" s="7"/>
      <c r="F9" s="127"/>
      <c r="G9" s="118">
        <f>G7-0.26*G7</f>
        <v>10.878</v>
      </c>
      <c r="H9" s="119">
        <f>H7-0.26*H7</f>
        <v>12.58</v>
      </c>
      <c r="J9" s="33" t="s">
        <v>4</v>
      </c>
      <c r="K9" s="49">
        <f t="shared" si="3"/>
        <v>51.904761904761905</v>
      </c>
      <c r="L9" s="50">
        <f t="shared" si="0"/>
        <v>270</v>
      </c>
      <c r="N9" s="127" t="s">
        <v>151</v>
      </c>
      <c r="O9" s="118">
        <f t="shared" si="1"/>
        <v>181.66666666666666</v>
      </c>
      <c r="P9" s="119">
        <f t="shared" si="2"/>
        <v>945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3">
      <c r="A10" s="7"/>
      <c r="B10" s="24"/>
      <c r="C10" s="7"/>
      <c r="D10" s="7"/>
      <c r="F10" s="127"/>
      <c r="G10" s="118"/>
      <c r="H10" s="119"/>
      <c r="J10" s="33" t="s">
        <v>5</v>
      </c>
      <c r="K10" s="49">
        <f t="shared" si="3"/>
        <v>51.904761904761905</v>
      </c>
      <c r="L10" s="50">
        <f t="shared" si="0"/>
        <v>270</v>
      </c>
      <c r="N10" s="127" t="s">
        <v>152</v>
      </c>
      <c r="O10" s="118">
        <f t="shared" si="1"/>
        <v>181.66666666666666</v>
      </c>
      <c r="P10" s="119">
        <f t="shared" si="2"/>
        <v>945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3">
      <c r="A11" s="7"/>
      <c r="B11" s="24"/>
      <c r="C11" s="7"/>
      <c r="D11" s="7"/>
      <c r="F11" s="127"/>
      <c r="G11" s="118"/>
      <c r="H11" s="119"/>
      <c r="J11" s="33" t="s">
        <v>6</v>
      </c>
      <c r="K11" s="49">
        <f t="shared" si="3"/>
        <v>51.904761904761905</v>
      </c>
      <c r="L11" s="50">
        <f t="shared" si="0"/>
        <v>270</v>
      </c>
      <c r="N11" s="127" t="s">
        <v>153</v>
      </c>
      <c r="O11" s="118">
        <f t="shared" si="1"/>
        <v>181.66666666666666</v>
      </c>
      <c r="P11" s="119">
        <f t="shared" si="2"/>
        <v>945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3">
      <c r="A12" s="7"/>
      <c r="B12" s="24"/>
      <c r="C12" s="7"/>
      <c r="D12" s="7"/>
      <c r="F12" s="127"/>
      <c r="G12" s="118"/>
      <c r="H12" s="119"/>
      <c r="J12" s="33" t="s">
        <v>7</v>
      </c>
      <c r="K12" s="49">
        <f t="shared" si="3"/>
        <v>51.904761904761905</v>
      </c>
      <c r="L12" s="50">
        <f t="shared" si="0"/>
        <v>270</v>
      </c>
      <c r="N12" s="127" t="s">
        <v>154</v>
      </c>
      <c r="O12" s="118">
        <f t="shared" si="1"/>
        <v>181.66666666666666</v>
      </c>
      <c r="P12" s="119">
        <f t="shared" si="2"/>
        <v>945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3">
      <c r="A13" s="7"/>
      <c r="B13" s="24"/>
      <c r="C13" s="7"/>
      <c r="D13" s="7"/>
      <c r="F13" s="127"/>
      <c r="G13" s="138" t="s">
        <v>169</v>
      </c>
      <c r="H13" s="147" t="s">
        <v>99</v>
      </c>
      <c r="J13" s="33" t="s">
        <v>8</v>
      </c>
      <c r="K13" s="49">
        <f t="shared" si="3"/>
        <v>51.904761904761905</v>
      </c>
      <c r="L13" s="50">
        <f t="shared" si="0"/>
        <v>270</v>
      </c>
      <c r="N13" s="127" t="s">
        <v>155</v>
      </c>
      <c r="O13" s="118">
        <f t="shared" si="1"/>
        <v>181.66666666666666</v>
      </c>
      <c r="P13" s="119">
        <f t="shared" si="2"/>
        <v>945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3">
      <c r="A14" s="7"/>
      <c r="B14" s="24"/>
      <c r="C14" s="7"/>
      <c r="D14" s="7"/>
      <c r="F14" s="127"/>
      <c r="G14" s="118">
        <v>10.9</v>
      </c>
      <c r="H14" s="119">
        <v>12.6</v>
      </c>
      <c r="J14" s="33" t="s">
        <v>9</v>
      </c>
      <c r="K14" s="49">
        <f t="shared" si="3"/>
        <v>51.904761904761905</v>
      </c>
      <c r="L14" s="50">
        <f t="shared" si="0"/>
        <v>270</v>
      </c>
      <c r="N14" s="127" t="s">
        <v>156</v>
      </c>
      <c r="O14" s="118">
        <f t="shared" si="1"/>
        <v>181.66666666666666</v>
      </c>
      <c r="P14" s="119">
        <f t="shared" si="2"/>
        <v>945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3">
      <c r="A15" s="7"/>
      <c r="B15" s="24"/>
      <c r="C15" s="7"/>
      <c r="D15" s="7"/>
      <c r="F15" s="127"/>
      <c r="G15" s="118">
        <f>200</f>
        <v>200</v>
      </c>
      <c r="H15" s="119">
        <v>900</v>
      </c>
      <c r="J15" s="33" t="s">
        <v>10</v>
      </c>
      <c r="K15" s="49">
        <f t="shared" si="3"/>
        <v>51.904761904761905</v>
      </c>
      <c r="L15" s="50">
        <f t="shared" si="0"/>
        <v>270</v>
      </c>
      <c r="N15" s="127" t="s">
        <v>157</v>
      </c>
      <c r="O15" s="118">
        <f t="shared" si="1"/>
        <v>181.66666666666666</v>
      </c>
      <c r="P15" s="119">
        <f t="shared" si="2"/>
        <v>945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3">
      <c r="A16" s="7"/>
      <c r="B16" s="24"/>
      <c r="C16" s="7"/>
      <c r="D16" s="7"/>
      <c r="F16" s="127"/>
      <c r="G16" s="118">
        <f>G15*G14</f>
        <v>2180</v>
      </c>
      <c r="H16" s="119">
        <f>H15*H14</f>
        <v>11340</v>
      </c>
      <c r="J16" s="33" t="s">
        <v>11</v>
      </c>
      <c r="K16" s="49">
        <f t="shared" si="3"/>
        <v>51.904761904761905</v>
      </c>
      <c r="L16" s="50">
        <f t="shared" si="0"/>
        <v>270</v>
      </c>
      <c r="N16" s="127" t="s">
        <v>158</v>
      </c>
      <c r="O16" s="118">
        <f t="shared" si="1"/>
        <v>181.66666666666666</v>
      </c>
      <c r="P16" s="119">
        <f t="shared" si="2"/>
        <v>945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50" ht="15" thickBot="1" x14ac:dyDescent="0.35">
      <c r="A17" s="7"/>
      <c r="B17" s="25"/>
      <c r="C17" s="26"/>
      <c r="D17" s="26"/>
      <c r="E17" s="6"/>
      <c r="F17" s="129"/>
      <c r="G17" s="122">
        <f>G16/12</f>
        <v>181.66666666666666</v>
      </c>
      <c r="H17" s="123">
        <f>H16/12</f>
        <v>945</v>
      </c>
      <c r="I17" s="6"/>
      <c r="J17" s="36" t="s">
        <v>23</v>
      </c>
      <c r="K17" s="51">
        <f>SUM(K5:K16)</f>
        <v>622.857142857143</v>
      </c>
      <c r="L17" s="52">
        <f>SUM(L5:L16)</f>
        <v>3240</v>
      </c>
      <c r="M17" s="6"/>
      <c r="N17" s="129" t="s">
        <v>164</v>
      </c>
      <c r="O17" s="122">
        <f>SUM(O5:O16)</f>
        <v>2180.0000000000005</v>
      </c>
      <c r="P17" s="123">
        <f>SUM(P5:P16)</f>
        <v>11340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S17" s="7"/>
    </row>
    <row r="18" spans="1:50" x14ac:dyDescent="0.3">
      <c r="A18" s="7"/>
      <c r="B18" s="7"/>
      <c r="C18" s="7"/>
      <c r="D18" s="7"/>
      <c r="I18" s="7"/>
      <c r="J18" s="7"/>
      <c r="K18" s="7"/>
      <c r="L18" s="7"/>
      <c r="M18" s="7"/>
      <c r="N18" s="7"/>
      <c r="O18" s="7"/>
      <c r="P18" s="7"/>
      <c r="AX18" s="2"/>
    </row>
    <row r="19" spans="1:50" x14ac:dyDescent="0.3">
      <c r="A19" s="7"/>
      <c r="B19" s="7"/>
      <c r="C19" s="7"/>
      <c r="D19" s="7"/>
      <c r="I19" s="7"/>
      <c r="J19" s="7"/>
      <c r="K19" s="7"/>
      <c r="L19" s="7"/>
      <c r="M19" s="7"/>
      <c r="N19" s="7"/>
      <c r="O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50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W20" s="181"/>
      <c r="AX20" s="181"/>
    </row>
    <row r="21" spans="1:50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50" x14ac:dyDescent="0.3">
      <c r="A22" s="7"/>
      <c r="B22" s="7"/>
      <c r="C22" s="7"/>
      <c r="D22" s="7"/>
      <c r="J22" s="7"/>
      <c r="K22" s="7"/>
      <c r="L22" s="7"/>
      <c r="M22" s="7"/>
      <c r="N22" s="7"/>
      <c r="O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T22" s="8"/>
      <c r="AU22" s="2"/>
      <c r="AW22" s="2"/>
      <c r="AX22" s="2"/>
    </row>
    <row r="23" spans="1:50" x14ac:dyDescent="0.3">
      <c r="A23" s="7"/>
      <c r="J23" s="7"/>
      <c r="K23" s="7"/>
      <c r="L23" s="7"/>
      <c r="M23" s="7"/>
      <c r="N23" s="7"/>
      <c r="O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T23" s="8"/>
      <c r="AU23" s="2"/>
      <c r="AW23" s="2"/>
      <c r="AX23" s="2"/>
    </row>
    <row r="24" spans="1:50" x14ac:dyDescent="0.3">
      <c r="A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T24" s="8"/>
      <c r="AU24" s="2"/>
      <c r="AW24" s="2"/>
      <c r="AX24" s="2"/>
    </row>
    <row r="25" spans="1:50" x14ac:dyDescent="0.3">
      <c r="A25" s="7"/>
      <c r="J25" s="7"/>
      <c r="K25" s="7"/>
      <c r="L25" s="7"/>
      <c r="M25" s="7"/>
      <c r="N25" s="7"/>
      <c r="O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T25" s="8"/>
      <c r="AU25" s="2"/>
      <c r="AW25" s="2"/>
      <c r="AX25" s="2"/>
    </row>
    <row r="26" spans="1:50" x14ac:dyDescent="0.3">
      <c r="A26" s="7"/>
      <c r="J26" s="7"/>
      <c r="K26" s="7"/>
      <c r="L26" s="7"/>
      <c r="M26" s="7"/>
      <c r="N26" s="7"/>
      <c r="O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T26" s="8"/>
      <c r="AU26" s="2"/>
      <c r="AW26" s="2"/>
      <c r="AX26" s="2"/>
    </row>
    <row r="27" spans="1:50" x14ac:dyDescent="0.3">
      <c r="A27" s="7"/>
      <c r="J27" s="7"/>
      <c r="K27" s="7"/>
      <c r="L27" s="7"/>
      <c r="M27" s="7"/>
      <c r="N27" s="7"/>
      <c r="O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T27" s="8"/>
      <c r="AU27" s="2"/>
      <c r="AW27" s="2"/>
      <c r="AX27" s="2"/>
    </row>
    <row r="28" spans="1:50" x14ac:dyDescent="0.3">
      <c r="A28" s="7"/>
      <c r="J28" s="7"/>
      <c r="K28" s="7"/>
      <c r="L28" s="7"/>
      <c r="M28" s="7"/>
      <c r="N28" s="7"/>
      <c r="O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T28" s="8"/>
      <c r="AU28" s="2"/>
      <c r="AW28" s="2"/>
      <c r="AX28" s="2"/>
    </row>
    <row r="29" spans="1:50" x14ac:dyDescent="0.3">
      <c r="A29" s="7"/>
      <c r="J29" s="7"/>
      <c r="K29" s="7"/>
      <c r="L29" s="41"/>
      <c r="M29" s="7"/>
      <c r="N29" s="7"/>
      <c r="O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T29" s="8"/>
      <c r="AU29" s="2"/>
      <c r="AW29" s="2"/>
      <c r="AX29" s="2"/>
    </row>
    <row r="30" spans="1:50" x14ac:dyDescent="0.3">
      <c r="A30" s="7"/>
      <c r="J30" s="7"/>
      <c r="K30" s="7"/>
      <c r="L30" s="41"/>
      <c r="M30" s="7"/>
      <c r="N30" s="7"/>
      <c r="O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T30" s="8"/>
      <c r="AU30" s="2"/>
      <c r="AW30" s="2"/>
      <c r="AX30" s="2"/>
    </row>
    <row r="31" spans="1:50" x14ac:dyDescent="0.3">
      <c r="A31" s="7"/>
      <c r="J31" s="7"/>
      <c r="K31" s="7"/>
      <c r="L31" s="41"/>
      <c r="M31" s="7"/>
      <c r="N31" s="7"/>
      <c r="O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T31" s="8"/>
      <c r="AU31" s="2"/>
      <c r="AW31" s="2"/>
      <c r="AX31" s="2"/>
    </row>
    <row r="32" spans="1:50" x14ac:dyDescent="0.3">
      <c r="A32" s="7"/>
      <c r="J32" s="7"/>
      <c r="K32" s="7"/>
      <c r="L32" s="41"/>
      <c r="M32" s="7"/>
      <c r="N32" s="7"/>
      <c r="O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T32" s="8"/>
      <c r="AU32" s="2"/>
      <c r="AW32" s="2"/>
      <c r="AX32" s="2"/>
    </row>
    <row r="33" spans="1:50" x14ac:dyDescent="0.3">
      <c r="A33" s="7"/>
      <c r="J33" s="7"/>
      <c r="K33" s="7"/>
      <c r="L33" s="41"/>
      <c r="M33" s="7"/>
      <c r="N33" s="7"/>
      <c r="O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T33" s="8"/>
      <c r="AU33" s="2"/>
      <c r="AW33" s="2"/>
      <c r="AX33" s="2"/>
    </row>
    <row r="34" spans="1:50" x14ac:dyDescent="0.3">
      <c r="A34" s="7"/>
      <c r="J34" s="7"/>
      <c r="K34" s="7"/>
      <c r="L34" s="41"/>
      <c r="M34" s="7"/>
      <c r="N34" s="7"/>
      <c r="O34" s="7"/>
      <c r="P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T34" s="8"/>
      <c r="AU34" s="2"/>
      <c r="AW34" s="2"/>
      <c r="AX34" s="2"/>
    </row>
    <row r="35" spans="1:50" x14ac:dyDescent="0.3">
      <c r="A35" s="7"/>
      <c r="J35" s="7"/>
      <c r="K35" s="7"/>
      <c r="L35" s="41"/>
      <c r="M35" s="7"/>
      <c r="N35" s="7"/>
      <c r="O35" s="7"/>
      <c r="P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T35" s="8"/>
      <c r="AU35" s="2"/>
      <c r="AW35" s="2"/>
      <c r="AX35" s="2"/>
    </row>
    <row r="36" spans="1:50" x14ac:dyDescent="0.3">
      <c r="A36" s="7"/>
      <c r="J36" s="7"/>
      <c r="K36" s="7"/>
      <c r="L36" s="41"/>
      <c r="M36" s="7"/>
      <c r="N36" s="7"/>
      <c r="O36" s="7"/>
      <c r="P36" s="7"/>
    </row>
    <row r="37" spans="1:50" x14ac:dyDescent="0.3">
      <c r="A37" s="7"/>
      <c r="H37" s="41"/>
      <c r="I37" s="41"/>
      <c r="J37" s="7"/>
      <c r="K37" s="7"/>
      <c r="L37" s="41"/>
      <c r="M37" s="7"/>
      <c r="N37" s="7"/>
      <c r="O37" s="7"/>
      <c r="P37" s="7"/>
    </row>
    <row r="38" spans="1:50" x14ac:dyDescent="0.3">
      <c r="A38" s="7"/>
      <c r="B38" s="41"/>
      <c r="C38" s="41"/>
      <c r="D38" s="7"/>
      <c r="E38" s="7"/>
      <c r="F38" s="7"/>
      <c r="G38" s="7"/>
      <c r="H38" s="41"/>
      <c r="I38" s="41"/>
      <c r="J38" s="7"/>
      <c r="K38" s="7"/>
      <c r="L38" s="7"/>
      <c r="M38" s="7"/>
      <c r="N38" s="7"/>
      <c r="O38" s="7"/>
      <c r="P38" s="7"/>
    </row>
    <row r="39" spans="1:50" x14ac:dyDescent="0.3">
      <c r="B39" s="2"/>
      <c r="C39" s="2"/>
      <c r="H39" s="2"/>
      <c r="I39" s="2"/>
    </row>
    <row r="40" spans="1:50" x14ac:dyDescent="0.3">
      <c r="B40" s="2"/>
      <c r="C40" s="2"/>
      <c r="H40" s="2"/>
      <c r="I40" s="2"/>
    </row>
    <row r="41" spans="1:50" x14ac:dyDescent="0.3">
      <c r="B41" s="2"/>
      <c r="C41" s="2"/>
      <c r="H41" s="2"/>
      <c r="I41" s="2"/>
      <c r="J41" s="2"/>
    </row>
    <row r="42" spans="1:50" x14ac:dyDescent="0.3">
      <c r="B42" s="2"/>
      <c r="C42" s="2"/>
      <c r="H42" s="2"/>
      <c r="I42" s="2"/>
      <c r="J42" s="2"/>
    </row>
  </sheetData>
  <mergeCells count="3">
    <mergeCell ref="B1:F1"/>
    <mergeCell ref="AW20:AX20"/>
    <mergeCell ref="J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D31B-F861-42CB-8C12-C1D151942B69}">
  <dimension ref="A1:AZ62"/>
  <sheetViews>
    <sheetView zoomScaleNormal="100" workbookViewId="0">
      <selection activeCell="E32" sqref="E32"/>
    </sheetView>
  </sheetViews>
  <sheetFormatPr defaultRowHeight="14.4" x14ac:dyDescent="0.3"/>
  <cols>
    <col min="2" max="2" width="23.21875" customWidth="1"/>
    <col min="3" max="19" width="10.44140625" customWidth="1"/>
    <col min="20" max="52" width="8.88671875" style="114"/>
  </cols>
  <sheetData>
    <row r="1" spans="1:36" ht="15" thickBot="1" x14ac:dyDescent="0.35">
      <c r="A1" s="134"/>
      <c r="B1" s="135"/>
      <c r="C1" s="202" t="s">
        <v>312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  <c r="T1" s="202" t="s">
        <v>313</v>
      </c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2"/>
    </row>
    <row r="2" spans="1:36" ht="15" thickBot="1" x14ac:dyDescent="0.35">
      <c r="A2" s="136"/>
      <c r="B2" s="112"/>
      <c r="C2" s="207" t="s">
        <v>25</v>
      </c>
      <c r="D2" s="193"/>
      <c r="E2" s="193"/>
      <c r="F2" s="193"/>
      <c r="G2" s="193"/>
      <c r="H2" s="193"/>
      <c r="I2" s="193"/>
      <c r="J2" s="194"/>
      <c r="K2" s="112"/>
      <c r="L2" s="207" t="s">
        <v>90</v>
      </c>
      <c r="M2" s="193"/>
      <c r="N2" s="193"/>
      <c r="O2" s="193"/>
      <c r="P2" s="193"/>
      <c r="Q2" s="193"/>
      <c r="R2" s="193"/>
      <c r="S2" s="194"/>
      <c r="T2" s="207" t="s">
        <v>25</v>
      </c>
      <c r="U2" s="193"/>
      <c r="V2" s="193"/>
      <c r="W2" s="193"/>
      <c r="X2" s="193"/>
      <c r="Y2" s="193"/>
      <c r="Z2" s="193"/>
      <c r="AA2" s="194"/>
      <c r="AB2" s="219"/>
      <c r="AC2" s="207" t="s">
        <v>90</v>
      </c>
      <c r="AD2" s="193"/>
      <c r="AE2" s="193"/>
      <c r="AF2" s="193"/>
      <c r="AG2" s="193"/>
      <c r="AH2" s="193"/>
      <c r="AI2" s="193"/>
      <c r="AJ2" s="194"/>
    </row>
    <row r="3" spans="1:36" ht="15" thickBot="1" x14ac:dyDescent="0.35">
      <c r="A3" s="136"/>
      <c r="B3" s="112"/>
      <c r="C3" s="202" t="s">
        <v>85</v>
      </c>
      <c r="D3" s="191"/>
      <c r="E3" s="191"/>
      <c r="F3" s="192"/>
      <c r="G3" s="202" t="s">
        <v>86</v>
      </c>
      <c r="H3" s="191"/>
      <c r="I3" s="191"/>
      <c r="J3" s="192"/>
      <c r="K3" s="112"/>
      <c r="L3" s="202" t="s">
        <v>85</v>
      </c>
      <c r="M3" s="191"/>
      <c r="N3" s="191"/>
      <c r="O3" s="192"/>
      <c r="P3" s="202" t="s">
        <v>86</v>
      </c>
      <c r="Q3" s="191"/>
      <c r="R3" s="191"/>
      <c r="S3" s="192"/>
      <c r="T3" s="202" t="s">
        <v>85</v>
      </c>
      <c r="U3" s="191"/>
      <c r="V3" s="191"/>
      <c r="W3" s="192"/>
      <c r="X3" s="202" t="s">
        <v>86</v>
      </c>
      <c r="Y3" s="191"/>
      <c r="Z3" s="191"/>
      <c r="AA3" s="192"/>
      <c r="AB3" s="219"/>
      <c r="AC3" s="202" t="s">
        <v>85</v>
      </c>
      <c r="AD3" s="191"/>
      <c r="AE3" s="191"/>
      <c r="AF3" s="192"/>
      <c r="AG3" s="202" t="s">
        <v>86</v>
      </c>
      <c r="AH3" s="191"/>
      <c r="AI3" s="191"/>
      <c r="AJ3" s="192"/>
    </row>
    <row r="4" spans="1:36" ht="15" thickBot="1" x14ac:dyDescent="0.35">
      <c r="A4" s="136"/>
      <c r="B4" s="112"/>
      <c r="C4" s="202" t="s">
        <v>87</v>
      </c>
      <c r="D4" s="192"/>
      <c r="E4" s="202" t="s">
        <v>88</v>
      </c>
      <c r="F4" s="192"/>
      <c r="G4" s="202" t="s">
        <v>87</v>
      </c>
      <c r="H4" s="192"/>
      <c r="I4" s="202" t="s">
        <v>88</v>
      </c>
      <c r="J4" s="192"/>
      <c r="K4" s="112"/>
      <c r="L4" s="202" t="s">
        <v>87</v>
      </c>
      <c r="M4" s="192"/>
      <c r="N4" s="202" t="s">
        <v>88</v>
      </c>
      <c r="O4" s="192"/>
      <c r="P4" s="202" t="s">
        <v>87</v>
      </c>
      <c r="Q4" s="192"/>
      <c r="R4" s="202" t="s">
        <v>88</v>
      </c>
      <c r="S4" s="192"/>
      <c r="T4" s="202" t="s">
        <v>87</v>
      </c>
      <c r="U4" s="192"/>
      <c r="V4" s="202" t="s">
        <v>88</v>
      </c>
      <c r="W4" s="192"/>
      <c r="X4" s="202" t="s">
        <v>87</v>
      </c>
      <c r="Y4" s="192"/>
      <c r="Z4" s="202" t="s">
        <v>88</v>
      </c>
      <c r="AA4" s="192"/>
      <c r="AB4" s="219"/>
      <c r="AC4" s="202" t="s">
        <v>87</v>
      </c>
      <c r="AD4" s="192"/>
      <c r="AE4" s="202" t="s">
        <v>88</v>
      </c>
      <c r="AF4" s="192"/>
      <c r="AG4" s="202" t="s">
        <v>87</v>
      </c>
      <c r="AH4" s="192"/>
      <c r="AI4" s="202" t="s">
        <v>88</v>
      </c>
      <c r="AJ4" s="192"/>
    </row>
    <row r="5" spans="1:36" ht="15" thickBot="1" x14ac:dyDescent="0.35">
      <c r="A5" s="136"/>
      <c r="B5" s="112"/>
      <c r="C5" s="74" t="s">
        <v>89</v>
      </c>
      <c r="D5" s="74" t="s">
        <v>60</v>
      </c>
      <c r="E5" s="74" t="s">
        <v>89</v>
      </c>
      <c r="F5" s="74" t="s">
        <v>60</v>
      </c>
      <c r="G5" s="74" t="s">
        <v>89</v>
      </c>
      <c r="H5" s="74" t="s">
        <v>60</v>
      </c>
      <c r="I5" s="74" t="s">
        <v>89</v>
      </c>
      <c r="J5" s="74" t="s">
        <v>60</v>
      </c>
      <c r="K5" s="112"/>
      <c r="L5" s="74" t="s">
        <v>89</v>
      </c>
      <c r="M5" s="74" t="s">
        <v>60</v>
      </c>
      <c r="N5" s="74" t="s">
        <v>89</v>
      </c>
      <c r="O5" s="74" t="s">
        <v>60</v>
      </c>
      <c r="P5" s="74" t="s">
        <v>89</v>
      </c>
      <c r="Q5" s="74" t="s">
        <v>60</v>
      </c>
      <c r="R5" s="74" t="s">
        <v>89</v>
      </c>
      <c r="S5" s="74" t="s">
        <v>60</v>
      </c>
      <c r="T5" s="74" t="s">
        <v>89</v>
      </c>
      <c r="U5" s="74" t="s">
        <v>60</v>
      </c>
      <c r="V5" s="74" t="s">
        <v>89</v>
      </c>
      <c r="W5" s="74" t="s">
        <v>60</v>
      </c>
      <c r="X5" s="74" t="s">
        <v>89</v>
      </c>
      <c r="Y5" s="74" t="s">
        <v>60</v>
      </c>
      <c r="Z5" s="74" t="s">
        <v>89</v>
      </c>
      <c r="AA5" s="74" t="s">
        <v>60</v>
      </c>
      <c r="AB5" s="219"/>
      <c r="AC5" s="74" t="s">
        <v>89</v>
      </c>
      <c r="AD5" s="74" t="s">
        <v>60</v>
      </c>
      <c r="AE5" s="74" t="s">
        <v>89</v>
      </c>
      <c r="AF5" s="74" t="s">
        <v>60</v>
      </c>
      <c r="AG5" s="74" t="s">
        <v>89</v>
      </c>
      <c r="AH5" s="74" t="s">
        <v>60</v>
      </c>
      <c r="AI5" s="74" t="s">
        <v>89</v>
      </c>
      <c r="AJ5" s="74" t="s">
        <v>60</v>
      </c>
    </row>
    <row r="6" spans="1:36" x14ac:dyDescent="0.3">
      <c r="A6" s="136"/>
      <c r="B6" s="128" t="s">
        <v>91</v>
      </c>
      <c r="C6" s="99">
        <f>'Electricity prod.'!$D16</f>
        <v>23612.335100422886</v>
      </c>
      <c r="D6" s="100">
        <f>'Electricity prod.'!$D16</f>
        <v>23612.335100422886</v>
      </c>
      <c r="E6" s="100">
        <f>'Electricity prod.'!$D16</f>
        <v>23612.335100422886</v>
      </c>
      <c r="F6" s="100">
        <f>'Electricity prod.'!$D16</f>
        <v>23612.335100422886</v>
      </c>
      <c r="G6" s="100">
        <f>'Electricity prod.'!$F16</f>
        <v>17695.191837711751</v>
      </c>
      <c r="H6" s="100">
        <f>'Electricity prod.'!$F16</f>
        <v>17695.191837711751</v>
      </c>
      <c r="I6" s="100">
        <f>'Electricity prod.'!$F16</f>
        <v>17695.191837711751</v>
      </c>
      <c r="J6" s="101">
        <f>'Electricity prod.'!$F16</f>
        <v>17695.191837711751</v>
      </c>
      <c r="K6" s="112"/>
      <c r="L6" s="87">
        <f>'Electricity prod.'!$E16</f>
        <v>63572.856914962016</v>
      </c>
      <c r="M6" s="88">
        <f>'Electricity prod.'!$E16</f>
        <v>63572.856914962016</v>
      </c>
      <c r="N6" s="88">
        <f>'Electricity prod.'!$E16</f>
        <v>63572.856914962016</v>
      </c>
      <c r="O6" s="88">
        <f>'Electricity prod.'!$E16</f>
        <v>63572.856914962016</v>
      </c>
      <c r="P6" s="88">
        <f>'Electricity prod.'!$G16</f>
        <v>47596.570105641949</v>
      </c>
      <c r="Q6" s="88">
        <f>'Electricity prod.'!$G16</f>
        <v>47596.570105641949</v>
      </c>
      <c r="R6" s="88">
        <f>'Electricity prod.'!$G16</f>
        <v>47596.570105641949</v>
      </c>
      <c r="S6" s="89">
        <f>'Electricity prod.'!$G16</f>
        <v>47596.570105641949</v>
      </c>
      <c r="T6" s="220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2"/>
    </row>
    <row r="7" spans="1:36" x14ac:dyDescent="0.3">
      <c r="A7" s="136"/>
      <c r="B7" s="127" t="s">
        <v>92</v>
      </c>
      <c r="C7" s="102">
        <f>'DHW real'!$K17</f>
        <v>622.857142857143</v>
      </c>
      <c r="D7" s="103">
        <f>'DHW real'!$K17</f>
        <v>622.857142857143</v>
      </c>
      <c r="E7" s="103">
        <f>'DHW real'!$K17</f>
        <v>622.857142857143</v>
      </c>
      <c r="F7" s="103">
        <f>'DHW real'!$K17</f>
        <v>622.857142857143</v>
      </c>
      <c r="G7" s="103">
        <f>'DHW real'!$K17</f>
        <v>622.857142857143</v>
      </c>
      <c r="H7" s="103">
        <f>'DHW real'!$K17</f>
        <v>622.857142857143</v>
      </c>
      <c r="I7" s="103">
        <f>'DHW real'!$K17</f>
        <v>622.857142857143</v>
      </c>
      <c r="J7" s="104">
        <f>'DHW real'!$K17</f>
        <v>622.857142857143</v>
      </c>
      <c r="K7" s="112"/>
      <c r="L7" s="90">
        <f>'DHW real'!$L17</f>
        <v>3240</v>
      </c>
      <c r="M7" s="91">
        <f>'DHW real'!$L17</f>
        <v>3240</v>
      </c>
      <c r="N7" s="91">
        <f>'DHW real'!$L17</f>
        <v>3240</v>
      </c>
      <c r="O7" s="91">
        <f>'DHW real'!$L17</f>
        <v>3240</v>
      </c>
      <c r="P7" s="91">
        <f>'DHW real'!$L17</f>
        <v>3240</v>
      </c>
      <c r="Q7" s="91">
        <f>'DHW real'!$L17</f>
        <v>3240</v>
      </c>
      <c r="R7" s="91">
        <f>'DHW real'!$L17</f>
        <v>3240</v>
      </c>
      <c r="S7" s="92">
        <f>'DHW real'!$L17</f>
        <v>3240</v>
      </c>
      <c r="T7" s="220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</row>
    <row r="8" spans="1:36" x14ac:dyDescent="0.3">
      <c r="A8" s="136"/>
      <c r="B8" s="127" t="s">
        <v>93</v>
      </c>
      <c r="C8" s="57">
        <f>'space heat'!$E25</f>
        <v>311.85056039850565</v>
      </c>
      <c r="D8" s="58">
        <f>'space heat'!$E25</f>
        <v>311.85056039850565</v>
      </c>
      <c r="E8" s="58">
        <f>'space heat'!$E25</f>
        <v>311.85056039850565</v>
      </c>
      <c r="F8" s="58">
        <f>'space heat'!$E25</f>
        <v>311.85056039850565</v>
      </c>
      <c r="G8" s="58">
        <f>'space heat'!$F25</f>
        <v>451.15158813788946</v>
      </c>
      <c r="H8" s="58">
        <f>'space heat'!$F25</f>
        <v>451.15158813788946</v>
      </c>
      <c r="I8" s="58">
        <f>'space heat'!$F25</f>
        <v>451.15158813788946</v>
      </c>
      <c r="J8" s="105">
        <f>'space heat'!$F25</f>
        <v>451.15158813788946</v>
      </c>
      <c r="K8" s="112"/>
      <c r="L8" s="93">
        <f>'space heat'!$G25</f>
        <v>2241.5917808219178</v>
      </c>
      <c r="M8" s="94">
        <f>'space heat'!$G25</f>
        <v>2241.5917808219178</v>
      </c>
      <c r="N8" s="94">
        <f>'space heat'!$G25</f>
        <v>2241.5917808219178</v>
      </c>
      <c r="O8" s="94">
        <f>'space heat'!$G25</f>
        <v>2241.5917808219178</v>
      </c>
      <c r="P8" s="94">
        <f>'space heat'!$H25</f>
        <v>2614.4234532590699</v>
      </c>
      <c r="Q8" s="94">
        <f>'space heat'!$H25</f>
        <v>2614.4234532590699</v>
      </c>
      <c r="R8" s="94">
        <f>'space heat'!$H25</f>
        <v>2614.4234532590699</v>
      </c>
      <c r="S8" s="95">
        <f>'space heat'!$H25</f>
        <v>2614.4234532590699</v>
      </c>
      <c r="T8" s="220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2"/>
    </row>
    <row r="9" spans="1:36" x14ac:dyDescent="0.3">
      <c r="A9" s="136"/>
      <c r="B9" s="127" t="s">
        <v>94</v>
      </c>
      <c r="C9" s="102">
        <f>'Electricity demand'!$D17</f>
        <v>3806.0880000000002</v>
      </c>
      <c r="D9" s="103">
        <f>'Electricity demand'!$D17</f>
        <v>3806.0880000000002</v>
      </c>
      <c r="E9" s="103">
        <f>'Electricity demand'!$F17</f>
        <v>4945.771999999999</v>
      </c>
      <c r="F9" s="103">
        <f>'Electricity demand'!$F17</f>
        <v>4945.771999999999</v>
      </c>
      <c r="G9" s="103">
        <f>'Electricity demand'!$D17</f>
        <v>3806.0880000000002</v>
      </c>
      <c r="H9" s="103">
        <f>'Electricity demand'!$D17</f>
        <v>3806.0880000000002</v>
      </c>
      <c r="I9" s="103">
        <f>'Electricity demand'!$F17</f>
        <v>4945.771999999999</v>
      </c>
      <c r="J9" s="104">
        <f>'Electricity demand'!$F17</f>
        <v>4945.771999999999</v>
      </c>
      <c r="K9" s="112"/>
      <c r="L9" s="90">
        <f>'Electricity demand'!$E17</f>
        <v>14089.845000000001</v>
      </c>
      <c r="M9" s="91">
        <f>'Electricity demand'!$E17</f>
        <v>14089.845000000001</v>
      </c>
      <c r="N9" s="91">
        <f>'Electricity demand'!$G17</f>
        <v>18308.867500000004</v>
      </c>
      <c r="O9" s="91">
        <f>'Electricity demand'!$G17</f>
        <v>18308.867500000004</v>
      </c>
      <c r="P9" s="91">
        <f>'Electricity demand'!$E17</f>
        <v>14089.845000000001</v>
      </c>
      <c r="Q9" s="91">
        <f>'Electricity demand'!$E17</f>
        <v>14089.845000000001</v>
      </c>
      <c r="R9" s="91">
        <f>'Electricity demand'!$G17</f>
        <v>18308.867500000004</v>
      </c>
      <c r="S9" s="92">
        <f>'Electricity demand'!$G17</f>
        <v>18308.867500000004</v>
      </c>
      <c r="T9" s="220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2"/>
    </row>
    <row r="10" spans="1:36" x14ac:dyDescent="0.3">
      <c r="A10" s="136"/>
      <c r="B10" s="127" t="s">
        <v>95</v>
      </c>
      <c r="C10" s="57">
        <f>'Spatial dimension'!L22</f>
        <v>2310.2097327512315</v>
      </c>
      <c r="D10" s="58">
        <f>'Spatial dimension'!O22</f>
        <v>3625.7981097345128</v>
      </c>
      <c r="E10" s="58">
        <f>C10</f>
        <v>2310.2097327512315</v>
      </c>
      <c r="F10" s="58">
        <f>D10</f>
        <v>3625.7981097345128</v>
      </c>
      <c r="G10" s="58">
        <f>'Spatial dimension'!L22</f>
        <v>2310.2097327512315</v>
      </c>
      <c r="H10" s="58">
        <f>'Spatial dimension'!O22</f>
        <v>3625.7981097345128</v>
      </c>
      <c r="I10" s="58">
        <f>'Spatial dimension'!L22</f>
        <v>2310.2097327512315</v>
      </c>
      <c r="J10" s="105">
        <f>'Spatial dimension'!O22</f>
        <v>3625.7981097345128</v>
      </c>
      <c r="K10" s="112"/>
      <c r="L10" s="93">
        <f>'Spatial dimension'!$M22</f>
        <v>10080.915197459919</v>
      </c>
      <c r="M10" s="94">
        <f>'Spatial dimension'!$P22</f>
        <v>15454.22145132743</v>
      </c>
      <c r="N10" s="94">
        <f>'Spatial dimension'!$M22</f>
        <v>10080.915197459919</v>
      </c>
      <c r="O10" s="94">
        <f>'Spatial dimension'!$P22</f>
        <v>15454.22145132743</v>
      </c>
      <c r="P10" s="94">
        <f>'Spatial dimension'!$M22</f>
        <v>10080.915197459919</v>
      </c>
      <c r="Q10" s="94">
        <f>'Spatial dimension'!$P22</f>
        <v>15454.22145132743</v>
      </c>
      <c r="R10" s="94">
        <f>'Spatial dimension'!$M22</f>
        <v>10080.915197459919</v>
      </c>
      <c r="S10" s="95">
        <f>'Spatial dimension'!$P22</f>
        <v>15454.22145132743</v>
      </c>
      <c r="T10" s="220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2"/>
    </row>
    <row r="11" spans="1:36" ht="15" thickBot="1" x14ac:dyDescent="0.35">
      <c r="A11" s="136"/>
      <c r="B11" s="129" t="s">
        <v>274</v>
      </c>
      <c r="C11" s="102">
        <f>C6-(SUM(C7:C10))</f>
        <v>16561.329664416007</v>
      </c>
      <c r="D11" s="103">
        <f>D6-(SUM(D7:D10))</f>
        <v>15245.741287432724</v>
      </c>
      <c r="E11" s="103">
        <f t="shared" ref="E11:J11" si="0">E6-(SUM(E7:E10))</f>
        <v>15421.645664416006</v>
      </c>
      <c r="F11" s="103">
        <f t="shared" si="0"/>
        <v>14106.057287432726</v>
      </c>
      <c r="G11" s="103">
        <f t="shared" si="0"/>
        <v>10504.885373965486</v>
      </c>
      <c r="H11" s="103">
        <f t="shared" si="0"/>
        <v>9189.2969969822043</v>
      </c>
      <c r="I11" s="103">
        <f t="shared" si="0"/>
        <v>9365.2013739654885</v>
      </c>
      <c r="J11" s="104">
        <f t="shared" si="0"/>
        <v>8049.6129969822068</v>
      </c>
      <c r="K11" s="112"/>
      <c r="L11" s="90">
        <f t="shared" ref="L11:S11" si="1">L6-(SUM(L7:L10))</f>
        <v>33920.504936680183</v>
      </c>
      <c r="M11" s="91">
        <f t="shared" si="1"/>
        <v>28547.198682812668</v>
      </c>
      <c r="N11" s="91">
        <f t="shared" si="1"/>
        <v>29701.482436680177</v>
      </c>
      <c r="O11" s="91">
        <f t="shared" si="1"/>
        <v>24328.176182812662</v>
      </c>
      <c r="P11" s="91">
        <f t="shared" si="1"/>
        <v>17571.386454922958</v>
      </c>
      <c r="Q11" s="91">
        <f t="shared" si="1"/>
        <v>12198.080201055447</v>
      </c>
      <c r="R11" s="91">
        <f>R6-(SUM(R7:R10))</f>
        <v>13352.363954922956</v>
      </c>
      <c r="S11" s="92">
        <f t="shared" si="1"/>
        <v>7979.0577010554407</v>
      </c>
      <c r="T11" s="220"/>
      <c r="U11" s="223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2"/>
    </row>
    <row r="12" spans="1:36" ht="15" thickBot="1" x14ac:dyDescent="0.35">
      <c r="A12" s="136"/>
      <c r="B12" s="7"/>
      <c r="C12" s="206"/>
      <c r="D12" s="180"/>
      <c r="E12" s="180"/>
      <c r="F12" s="180"/>
      <c r="G12" s="180"/>
      <c r="H12" s="180"/>
      <c r="I12" s="180"/>
      <c r="J12" s="203"/>
      <c r="K12" s="112"/>
      <c r="L12" s="206"/>
      <c r="M12" s="180"/>
      <c r="N12" s="180"/>
      <c r="O12" s="180"/>
      <c r="P12" s="180"/>
      <c r="Q12" s="180"/>
      <c r="R12" s="180"/>
      <c r="S12" s="203"/>
      <c r="T12" s="220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2"/>
    </row>
    <row r="13" spans="1:36" x14ac:dyDescent="0.3">
      <c r="A13" s="136"/>
      <c r="B13" s="109" t="s">
        <v>0</v>
      </c>
      <c r="C13" s="102">
        <f>'Electricity prod.'!D4</f>
        <v>885.44323996988817</v>
      </c>
      <c r="D13" s="103">
        <f>'Electricity prod.'!D4</f>
        <v>885.44323996988817</v>
      </c>
      <c r="E13" s="103">
        <f>'Electricity prod.'!D4</f>
        <v>885.44323996988817</v>
      </c>
      <c r="F13" s="103">
        <f>'Electricity prod.'!D4</f>
        <v>885.44323996988817</v>
      </c>
      <c r="G13" s="103">
        <f>'Electricity prod.'!F4</f>
        <v>677.00947855667869</v>
      </c>
      <c r="H13" s="103">
        <f>'Electricity prod.'!F4</f>
        <v>677.00947855667869</v>
      </c>
      <c r="I13" s="103">
        <f>'Electricity prod.'!F4</f>
        <v>677.00947855667869</v>
      </c>
      <c r="J13" s="104">
        <f>'Electricity prod.'!F4</f>
        <v>677.00947855667869</v>
      </c>
      <c r="K13" s="112"/>
      <c r="L13" s="90">
        <f>'Electricity prod.'!E4</f>
        <v>2381.8489397465396</v>
      </c>
      <c r="M13" s="91">
        <f>'Electricity prod.'!E4</f>
        <v>2381.8489397465396</v>
      </c>
      <c r="N13" s="91">
        <f>'Electricity prod.'!E4</f>
        <v>2381.8489397465396</v>
      </c>
      <c r="O13" s="91">
        <f>'Electricity prod.'!E4</f>
        <v>2381.8489397465396</v>
      </c>
      <c r="P13" s="91">
        <f>'Electricity prod.'!G4</f>
        <v>1819.0777839308739</v>
      </c>
      <c r="Q13" s="91">
        <f>'Electricity prod.'!G4</f>
        <v>1819.0777839308739</v>
      </c>
      <c r="R13" s="91">
        <f>'Electricity prod.'!G4</f>
        <v>1819.0777839308739</v>
      </c>
      <c r="S13" s="92">
        <f>'Electricity prod.'!G4</f>
        <v>1819.0777839308739</v>
      </c>
      <c r="T13" s="224">
        <f>'DHW real'!K5+'space heat'!E13+'Electricity demand'!D5+'Spatial dimension'!L$28</f>
        <v>632.40517737407527</v>
      </c>
      <c r="U13" s="225">
        <f>'DHW real'!K5+'space heat'!E13+'Electricity demand'!D5+'Spatial dimension'!O$28</f>
        <v>742.037542122682</v>
      </c>
      <c r="V13" s="225">
        <f>'DHW real'!K5+'space heat'!E13+'Electricity demand'!F5+'Spatial dimension'!L$28</f>
        <v>733.52792197365261</v>
      </c>
      <c r="W13" s="225">
        <f>'DHW real'!K5+'space heat'!E13+'Electricity demand'!F5+'Spatial dimension'!O$28</f>
        <v>843.16028672225934</v>
      </c>
      <c r="X13" s="225">
        <f>'DHW real'!K5+'space heat'!F13+'Electricity demand'!D5+'Spatial dimension'!L$28</f>
        <v>660.01439007917838</v>
      </c>
      <c r="Y13" s="225">
        <f>'DHW real'!K5+'space heat'!F13+'Electricity demand'!D5+'Spatial dimension'!O$28</f>
        <v>769.64675482778512</v>
      </c>
      <c r="Z13" s="225">
        <f>'DHW real'!K5+'space heat'!F13+'Electricity demand'!F5+'Spatial dimension'!L$28</f>
        <v>761.13713467875573</v>
      </c>
      <c r="AA13" s="225">
        <f>'DHW real'!K5+'space heat'!F13+'Electricity demand'!F5+'Spatial dimension'!O$28</f>
        <v>870.76949942736246</v>
      </c>
      <c r="AB13" s="221"/>
      <c r="AC13" s="226">
        <f>'DHW real'!L5+'space heat'!G13+'Electricity demand'!E5+'Spatial dimension'!M$28</f>
        <v>2761.8294362632046</v>
      </c>
      <c r="AD13" s="226">
        <f>'DHW real'!L5+'space heat'!G13+'Electricity demand'!E5+'Spatial dimension'!P$28</f>
        <v>3209.6049574188301</v>
      </c>
      <c r="AE13" s="226">
        <f>'DHW real'!L5+'space heat'!G13+'Electricity demand'!G5+'Spatial dimension'!M$28</f>
        <v>3136.1780580981786</v>
      </c>
      <c r="AF13" s="226">
        <f>'DHW real'!L5+'space heat'!G13+'Electricity demand'!G5+'Spatial dimension'!P$28</f>
        <v>3583.9535792538045</v>
      </c>
      <c r="AG13" s="226">
        <f>'DHW real'!L5+'space heat'!H13+'Electricity demand'!E5+'Spatial dimension'!M$28</f>
        <v>2835.7240019714691</v>
      </c>
      <c r="AH13" s="226">
        <f>'DHW real'!L5+'space heat'!H13+'Electricity demand'!E5+'Spatial dimension'!P$28</f>
        <v>3283.499523127095</v>
      </c>
      <c r="AI13" s="226">
        <f>'DHW real'!L5+'space heat'!H13+'Electricity demand'!G5+'Spatial dimension'!M$28</f>
        <v>3210.0726238064431</v>
      </c>
      <c r="AJ13" s="227">
        <f>'DHW real'!L5+'space heat'!H13+'Electricity demand'!G5+'Spatial dimension'!P$28</f>
        <v>3657.8481449620685</v>
      </c>
    </row>
    <row r="14" spans="1:36" x14ac:dyDescent="0.3">
      <c r="A14" s="136"/>
      <c r="B14" s="110" t="s">
        <v>1</v>
      </c>
      <c r="C14" s="102">
        <f>'Electricity prod.'!D5</f>
        <v>1271.8087253631645</v>
      </c>
      <c r="D14" s="103">
        <f>'Electricity prod.'!D5</f>
        <v>1271.8087253631645</v>
      </c>
      <c r="E14" s="103">
        <f>'Electricity prod.'!D5</f>
        <v>1271.8087253631645</v>
      </c>
      <c r="F14" s="103">
        <f>'Electricity prod.'!D5</f>
        <v>1271.8087253631645</v>
      </c>
      <c r="G14" s="103">
        <f>'Electricity prod.'!F5</f>
        <v>966.15644229391114</v>
      </c>
      <c r="H14" s="103">
        <f>'Electricity prod.'!F5</f>
        <v>966.15644229391114</v>
      </c>
      <c r="I14" s="103">
        <f>'Electricity prod.'!F5</f>
        <v>966.15644229391114</v>
      </c>
      <c r="J14" s="104">
        <f>'Electricity prod.'!F5</f>
        <v>966.15644229391114</v>
      </c>
      <c r="K14" s="112"/>
      <c r="L14" s="90">
        <f>'Electricity prod.'!E5</f>
        <v>3422.1445306977153</v>
      </c>
      <c r="M14" s="91">
        <f>'Electricity prod.'!E5</f>
        <v>3422.1445306977153</v>
      </c>
      <c r="N14" s="91">
        <f>'Electricity prod.'!E5</f>
        <v>3422.1445306977153</v>
      </c>
      <c r="O14" s="91">
        <f>'Electricity prod.'!E5</f>
        <v>3422.1445306977153</v>
      </c>
      <c r="P14" s="91">
        <f>'Electricity prod.'!G5</f>
        <v>2596.883366410731</v>
      </c>
      <c r="Q14" s="91">
        <f>'Electricity prod.'!G5</f>
        <v>2596.883366410731</v>
      </c>
      <c r="R14" s="91">
        <f>'Electricity prod.'!G5</f>
        <v>2596.883366410731</v>
      </c>
      <c r="S14" s="92">
        <f>'Electricity prod.'!G5</f>
        <v>2596.883366410731</v>
      </c>
      <c r="T14" s="224">
        <f>'DHW real'!K6+'space heat'!E14+'Electricity demand'!D6+'Spatial dimension'!L$28</f>
        <v>611.3297546296667</v>
      </c>
      <c r="U14" s="225">
        <f>'DHW real'!K6+'space heat'!E14+'Electricity demand'!D6+'Spatial dimension'!O$28</f>
        <v>720.96211937827343</v>
      </c>
      <c r="V14" s="225">
        <f>'DHW real'!K6+'space heat'!E14+'Electricity demand'!F6+'Spatial dimension'!L$28</f>
        <v>709.11225936445305</v>
      </c>
      <c r="W14" s="225">
        <f>'DHW real'!K6+'space heat'!E14+'Electricity demand'!F6+'Spatial dimension'!O$28</f>
        <v>818.74462411305979</v>
      </c>
      <c r="X14" s="225">
        <f>'DHW real'!K6+'space heat'!F14+'Electricity demand'!D6+'Spatial dimension'!L$28</f>
        <v>634.33743188391929</v>
      </c>
      <c r="Y14" s="225">
        <f>'DHW real'!K6+'space heat'!F14+'Electricity demand'!D6+'Spatial dimension'!O$28</f>
        <v>743.96979663252603</v>
      </c>
      <c r="Z14" s="225">
        <f>'DHW real'!K6+'space heat'!F14+'Electricity demand'!F6+'Spatial dimension'!L$28</f>
        <v>732.11993661870565</v>
      </c>
      <c r="AA14" s="225">
        <f>'DHW real'!K6+'space heat'!F14+'Electricity demand'!F6+'Spatial dimension'!O$28</f>
        <v>841.75230136731238</v>
      </c>
      <c r="AB14" s="221"/>
      <c r="AC14" s="226">
        <f>'DHW real'!L6+'space heat'!G14+'Electricity demand'!E6+'Spatial dimension'!M$28</f>
        <v>2647.8981459271131</v>
      </c>
      <c r="AD14" s="226">
        <f>'DHW real'!L6+'space heat'!G14+'Electricity demand'!E6+'Spatial dimension'!P$28</f>
        <v>3095.673667082739</v>
      </c>
      <c r="AE14" s="226">
        <f>'DHW real'!L6+'space heat'!G14+'Electricity demand'!G6+'Spatial dimension'!M$28</f>
        <v>3009.8814567241593</v>
      </c>
      <c r="AF14" s="226">
        <f>'DHW real'!L6+'space heat'!G14+'Electricity demand'!G6+'Spatial dimension'!P$28</f>
        <v>3457.6569778797848</v>
      </c>
      <c r="AG14" s="226">
        <f>'DHW real'!L6+'space heat'!H14+'Electricity demand'!E6+'Spatial dimension'!M$28</f>
        <v>2709.4769506840003</v>
      </c>
      <c r="AH14" s="226">
        <f>'DHW real'!L6+'space heat'!H14+'Electricity demand'!E6+'Spatial dimension'!P$28</f>
        <v>3157.2524718396262</v>
      </c>
      <c r="AI14" s="226">
        <f>'DHW real'!L6+'space heat'!H14+'Electricity demand'!G6+'Spatial dimension'!M$28</f>
        <v>3071.460261481046</v>
      </c>
      <c r="AJ14" s="227">
        <f>'DHW real'!L6+'space heat'!H14+'Electricity demand'!G6+'Spatial dimension'!P$28</f>
        <v>3519.2357826366715</v>
      </c>
    </row>
    <row r="15" spans="1:36" x14ac:dyDescent="0.3">
      <c r="A15" s="136"/>
      <c r="B15" s="110" t="s">
        <v>2</v>
      </c>
      <c r="C15" s="102">
        <f>'Electricity prod.'!D6</f>
        <v>2025.0119125276019</v>
      </c>
      <c r="D15" s="103">
        <f>'Electricity prod.'!D6</f>
        <v>2025.0119125276019</v>
      </c>
      <c r="E15" s="103">
        <f>'Electricity prod.'!D6</f>
        <v>2025.0119125276019</v>
      </c>
      <c r="F15" s="103">
        <f>'Electricity prod.'!D6</f>
        <v>2025.0119125276019</v>
      </c>
      <c r="G15" s="103">
        <f>'Electricity prod.'!F6</f>
        <v>1522.5568118542192</v>
      </c>
      <c r="H15" s="103">
        <f>'Electricity prod.'!F6</f>
        <v>1522.5568118542192</v>
      </c>
      <c r="I15" s="103">
        <f>'Electricity prod.'!F6</f>
        <v>1522.5568118542192</v>
      </c>
      <c r="J15" s="104">
        <f>'Electricity prod.'!F6</f>
        <v>1522.5568118542192</v>
      </c>
      <c r="K15" s="112"/>
      <c r="L15" s="90">
        <f>'Electricity prod.'!E6</f>
        <v>5451.2828357438548</v>
      </c>
      <c r="M15" s="91">
        <f>'Electricity prod.'!E6</f>
        <v>5451.2828357438548</v>
      </c>
      <c r="N15" s="91">
        <f>'Electricity prod.'!E6</f>
        <v>5451.2828357438548</v>
      </c>
      <c r="O15" s="91">
        <f>'Electricity prod.'!E6</f>
        <v>5451.2828357438548</v>
      </c>
      <c r="P15" s="91">
        <f>'Electricity prod.'!G6</f>
        <v>4094.6540639257214</v>
      </c>
      <c r="Q15" s="91">
        <f>'Electricity prod.'!G6</f>
        <v>4094.6540639257214</v>
      </c>
      <c r="R15" s="91">
        <f>'Electricity prod.'!G6</f>
        <v>4094.6540639257214</v>
      </c>
      <c r="S15" s="92">
        <f>'Electricity prod.'!G6</f>
        <v>4094.6540639257214</v>
      </c>
      <c r="T15" s="224">
        <f>'DHW real'!K7+'space heat'!E15+'Electricity demand'!D7+'Spatial dimension'!L$28</f>
        <v>599.25271523359879</v>
      </c>
      <c r="U15" s="225">
        <f>'DHW real'!K7+'space heat'!E15+'Electricity demand'!D7+'Spatial dimension'!O$28</f>
        <v>708.88507998220553</v>
      </c>
      <c r="V15" s="225">
        <f>'DHW real'!K7+'space heat'!E15+'Electricity demand'!F7+'Spatial dimension'!L$28</f>
        <v>695.51692912075282</v>
      </c>
      <c r="W15" s="225">
        <f>'DHW real'!K7+'space heat'!E15+'Electricity demand'!F7+'Spatial dimension'!O$28</f>
        <v>805.14929386935955</v>
      </c>
      <c r="X15" s="225">
        <f>'DHW real'!K7+'space heat'!F15+'Electricity demand'!D7+'Spatial dimension'!L$28</f>
        <v>619.05326171907677</v>
      </c>
      <c r="Y15" s="225">
        <f>'DHW real'!K7+'space heat'!F15+'Electricity demand'!D7+'Spatial dimension'!O$28</f>
        <v>728.68562646768351</v>
      </c>
      <c r="Z15" s="225">
        <f>'DHW real'!K7+'space heat'!F15+'Electricity demand'!F7+'Spatial dimension'!L$28</f>
        <v>715.31747560623091</v>
      </c>
      <c r="AA15" s="225">
        <f>'DHW real'!K7+'space heat'!F15+'Electricity demand'!F7+'Spatial dimension'!O$28</f>
        <v>824.94984035483765</v>
      </c>
      <c r="AB15" s="221"/>
      <c r="AC15" s="226">
        <f>'DHW real'!L7+'space heat'!G15+'Electricity demand'!E7+'Spatial dimension'!M$28</f>
        <v>2578.1605108428375</v>
      </c>
      <c r="AD15" s="226">
        <f>'DHW real'!L7+'space heat'!G15+'Electricity demand'!E7+'Spatial dimension'!P$28</f>
        <v>3025.9360319984635</v>
      </c>
      <c r="AE15" s="226">
        <f>'DHW real'!L7+'space heat'!G15+'Electricity demand'!G7+'Spatial dimension'!M$28</f>
        <v>2934.5232257135526</v>
      </c>
      <c r="AF15" s="226">
        <f>'DHW real'!L7+'space heat'!G15+'Electricity demand'!G7+'Spatial dimension'!P$28</f>
        <v>3382.2987468691781</v>
      </c>
      <c r="AG15" s="226">
        <f>'DHW real'!L7+'space heat'!H15+'Electricity demand'!E7+'Spatial dimension'!M$28</f>
        <v>2631.1556034214918</v>
      </c>
      <c r="AH15" s="226">
        <f>'DHW real'!L7+'space heat'!H15+'Electricity demand'!E7+'Spatial dimension'!P$28</f>
        <v>3078.9311245771178</v>
      </c>
      <c r="AI15" s="226">
        <f>'DHW real'!L7+'space heat'!H15+'Electricity demand'!G7+'Spatial dimension'!M$28</f>
        <v>2987.5183182922065</v>
      </c>
      <c r="AJ15" s="227">
        <f>'DHW real'!L7+'space heat'!H15+'Electricity demand'!G7+'Spatial dimension'!P$28</f>
        <v>3435.2938394478324</v>
      </c>
    </row>
    <row r="16" spans="1:36" x14ac:dyDescent="0.3">
      <c r="A16" s="136"/>
      <c r="B16" s="110" t="s">
        <v>3</v>
      </c>
      <c r="C16" s="102">
        <f>'Electricity prod.'!D7</f>
        <v>2443.7797316559399</v>
      </c>
      <c r="D16" s="103">
        <f>'Electricity prod.'!D7</f>
        <v>2443.7797316559399</v>
      </c>
      <c r="E16" s="103">
        <f>'Electricity prod.'!D7</f>
        <v>2443.7797316559399</v>
      </c>
      <c r="F16" s="103">
        <f>'Electricity prod.'!D7</f>
        <v>2443.7797316559399</v>
      </c>
      <c r="G16" s="103">
        <f>'Electricity prod.'!F7</f>
        <v>1825.1063843038683</v>
      </c>
      <c r="H16" s="103">
        <f>'Electricity prod.'!F7</f>
        <v>1825.1063843038683</v>
      </c>
      <c r="I16" s="103">
        <f>'Electricity prod.'!F7</f>
        <v>1825.1063843038683</v>
      </c>
      <c r="J16" s="104">
        <f>'Electricity prod.'!F7</f>
        <v>1825.1063843038683</v>
      </c>
      <c r="K16" s="112"/>
      <c r="L16" s="90">
        <f>'Electricity prod.'!E7</f>
        <v>6580.5000453571502</v>
      </c>
      <c r="M16" s="91">
        <f>'Electricity prod.'!E7</f>
        <v>6580.5000453571502</v>
      </c>
      <c r="N16" s="91">
        <f>'Electricity prod.'!E7</f>
        <v>6580.5000453571502</v>
      </c>
      <c r="O16" s="91">
        <f>'Electricity prod.'!E7</f>
        <v>6580.5000453571502</v>
      </c>
      <c r="P16" s="91">
        <f>'Electricity prod.'!G7</f>
        <v>4910.0820075065567</v>
      </c>
      <c r="Q16" s="91">
        <f>'Electricity prod.'!G7</f>
        <v>4910.0820075065567</v>
      </c>
      <c r="R16" s="91">
        <f>'Electricity prod.'!G7</f>
        <v>4910.0820075065567</v>
      </c>
      <c r="S16" s="92">
        <f>'Electricity prod.'!G7</f>
        <v>4910.0820075065567</v>
      </c>
      <c r="T16" s="224">
        <f>'DHW real'!K8+'space heat'!E16+'Electricity demand'!D8+'Spatial dimension'!L$28</f>
        <v>554.63049248525192</v>
      </c>
      <c r="U16" s="225">
        <f>'DHW real'!K8+'space heat'!E16+'Electricity demand'!D8+'Spatial dimension'!O$28</f>
        <v>664.26285723385865</v>
      </c>
      <c r="V16" s="225">
        <f>'DHW real'!K8+'space heat'!E16+'Electricity demand'!F8+'Spatial dimension'!L$28</f>
        <v>647.7062955923783</v>
      </c>
      <c r="W16" s="225">
        <f>'DHW real'!K8+'space heat'!E16+'Electricity demand'!F8+'Spatial dimension'!O$28</f>
        <v>757.33866034098503</v>
      </c>
      <c r="X16" s="225">
        <f>'DHW real'!K8+'space heat'!F16+'Electricity demand'!D8+'Spatial dimension'!L$28</f>
        <v>559.09258746789476</v>
      </c>
      <c r="Y16" s="225">
        <f>'DHW real'!K8+'space heat'!F16+'Electricity demand'!D8+'Spatial dimension'!O$28</f>
        <v>668.72495221650161</v>
      </c>
      <c r="Z16" s="225">
        <f>'DHW real'!K8+'space heat'!F16+'Electricity demand'!F8+'Spatial dimension'!L$28</f>
        <v>652.16839057502114</v>
      </c>
      <c r="AA16" s="225">
        <f>'DHW real'!K8+'space heat'!F16+'Electricity demand'!F8+'Spatial dimension'!O$28</f>
        <v>761.80075532362798</v>
      </c>
      <c r="AB16" s="221"/>
      <c r="AC16" s="226">
        <f>'DHW real'!L8+'space heat'!G16+'Electricity demand'!E8+'Spatial dimension'!M$28</f>
        <v>2293.2668196316126</v>
      </c>
      <c r="AD16" s="226">
        <f>'DHW real'!L8+'space heat'!G16+'Electricity demand'!E8+'Spatial dimension'!P$28</f>
        <v>2741.0423407872386</v>
      </c>
      <c r="AE16" s="226">
        <f>'DHW real'!L8+'space heat'!G16+'Electricity demand'!G8+'Spatial dimension'!M$28</f>
        <v>2637.826283057032</v>
      </c>
      <c r="AF16" s="226">
        <f>'DHW real'!L8+'space heat'!G16+'Electricity demand'!G8+'Spatial dimension'!P$28</f>
        <v>3085.601804212658</v>
      </c>
      <c r="AG16" s="226">
        <f>'DHW real'!L8+'space heat'!H16+'Electricity demand'!E8+'Spatial dimension'!M$28</f>
        <v>2305.2093757056755</v>
      </c>
      <c r="AH16" s="226">
        <f>'DHW real'!L8+'space heat'!H16+'Electricity demand'!E8+'Spatial dimension'!P$28</f>
        <v>2752.9848968613014</v>
      </c>
      <c r="AI16" s="226">
        <f>'DHW real'!L8+'space heat'!H16+'Electricity demand'!G8+'Spatial dimension'!M$28</f>
        <v>2649.7688391310949</v>
      </c>
      <c r="AJ16" s="227">
        <f>'DHW real'!L8+'space heat'!H16+'Electricity demand'!G8+'Spatial dimension'!P$28</f>
        <v>3097.5443602867208</v>
      </c>
    </row>
    <row r="17" spans="1:38" x14ac:dyDescent="0.3">
      <c r="A17" s="136"/>
      <c r="B17" s="110" t="s">
        <v>4</v>
      </c>
      <c r="C17" s="102">
        <f>'Electricity prod.'!D8</f>
        <v>2875.7147416894081</v>
      </c>
      <c r="D17" s="103">
        <f>'Electricity prod.'!D8</f>
        <v>2875.7147416894081</v>
      </c>
      <c r="E17" s="103">
        <f>'Electricity prod.'!D8</f>
        <v>2875.7147416894081</v>
      </c>
      <c r="F17" s="103">
        <f>'Electricity prod.'!D8</f>
        <v>2875.7147416894081</v>
      </c>
      <c r="G17" s="103">
        <f>'Electricity prod.'!F8</f>
        <v>2141.5519793729154</v>
      </c>
      <c r="H17" s="103">
        <f>'Electricity prod.'!F8</f>
        <v>2141.5519793729154</v>
      </c>
      <c r="I17" s="103">
        <f>'Electricity prod.'!F8</f>
        <v>2141.5519793729154</v>
      </c>
      <c r="J17" s="104">
        <f>'Electricity prod.'!F8</f>
        <v>2141.5519793729154</v>
      </c>
      <c r="K17" s="112"/>
      <c r="L17" s="90">
        <f>'Electricity prod.'!E8</f>
        <v>7744.5449052334852</v>
      </c>
      <c r="M17" s="91">
        <f>'Electricity prod.'!E8</f>
        <v>7744.5449052334852</v>
      </c>
      <c r="N17" s="91">
        <f>'Electricity prod.'!E8</f>
        <v>7744.5449052334852</v>
      </c>
      <c r="O17" s="91">
        <f>'Electricity prod.'!E8</f>
        <v>7744.5449052334852</v>
      </c>
      <c r="P17" s="91">
        <f>'Electricity prod.'!G8</f>
        <v>5762.3054469789558</v>
      </c>
      <c r="Q17" s="91">
        <f>'Electricity prod.'!G8</f>
        <v>5762.3054469789558</v>
      </c>
      <c r="R17" s="91">
        <f>'Electricity prod.'!G8</f>
        <v>5762.3054469789558</v>
      </c>
      <c r="S17" s="92">
        <f>'Electricity prod.'!G8</f>
        <v>5762.3054469789558</v>
      </c>
      <c r="T17" s="224">
        <f>'DHW real'!K9+'space heat'!E17+'Electricity demand'!D9+'Spatial dimension'!L$28</f>
        <v>538.76452922823535</v>
      </c>
      <c r="U17" s="225">
        <f>'DHW real'!K9+'space heat'!E17+'Electricity demand'!D9+'Spatial dimension'!O$28</f>
        <v>648.39689397684208</v>
      </c>
      <c r="V17" s="225">
        <f>'DHW real'!K9+'space heat'!E17+'Electricity demand'!F9+'Spatial dimension'!L$28</f>
        <v>630.01838331820295</v>
      </c>
      <c r="W17" s="225">
        <f>'DHW real'!K9+'space heat'!E17+'Electricity demand'!F9+'Spatial dimension'!O$28</f>
        <v>739.65074806680968</v>
      </c>
      <c r="X17" s="225">
        <f>'DHW real'!K9+'space heat'!F17+'Electricity demand'!D9+'Spatial dimension'!L$28</f>
        <v>538.76452922823535</v>
      </c>
      <c r="Y17" s="225">
        <f>'DHW real'!K9+'space heat'!F17+'Electricity demand'!D9+'Spatial dimension'!O$28</f>
        <v>648.39689397684208</v>
      </c>
      <c r="Z17" s="225">
        <f>'DHW real'!K9+'space heat'!F17+'Electricity demand'!F9+'Spatial dimension'!L$28</f>
        <v>630.01838331820295</v>
      </c>
      <c r="AA17" s="225">
        <f>'DHW real'!K9+'space heat'!F17+'Electricity demand'!F9+'Spatial dimension'!O$28</f>
        <v>739.65074806680968</v>
      </c>
      <c r="AB17" s="221"/>
      <c r="AC17" s="226">
        <f>'DHW real'!L9+'space heat'!G17+'Electricity demand'!E9+'Spatial dimension'!M$28</f>
        <v>2199.7087808181527</v>
      </c>
      <c r="AD17" s="226">
        <f>'DHW real'!L9+'space heat'!G17+'Electricity demand'!E9+'Spatial dimension'!P$28</f>
        <v>2647.4843019737787</v>
      </c>
      <c r="AE17" s="226">
        <f>'DHW real'!L9+'space heat'!G17+'Electricity demand'!G9+'Spatial dimension'!M$28</f>
        <v>2537.5235291319755</v>
      </c>
      <c r="AF17" s="226">
        <f>'DHW real'!L9+'space heat'!G17+'Electricity demand'!G9+'Spatial dimension'!P$28</f>
        <v>2985.2990502876009</v>
      </c>
      <c r="AG17" s="226">
        <f>'DHW real'!L9+'space heat'!H17+'Electricity demand'!E9+'Spatial dimension'!M$28</f>
        <v>2199.7087808181527</v>
      </c>
      <c r="AH17" s="226">
        <f>'DHW real'!L9+'space heat'!H17+'Electricity demand'!E9+'Spatial dimension'!P$28</f>
        <v>2647.4843019737787</v>
      </c>
      <c r="AI17" s="226">
        <f>'DHW real'!L9+'space heat'!H17+'Electricity demand'!G9+'Spatial dimension'!M$28</f>
        <v>2537.5235291319755</v>
      </c>
      <c r="AJ17" s="227">
        <f>'DHW real'!L9+'space heat'!H17+'Electricity demand'!G9+'Spatial dimension'!P$28</f>
        <v>2985.2990502876009</v>
      </c>
    </row>
    <row r="18" spans="1:38" x14ac:dyDescent="0.3">
      <c r="A18" s="136"/>
      <c r="B18" s="110" t="s">
        <v>5</v>
      </c>
      <c r="C18" s="102">
        <f>'Electricity prod.'!D9</f>
        <v>2981.1843938458951</v>
      </c>
      <c r="D18" s="103">
        <f>'Electricity prod.'!D9</f>
        <v>2981.1843938458951</v>
      </c>
      <c r="E18" s="103">
        <f>'Electricity prod.'!D9</f>
        <v>2981.1843938458951</v>
      </c>
      <c r="F18" s="103">
        <f>'Electricity prod.'!D9</f>
        <v>2981.1843938458951</v>
      </c>
      <c r="G18" s="103">
        <f>'Electricity prod.'!F9</f>
        <v>2219.006243958268</v>
      </c>
      <c r="H18" s="103">
        <f>'Electricity prod.'!F9</f>
        <v>2219.006243958268</v>
      </c>
      <c r="I18" s="103">
        <f>'Electricity prod.'!F9</f>
        <v>2219.006243958268</v>
      </c>
      <c r="J18" s="104">
        <f>'Electricity prod.'!F9</f>
        <v>2219.006243958268</v>
      </c>
      <c r="K18" s="112"/>
      <c r="L18" s="90">
        <f>'Electricity prod.'!E9</f>
        <v>8028.7521576172603</v>
      </c>
      <c r="M18" s="91">
        <f>'Electricity prod.'!E9</f>
        <v>8028.7521576172603</v>
      </c>
      <c r="N18" s="91">
        <f>'Electricity prod.'!E9</f>
        <v>8028.7521576172603</v>
      </c>
      <c r="O18" s="91">
        <f>'Electricity prod.'!E9</f>
        <v>8028.7521576172603</v>
      </c>
      <c r="P18" s="91">
        <f>'Electricity prod.'!G9</f>
        <v>5970.8711529206666</v>
      </c>
      <c r="Q18" s="91">
        <f>'Electricity prod.'!G9</f>
        <v>5970.8711529206666</v>
      </c>
      <c r="R18" s="91">
        <f>'Electricity prod.'!G9</f>
        <v>5970.8711529206666</v>
      </c>
      <c r="S18" s="92">
        <f>'Electricity prod.'!G9</f>
        <v>5970.8711529206666</v>
      </c>
      <c r="T18" s="224">
        <f>'DHW real'!K10+'space heat'!E18+'Electricity demand'!D10+'Spatial dimension'!L$28</f>
        <v>557.41858408182964</v>
      </c>
      <c r="U18" s="225">
        <f>'DHW real'!K10+'space heat'!E18+'Electricity demand'!D10+'Spatial dimension'!O$28</f>
        <v>667.05094883043648</v>
      </c>
      <c r="V18" s="225">
        <f>'DHW real'!K10+'space heat'!E18+'Electricity demand'!F10+'Spatial dimension'!L$28</f>
        <v>646.39500190034892</v>
      </c>
      <c r="W18" s="225">
        <f>'DHW real'!K10+'space heat'!E18+'Electricity demand'!F10+'Spatial dimension'!O$28</f>
        <v>756.02736664895565</v>
      </c>
      <c r="X18" s="225">
        <f>'DHW real'!K10+'space heat'!F18+'Electricity demand'!D10+'Spatial dimension'!L$28</f>
        <v>557.41858408182964</v>
      </c>
      <c r="Y18" s="225">
        <f>'DHW real'!K10+'space heat'!F18+'Electricity demand'!D10+'Spatial dimension'!O$28</f>
        <v>667.05094883043648</v>
      </c>
      <c r="Z18" s="225">
        <f>'DHW real'!K10+'space heat'!F18+'Electricity demand'!F10+'Spatial dimension'!L$28</f>
        <v>646.39500190034892</v>
      </c>
      <c r="AA18" s="225">
        <f>'DHW real'!K10+'space heat'!F18+'Electricity demand'!F10+'Spatial dimension'!O$28</f>
        <v>756.02736664895565</v>
      </c>
      <c r="AB18" s="221"/>
      <c r="AC18" s="226">
        <f>'DHW real'!L10+'space heat'!G18+'Electricity demand'!E10+'Spatial dimension'!M$28</f>
        <v>2268.7646569588628</v>
      </c>
      <c r="AD18" s="226">
        <f>'DHW real'!L10+'space heat'!G18+'Electricity demand'!E10+'Spatial dimension'!P$28</f>
        <v>2716.5401781144883</v>
      </c>
      <c r="AE18" s="226">
        <f>'DHW real'!L10+'space heat'!G18+'Electricity demand'!G10+'Spatial dimension'!M$28</f>
        <v>2598.1485113831886</v>
      </c>
      <c r="AF18" s="226">
        <f>'DHW real'!L10+'space heat'!G18+'Electricity demand'!G10+'Spatial dimension'!P$28</f>
        <v>3045.9240325388146</v>
      </c>
      <c r="AG18" s="226">
        <f>'DHW real'!L10+'space heat'!H18+'Electricity demand'!E10+'Spatial dimension'!M$28</f>
        <v>2268.7646569588628</v>
      </c>
      <c r="AH18" s="226">
        <f>'DHW real'!L10+'space heat'!H18+'Electricity demand'!E10+'Spatial dimension'!P$28</f>
        <v>2716.5401781144883</v>
      </c>
      <c r="AI18" s="226">
        <f>'DHW real'!L10+'space heat'!H18+'Electricity demand'!G10+'Spatial dimension'!M$28</f>
        <v>2598.1485113831886</v>
      </c>
      <c r="AJ18" s="227">
        <f>'DHW real'!L10+'space heat'!H18+'Electricity demand'!G10+'Spatial dimension'!P$28</f>
        <v>3045.9240325388146</v>
      </c>
    </row>
    <row r="19" spans="1:38" x14ac:dyDescent="0.3">
      <c r="A19" s="136"/>
      <c r="B19" s="110" t="s">
        <v>6</v>
      </c>
      <c r="C19" s="102">
        <f>'Electricity prod.'!D10</f>
        <v>3177.809040920632</v>
      </c>
      <c r="D19" s="103">
        <f>'Electricity prod.'!D10</f>
        <v>3177.809040920632</v>
      </c>
      <c r="E19" s="103">
        <f>'Electricity prod.'!D10</f>
        <v>3177.809040920632</v>
      </c>
      <c r="F19" s="103">
        <f>'Electricity prod.'!D10</f>
        <v>3177.809040920632</v>
      </c>
      <c r="G19" s="103">
        <f>'Electricity prod.'!F10</f>
        <v>2366.4972992110488</v>
      </c>
      <c r="H19" s="103">
        <f>'Electricity prod.'!F10</f>
        <v>2366.4972992110488</v>
      </c>
      <c r="I19" s="103">
        <f>'Electricity prod.'!F10</f>
        <v>2366.4972992110488</v>
      </c>
      <c r="J19" s="104">
        <f>'Electricity prod.'!F10</f>
        <v>2366.4972992110488</v>
      </c>
      <c r="K19" s="112"/>
      <c r="L19" s="90">
        <f>'Electricity prod.'!E10</f>
        <v>8558.1144782194115</v>
      </c>
      <c r="M19" s="91">
        <f>'Electricity prod.'!E10</f>
        <v>8558.1144782194115</v>
      </c>
      <c r="N19" s="91">
        <f>'Electricity prod.'!E10</f>
        <v>8558.1144782194115</v>
      </c>
      <c r="O19" s="91">
        <f>'Electricity prod.'!E10</f>
        <v>8558.1144782194115</v>
      </c>
      <c r="P19" s="91">
        <f>'Electricity prod.'!G10</f>
        <v>6367.5727756035376</v>
      </c>
      <c r="Q19" s="91">
        <f>'Electricity prod.'!G10</f>
        <v>6367.5727756035376</v>
      </c>
      <c r="R19" s="91">
        <f>'Electricity prod.'!G10</f>
        <v>6367.5727756035376</v>
      </c>
      <c r="S19" s="92">
        <f>'Electricity prod.'!G10</f>
        <v>6367.5727756035376</v>
      </c>
      <c r="T19" s="224">
        <f>'DHW real'!K11+'space heat'!E19+'Electricity demand'!D11+'Spatial dimension'!L$28</f>
        <v>594.94939505254854</v>
      </c>
      <c r="U19" s="225">
        <f>'DHW real'!K11+'space heat'!E19+'Electricity demand'!D11+'Spatial dimension'!O$28</f>
        <v>704.58175980115527</v>
      </c>
      <c r="V19" s="225">
        <f>'DHW real'!K11+'space heat'!E19+'Electricity demand'!F11+'Spatial dimension'!L$28</f>
        <v>683.47032561677815</v>
      </c>
      <c r="W19" s="225">
        <f>'DHW real'!K11+'space heat'!E19+'Electricity demand'!F11+'Spatial dimension'!O$28</f>
        <v>793.10269036538489</v>
      </c>
      <c r="X19" s="225">
        <f>'DHW real'!K11+'space heat'!F19+'Electricity demand'!D11+'Spatial dimension'!L$28</f>
        <v>594.94939505254854</v>
      </c>
      <c r="Y19" s="225">
        <f>'DHW real'!K11+'space heat'!F19+'Electricity demand'!D11+'Spatial dimension'!O$28</f>
        <v>704.58175980115527</v>
      </c>
      <c r="Z19" s="225">
        <f>'DHW real'!K11+'space heat'!F19+'Electricity demand'!F11+'Spatial dimension'!L$28</f>
        <v>683.47032561677815</v>
      </c>
      <c r="AA19" s="225">
        <f>'DHW real'!K11+'space heat'!F19+'Electricity demand'!F11+'Spatial dimension'!O$28</f>
        <v>793.10269036538489</v>
      </c>
      <c r="AB19" s="221"/>
      <c r="AC19" s="226">
        <f>'DHW real'!L11+'space heat'!G19+'Electricity demand'!E11+'Spatial dimension'!M$28</f>
        <v>2407.7008321870048</v>
      </c>
      <c r="AD19" s="226">
        <f>'DHW real'!L11+'space heat'!G19+'Electricity demand'!E11+'Spatial dimension'!P$28</f>
        <v>2855.4763533426303</v>
      </c>
      <c r="AE19" s="226">
        <f>'DHW real'!L11+'space heat'!G19+'Electricity demand'!G11+'Spatial dimension'!M$28</f>
        <v>2735.3985078334313</v>
      </c>
      <c r="AF19" s="226">
        <f>'DHW real'!L11+'space heat'!G19+'Electricity demand'!G11+'Spatial dimension'!P$28</f>
        <v>3183.1740289890572</v>
      </c>
      <c r="AG19" s="226">
        <f>'DHW real'!L11+'space heat'!H19+'Electricity demand'!E11+'Spatial dimension'!M$28</f>
        <v>2407.7008321870048</v>
      </c>
      <c r="AH19" s="226">
        <f>'DHW real'!L11+'space heat'!H19+'Electricity demand'!E11+'Spatial dimension'!P$28</f>
        <v>2855.4763533426303</v>
      </c>
      <c r="AI19" s="226">
        <f>'DHW real'!L11+'space heat'!H19+'Electricity demand'!G11+'Spatial dimension'!M$28</f>
        <v>2735.3985078334313</v>
      </c>
      <c r="AJ19" s="227">
        <f>'DHW real'!L11+'space heat'!H19+'Electricity demand'!G11+'Spatial dimension'!P$28</f>
        <v>3183.1740289890572</v>
      </c>
    </row>
    <row r="20" spans="1:38" x14ac:dyDescent="0.3">
      <c r="A20" s="136"/>
      <c r="B20" s="110" t="s">
        <v>7</v>
      </c>
      <c r="C20" s="102">
        <f>'Electricity prod.'!D11</f>
        <v>2836.0856461200437</v>
      </c>
      <c r="D20" s="103">
        <f>'Electricity prod.'!D11</f>
        <v>2836.0856461200437</v>
      </c>
      <c r="E20" s="103">
        <f>'Electricity prod.'!D11</f>
        <v>2836.0856461200437</v>
      </c>
      <c r="F20" s="103">
        <f>'Electricity prod.'!D11</f>
        <v>2836.0856461200437</v>
      </c>
      <c r="G20" s="103">
        <f>'Electricity prod.'!F11</f>
        <v>2117.2390353204537</v>
      </c>
      <c r="H20" s="103">
        <f>'Electricity prod.'!F11</f>
        <v>2117.2390353204537</v>
      </c>
      <c r="I20" s="103">
        <f>'Electricity prod.'!F11</f>
        <v>2117.2390353204537</v>
      </c>
      <c r="J20" s="104">
        <f>'Electricity prod.'!F11</f>
        <v>2117.2390353204537</v>
      </c>
      <c r="K20" s="112"/>
      <c r="L20" s="90">
        <f>'Electricity prod.'!E11</f>
        <v>7637.0161793921234</v>
      </c>
      <c r="M20" s="91">
        <f>'Electricity prod.'!E11</f>
        <v>7637.0161793921234</v>
      </c>
      <c r="N20" s="91">
        <f>'Electricity prod.'!E11</f>
        <v>7637.0161793921234</v>
      </c>
      <c r="O20" s="91">
        <f>'Electricity prod.'!E11</f>
        <v>7637.0161793921234</v>
      </c>
      <c r="P20" s="91">
        <f>'Electricity prod.'!G11</f>
        <v>5696.1303302332299</v>
      </c>
      <c r="Q20" s="91">
        <f>'Electricity prod.'!G11</f>
        <v>5696.1303302332299</v>
      </c>
      <c r="R20" s="91">
        <f>'Electricity prod.'!G11</f>
        <v>5696.1303302332299</v>
      </c>
      <c r="S20" s="92">
        <f>'Electricity prod.'!G11</f>
        <v>5696.1303302332299</v>
      </c>
      <c r="T20" s="224">
        <f>'DHW real'!K12+'space heat'!E20+'Electricity demand'!D12+'Spatial dimension'!L$28</f>
        <v>568.45966537612151</v>
      </c>
      <c r="U20" s="225">
        <f>'DHW real'!K12+'space heat'!E20+'Electricity demand'!D12+'Spatial dimension'!O$28</f>
        <v>678.09203012472824</v>
      </c>
      <c r="V20" s="225">
        <f>'DHW real'!K12+'space heat'!E20+'Electricity demand'!F12+'Spatial dimension'!L$28</f>
        <v>656.82876685558779</v>
      </c>
      <c r="W20" s="225">
        <f>'DHW real'!K12+'space heat'!E20+'Electricity demand'!F12+'Spatial dimension'!O$28</f>
        <v>766.46113160419463</v>
      </c>
      <c r="X20" s="225">
        <f>'DHW real'!K12+'space heat'!F20+'Electricity demand'!D12+'Spatial dimension'!L$28</f>
        <v>568.45966537612151</v>
      </c>
      <c r="Y20" s="225">
        <f>'DHW real'!K12+'space heat'!F20+'Electricity demand'!D12+'Spatial dimension'!O$28</f>
        <v>678.09203012472824</v>
      </c>
      <c r="Z20" s="225">
        <f>'DHW real'!K12+'space heat'!F20+'Electricity demand'!F12+'Spatial dimension'!L$28</f>
        <v>656.82876685558779</v>
      </c>
      <c r="AA20" s="225">
        <f>'DHW real'!K12+'space heat'!F20+'Electricity demand'!F12+'Spatial dimension'!O$28</f>
        <v>766.46113160419463</v>
      </c>
      <c r="AB20" s="221"/>
      <c r="AC20" s="226">
        <f>'DHW real'!L12+'space heat'!G20+'Electricity demand'!E12+'Spatial dimension'!M$28</f>
        <v>2309.6378905963852</v>
      </c>
      <c r="AD20" s="226">
        <f>'DHW real'!L12+'space heat'!G20+'Electricity demand'!E12+'Spatial dimension'!P$28</f>
        <v>2757.4134117520111</v>
      </c>
      <c r="AE20" s="226">
        <f>'DHW real'!L12+'space heat'!G20+'Electricity demand'!G12+'Spatial dimension'!M$28</f>
        <v>2636.7735066501791</v>
      </c>
      <c r="AF20" s="226">
        <f>'DHW real'!L12+'space heat'!G20+'Electricity demand'!G12+'Spatial dimension'!P$28</f>
        <v>3084.5490278058051</v>
      </c>
      <c r="AG20" s="226">
        <f>'DHW real'!L12+'space heat'!H20+'Electricity demand'!E12+'Spatial dimension'!M$28</f>
        <v>2309.6378905963852</v>
      </c>
      <c r="AH20" s="226">
        <f>'DHW real'!L12+'space heat'!H20+'Electricity demand'!E12+'Spatial dimension'!P$28</f>
        <v>2757.4134117520111</v>
      </c>
      <c r="AI20" s="226">
        <f>'DHW real'!L12+'space heat'!H20+'Electricity demand'!G12+'Spatial dimension'!M$28</f>
        <v>2636.7735066501791</v>
      </c>
      <c r="AJ20" s="227">
        <f>'DHW real'!L12+'space heat'!H20+'Electricity demand'!G12+'Spatial dimension'!P$28</f>
        <v>3084.5490278058051</v>
      </c>
    </row>
    <row r="21" spans="1:38" x14ac:dyDescent="0.3">
      <c r="A21" s="136"/>
      <c r="B21" s="110" t="s">
        <v>8</v>
      </c>
      <c r="C21" s="102">
        <f>'Electricity prod.'!D12</f>
        <v>2121.5468941407216</v>
      </c>
      <c r="D21" s="103">
        <f>'Electricity prod.'!D12</f>
        <v>2121.5468941407216</v>
      </c>
      <c r="E21" s="103">
        <f>'Electricity prod.'!D12</f>
        <v>2121.5468941407216</v>
      </c>
      <c r="F21" s="103">
        <f>'Electricity prod.'!D12</f>
        <v>2121.5468941407216</v>
      </c>
      <c r="G21" s="103">
        <f>'Electricity prod.'!F12</f>
        <v>1590.959505796221</v>
      </c>
      <c r="H21" s="103">
        <f>'Electricity prod.'!F12</f>
        <v>1590.959505796221</v>
      </c>
      <c r="I21" s="103">
        <f>'Electricity prod.'!F12</f>
        <v>1590.959505796221</v>
      </c>
      <c r="J21" s="104">
        <f>'Electricity prod.'!F12</f>
        <v>1590.959505796221</v>
      </c>
      <c r="K21" s="112"/>
      <c r="L21" s="90">
        <f>'Electricity prod.'!E12</f>
        <v>5711.7991756772517</v>
      </c>
      <c r="M21" s="91">
        <f>'Electricity prod.'!E12</f>
        <v>5711.7991756772517</v>
      </c>
      <c r="N21" s="91">
        <f>'Electricity prod.'!E12</f>
        <v>5711.7991756772517</v>
      </c>
      <c r="O21" s="91">
        <f>'Electricity prod.'!E12</f>
        <v>5711.7991756772517</v>
      </c>
      <c r="P21" s="91">
        <f>'Electricity prod.'!G12</f>
        <v>4279.2132271471</v>
      </c>
      <c r="Q21" s="91">
        <f>'Electricity prod.'!G12</f>
        <v>4279.2132271471</v>
      </c>
      <c r="R21" s="91">
        <f>'Electricity prod.'!G12</f>
        <v>4279.2132271471</v>
      </c>
      <c r="S21" s="92">
        <f>'Electricity prod.'!G12</f>
        <v>4279.2132271471</v>
      </c>
      <c r="T21" s="224">
        <f>'DHW real'!K13+'space heat'!E21+'Electricity demand'!D13+'Spatial dimension'!L$28</f>
        <v>547.85453716290306</v>
      </c>
      <c r="U21" s="225">
        <f>'DHW real'!K13+'space heat'!E21+'Electricity demand'!D13+'Spatial dimension'!O$28</f>
        <v>657.4869019115099</v>
      </c>
      <c r="V21" s="225">
        <f>'DHW real'!K13+'space heat'!E21+'Electricity demand'!F13+'Spatial dimension'!L$28</f>
        <v>640.47485301573977</v>
      </c>
      <c r="W21" s="225">
        <f>'DHW real'!K13+'space heat'!E21+'Electricity demand'!F13+'Spatial dimension'!O$28</f>
        <v>750.1072177643465</v>
      </c>
      <c r="X21" s="225">
        <f>'DHW real'!K13+'space heat'!F21+'Electricity demand'!D13+'Spatial dimension'!L$28</f>
        <v>549.94614418601702</v>
      </c>
      <c r="Y21" s="225">
        <f>'DHW real'!K13+'space heat'!F21+'Electricity demand'!D13+'Spatial dimension'!O$28</f>
        <v>659.57850893462376</v>
      </c>
      <c r="Z21" s="225">
        <f>'DHW real'!K13+'space heat'!F21+'Electricity demand'!F13+'Spatial dimension'!L$28</f>
        <v>642.56646003885362</v>
      </c>
      <c r="AA21" s="225">
        <f>'DHW real'!K13+'space heat'!F21+'Electricity demand'!F13+'Spatial dimension'!O$28</f>
        <v>752.19882478746035</v>
      </c>
      <c r="AB21" s="221"/>
      <c r="AC21" s="226">
        <f>'DHW real'!L13+'space heat'!G21+'Electricity demand'!E13+'Spatial dimension'!M$28</f>
        <v>2249.6827893803024</v>
      </c>
      <c r="AD21" s="226">
        <f>'DHW real'!L13+'space heat'!G21+'Electricity demand'!E13+'Spatial dimension'!P$28</f>
        <v>2697.4583105359279</v>
      </c>
      <c r="AE21" s="226">
        <f>'DHW real'!L13+'space heat'!G21+'Electricity demand'!G13+'Spatial dimension'!M$28</f>
        <v>2592.5560740278224</v>
      </c>
      <c r="AF21" s="226">
        <f>'DHW real'!L13+'space heat'!G21+'Electricity demand'!G13+'Spatial dimension'!P$28</f>
        <v>3040.3315951834484</v>
      </c>
      <c r="AG21" s="226">
        <f>'DHW real'!L13+'space heat'!H21+'Electricity demand'!E13+'Spatial dimension'!M$28</f>
        <v>2255.2808625400194</v>
      </c>
      <c r="AH21" s="226">
        <f>'DHW real'!L13+'space heat'!H21+'Electricity demand'!E13+'Spatial dimension'!P$28</f>
        <v>2703.0563836956453</v>
      </c>
      <c r="AI21" s="226">
        <f>'DHW real'!L13+'space heat'!H21+'Electricity demand'!G13+'Spatial dimension'!M$28</f>
        <v>2598.1541471875398</v>
      </c>
      <c r="AJ21" s="227">
        <f>'DHW real'!L13+'space heat'!H21+'Electricity demand'!G13+'Spatial dimension'!P$28</f>
        <v>3045.9296683431658</v>
      </c>
    </row>
    <row r="22" spans="1:38" x14ac:dyDescent="0.3">
      <c r="A22" s="136"/>
      <c r="B22" s="110" t="s">
        <v>9</v>
      </c>
      <c r="C22" s="102">
        <f>'Electricity prod.'!D13</f>
        <v>1437.8899615723897</v>
      </c>
      <c r="D22" s="103">
        <f>'Electricity prod.'!D13</f>
        <v>1437.8899615723897</v>
      </c>
      <c r="E22" s="103">
        <f>'Electricity prod.'!D13</f>
        <v>1437.8899615723897</v>
      </c>
      <c r="F22" s="103">
        <f>'Electricity prod.'!D13</f>
        <v>1437.8899615723897</v>
      </c>
      <c r="G22" s="103">
        <f>'Electricity prod.'!F13</f>
        <v>1084.5779231202916</v>
      </c>
      <c r="H22" s="103">
        <f>'Electricity prod.'!F13</f>
        <v>1084.5779231202916</v>
      </c>
      <c r="I22" s="103">
        <f>'Electricity prod.'!F13</f>
        <v>1084.5779231202916</v>
      </c>
      <c r="J22" s="104">
        <f>'Electricity prod.'!F13</f>
        <v>1084.5779231202916</v>
      </c>
      <c r="K22" s="112"/>
      <c r="L22" s="90">
        <f>'Electricity prod.'!E13</f>
        <v>3870.2290368742256</v>
      </c>
      <c r="M22" s="91">
        <f>'Electricity prod.'!E13</f>
        <v>3870.2290368742256</v>
      </c>
      <c r="N22" s="91">
        <f>'Electricity prod.'!E13</f>
        <v>3870.2290368742256</v>
      </c>
      <c r="O22" s="91">
        <f>'Electricity prod.'!E13</f>
        <v>3870.2290368742256</v>
      </c>
      <c r="P22" s="91">
        <f>'Electricity prod.'!G13</f>
        <v>2916.286533053561</v>
      </c>
      <c r="Q22" s="91">
        <f>'Electricity prod.'!G13</f>
        <v>2916.286533053561</v>
      </c>
      <c r="R22" s="91">
        <f>'Electricity prod.'!G13</f>
        <v>2916.286533053561</v>
      </c>
      <c r="S22" s="92">
        <f>'Electricity prod.'!G13</f>
        <v>2916.286533053561</v>
      </c>
      <c r="T22" s="224">
        <f>'DHW real'!K14+'space heat'!E22+'Electricity demand'!D14+'Spatial dimension'!L$28</f>
        <v>589.38673942482569</v>
      </c>
      <c r="U22" s="225">
        <f>'DHW real'!K14+'space heat'!E22+'Electricity demand'!D14+'Spatial dimension'!O$28</f>
        <v>699.01910417343242</v>
      </c>
      <c r="V22" s="225">
        <f>'DHW real'!K14+'space heat'!E22+'Electricity demand'!F14+'Spatial dimension'!L$28</f>
        <v>687.62473141390171</v>
      </c>
      <c r="W22" s="225">
        <f>'DHW real'!K14+'space heat'!E22+'Electricity demand'!F14+'Spatial dimension'!O$28</f>
        <v>797.25709616250845</v>
      </c>
      <c r="X22" s="225">
        <f>'DHW real'!K14+'space heat'!F22+'Electricity demand'!D14+'Spatial dimension'!L$28</f>
        <v>601.93638156350892</v>
      </c>
      <c r="Y22" s="225">
        <f>'DHW real'!K14+'space heat'!F22+'Electricity demand'!D14+'Spatial dimension'!O$28</f>
        <v>711.56874631211565</v>
      </c>
      <c r="Z22" s="225">
        <f>'DHW real'!K14+'space heat'!F22+'Electricity demand'!F14+'Spatial dimension'!L$28</f>
        <v>700.17437355258494</v>
      </c>
      <c r="AA22" s="225">
        <f>'DHW real'!K14+'space heat'!F22+'Electricity demand'!F14+'Spatial dimension'!O$28</f>
        <v>809.80673830119167</v>
      </c>
      <c r="AB22" s="221"/>
      <c r="AC22" s="226">
        <f>'DHW real'!L14+'space heat'!G22+'Electricity demand'!E14+'Spatial dimension'!M$28</f>
        <v>2485.0492994660945</v>
      </c>
      <c r="AD22" s="226">
        <f>'DHW real'!L14+'space heat'!G22+'Electricity demand'!E14+'Spatial dimension'!P$28</f>
        <v>2932.8248206217204</v>
      </c>
      <c r="AE22" s="226">
        <f>'DHW real'!L14+'space heat'!G22+'Electricity demand'!G14+'Spatial dimension'!M$28</f>
        <v>2848.7187890410396</v>
      </c>
      <c r="AF22" s="226">
        <f>'DHW real'!L14+'space heat'!G22+'Electricity demand'!G14+'Spatial dimension'!P$28</f>
        <v>3296.4943101966655</v>
      </c>
      <c r="AG22" s="226">
        <f>'DHW real'!L14+'space heat'!H22+'Electricity demand'!E14+'Spatial dimension'!M$28</f>
        <v>2518.6377384243965</v>
      </c>
      <c r="AH22" s="226">
        <f>'DHW real'!L14+'space heat'!H22+'Electricity demand'!E14+'Spatial dimension'!P$28</f>
        <v>2966.413259580022</v>
      </c>
      <c r="AI22" s="226">
        <f>'DHW real'!L14+'space heat'!H22+'Electricity demand'!G14+'Spatial dimension'!M$28</f>
        <v>2882.3072279993416</v>
      </c>
      <c r="AJ22" s="227">
        <f>'DHW real'!L14+'space heat'!H22+'Electricity demand'!G14+'Spatial dimension'!P$28</f>
        <v>3330.0827491549671</v>
      </c>
    </row>
    <row r="23" spans="1:38" x14ac:dyDescent="0.3">
      <c r="A23" s="136"/>
      <c r="B23" s="110" t="s">
        <v>10</v>
      </c>
      <c r="C23" s="102">
        <f>'Electricity prod.'!D14</f>
        <v>870.44707404512019</v>
      </c>
      <c r="D23" s="103">
        <f>'Electricity prod.'!D14</f>
        <v>870.44707404512019</v>
      </c>
      <c r="E23" s="103">
        <f>'Electricity prod.'!D14</f>
        <v>870.44707404512019</v>
      </c>
      <c r="F23" s="103">
        <f>'Electricity prod.'!D14</f>
        <v>870.44707404512019</v>
      </c>
      <c r="G23" s="103">
        <f>'Electricity prod.'!F14</f>
        <v>660.86257394594134</v>
      </c>
      <c r="H23" s="103">
        <f>'Electricity prod.'!F14</f>
        <v>660.86257394594134</v>
      </c>
      <c r="I23" s="103">
        <f>'Electricity prod.'!F14</f>
        <v>660.86257394594134</v>
      </c>
      <c r="J23" s="104">
        <f>'Electricity prod.'!F14</f>
        <v>660.86257394594134</v>
      </c>
      <c r="K23" s="112"/>
      <c r="L23" s="90">
        <f>'Electricity prod.'!E14</f>
        <v>2342.2331932331113</v>
      </c>
      <c r="M23" s="91">
        <f>'Electricity prod.'!E14</f>
        <v>2342.2331932331113</v>
      </c>
      <c r="N23" s="91">
        <f>'Electricity prod.'!E14</f>
        <v>2342.2331932331113</v>
      </c>
      <c r="O23" s="91">
        <f>'Electricity prod.'!E14</f>
        <v>2342.2331932331113</v>
      </c>
      <c r="P23" s="91">
        <f>'Electricity prod.'!G14</f>
        <v>1776.3550429653285</v>
      </c>
      <c r="Q23" s="91">
        <f>'Electricity prod.'!G14</f>
        <v>1776.3550429653285</v>
      </c>
      <c r="R23" s="91">
        <f>'Electricity prod.'!G14</f>
        <v>1776.3550429653285</v>
      </c>
      <c r="S23" s="92">
        <f>'Electricity prod.'!G14</f>
        <v>1776.3550429653285</v>
      </c>
      <c r="T23" s="224">
        <f>'DHW real'!K15+'space heat'!E23+'Electricity demand'!D15+'Spatial dimension'!L$28</f>
        <v>613.6754139867777</v>
      </c>
      <c r="U23" s="225">
        <f>'DHW real'!K15+'space heat'!E23+'Electricity demand'!D15+'Spatial dimension'!O$28</f>
        <v>723.30777873538443</v>
      </c>
      <c r="V23" s="225">
        <f>'DHW real'!K15+'space heat'!E23+'Electricity demand'!F15+'Spatial dimension'!L$28</f>
        <v>714.79815858635493</v>
      </c>
      <c r="W23" s="225">
        <f>'DHW real'!K15+'space heat'!E23+'Electricity demand'!F15+'Spatial dimension'!O$28</f>
        <v>824.43052333496166</v>
      </c>
      <c r="X23" s="225">
        <f>'DHW real'!K15+'space heat'!F23+'Electricity demand'!D15+'Spatial dimension'!L$28</f>
        <v>632.9181985994253</v>
      </c>
      <c r="Y23" s="225">
        <f>'DHW real'!K15+'space heat'!F23+'Electricity demand'!D15+'Spatial dimension'!O$28</f>
        <v>742.55056334803203</v>
      </c>
      <c r="Z23" s="225">
        <f>'DHW real'!K15+'space heat'!F23+'Electricity demand'!F15+'Spatial dimension'!L$28</f>
        <v>734.04094319900264</v>
      </c>
      <c r="AA23" s="225">
        <f>'DHW real'!K15+'space heat'!F23+'Electricity demand'!F15+'Spatial dimension'!O$28</f>
        <v>843.67330794760937</v>
      </c>
      <c r="AB23" s="221"/>
      <c r="AC23" s="226">
        <f>'DHW real'!L15+'space heat'!G23+'Electricity demand'!E15+'Spatial dimension'!M$28</f>
        <v>2627.1992992769033</v>
      </c>
      <c r="AD23" s="226">
        <f>'DHW real'!L15+'space heat'!G23+'Electricity demand'!E15+'Spatial dimension'!P$28</f>
        <v>3074.9748204325288</v>
      </c>
      <c r="AE23" s="226">
        <f>'DHW real'!L15+'space heat'!G23+'Electricity demand'!G15+'Spatial dimension'!M$28</f>
        <v>3001.5479211118773</v>
      </c>
      <c r="AF23" s="226">
        <f>'DHW real'!L15+'space heat'!G23+'Electricity demand'!G15+'Spatial dimension'!P$28</f>
        <v>3449.3234422675032</v>
      </c>
      <c r="AG23" s="226">
        <f>'DHW real'!L15+'space heat'!H23+'Electricity demand'!E15+'Spatial dimension'!M$28</f>
        <v>2678.7015723462996</v>
      </c>
      <c r="AH23" s="226">
        <f>'DHW real'!L15+'space heat'!H23+'Electricity demand'!E15+'Spatial dimension'!P$28</f>
        <v>3126.4770935019251</v>
      </c>
      <c r="AI23" s="226">
        <f>'DHW real'!L15+'space heat'!H23+'Electricity demand'!G15+'Spatial dimension'!M$28</f>
        <v>3053.0501941812736</v>
      </c>
      <c r="AJ23" s="227">
        <f>'DHW real'!L15+'space heat'!H23+'Electricity demand'!G15+'Spatial dimension'!P$28</f>
        <v>3500.8257153368995</v>
      </c>
    </row>
    <row r="24" spans="1:38" x14ac:dyDescent="0.3">
      <c r="A24" s="136"/>
      <c r="B24" s="110" t="s">
        <v>11</v>
      </c>
      <c r="C24" s="102">
        <f>'Electricity prod.'!D15</f>
        <v>685.61373857208036</v>
      </c>
      <c r="D24" s="103">
        <f>'Electricity prod.'!D15</f>
        <v>685.61373857208036</v>
      </c>
      <c r="E24" s="103">
        <f>'Electricity prod.'!D15</f>
        <v>685.61373857208036</v>
      </c>
      <c r="F24" s="103">
        <f>'Electricity prod.'!D15</f>
        <v>685.61373857208036</v>
      </c>
      <c r="G24" s="103">
        <f>'Electricity prod.'!F15</f>
        <v>523.66815997793185</v>
      </c>
      <c r="H24" s="103">
        <f>'Electricity prod.'!F15</f>
        <v>523.66815997793185</v>
      </c>
      <c r="I24" s="103">
        <f>'Electricity prod.'!F15</f>
        <v>523.66815997793185</v>
      </c>
      <c r="J24" s="104">
        <f>'Electricity prod.'!F15</f>
        <v>523.66815997793185</v>
      </c>
      <c r="K24" s="112"/>
      <c r="L24" s="90">
        <f>'Electricity prod.'!E15</f>
        <v>1844.3914371698875</v>
      </c>
      <c r="M24" s="91">
        <f>'Electricity prod.'!E15</f>
        <v>1844.3914371698875</v>
      </c>
      <c r="N24" s="91">
        <f>'Electricity prod.'!E15</f>
        <v>1844.3914371698875</v>
      </c>
      <c r="O24" s="91">
        <f>'Electricity prod.'!E15</f>
        <v>1844.3914371698875</v>
      </c>
      <c r="P24" s="91">
        <f>'Electricity prod.'!G15</f>
        <v>1407.1383749656866</v>
      </c>
      <c r="Q24" s="91">
        <f>'Electricity prod.'!G15</f>
        <v>1407.1383749656866</v>
      </c>
      <c r="R24" s="91">
        <f>'Electricity prod.'!G15</f>
        <v>1407.1383749656866</v>
      </c>
      <c r="S24" s="92">
        <f>'Electricity prod.'!G15</f>
        <v>1407.1383749656866</v>
      </c>
      <c r="T24" s="224">
        <f>'DHW real'!K16+'space heat'!E24+'Electricity demand'!D16+'Spatial dimension'!L$28</f>
        <v>642.87843197104587</v>
      </c>
      <c r="U24" s="225">
        <f>'DHW real'!K16+'space heat'!E24+'Electricity demand'!D16+'Spatial dimension'!O$28</f>
        <v>752.5107967196526</v>
      </c>
      <c r="V24" s="225">
        <f>'DHW real'!K16+'space heat'!E24+'Electricity demand'!F16+'Spatial dimension'!L$28</f>
        <v>745.21580924872899</v>
      </c>
      <c r="W24" s="225">
        <f>'DHW real'!K16+'space heat'!E24+'Electricity demand'!F16+'Spatial dimension'!O$28</f>
        <v>854.84817399733572</v>
      </c>
      <c r="X24" s="225">
        <f>'DHW real'!K16+'space heat'!F24+'Electricity demand'!D16+'Spatial dimension'!L$28</f>
        <v>673.41589450850836</v>
      </c>
      <c r="Y24" s="225">
        <f>'DHW real'!K16+'space heat'!F24+'Electricity demand'!D16+'Spatial dimension'!O$28</f>
        <v>783.04825925711509</v>
      </c>
      <c r="Z24" s="225">
        <f>'DHW real'!K16+'space heat'!F24+'Electricity demand'!F16+'Spatial dimension'!L$28</f>
        <v>775.75327178619148</v>
      </c>
      <c r="AA24" s="225">
        <f>'DHW real'!K16+'space heat'!F24+'Electricity demand'!F16+'Spatial dimension'!O$28</f>
        <v>885.38563653479821</v>
      </c>
      <c r="AB24" s="221"/>
      <c r="AC24" s="226">
        <f>'DHW real'!L16+'space heat'!G24+'Electricity demand'!E16+'Spatial dimension'!M$28</f>
        <v>2823.4535169333644</v>
      </c>
      <c r="AD24" s="226">
        <f>'DHW real'!L16+'space heat'!G24+'Electricity demand'!E16+'Spatial dimension'!P$28</f>
        <v>3271.2290380889904</v>
      </c>
      <c r="AE24" s="226">
        <f>'DHW real'!L16+'space heat'!G24+'Electricity demand'!G16+'Spatial dimension'!M$28</f>
        <v>3202.2986155094036</v>
      </c>
      <c r="AF24" s="226">
        <f>'DHW real'!L16+'space heat'!G24+'Electricity demand'!G16+'Spatial dimension'!P$28</f>
        <v>3650.0741366650291</v>
      </c>
      <c r="AG24" s="226">
        <f>'DHW real'!L16+'space heat'!H24+'Electricity demand'!E16+'Spatial dimension'!M$28</f>
        <v>2905.1853850652328</v>
      </c>
      <c r="AH24" s="226">
        <f>'DHW real'!L16+'space heat'!H24+'Electricity demand'!E16+'Spatial dimension'!P$28</f>
        <v>3352.9609062208583</v>
      </c>
      <c r="AI24" s="226">
        <f>'DHW real'!L16+'space heat'!H24+'Electricity demand'!G16+'Spatial dimension'!M$28</f>
        <v>3284.0304836412715</v>
      </c>
      <c r="AJ24" s="227">
        <f>'DHW real'!L16+'space heat'!H24+'Electricity demand'!G16+'Spatial dimension'!P$28</f>
        <v>3731.8060047968975</v>
      </c>
    </row>
    <row r="25" spans="1:38" ht="15" thickBot="1" x14ac:dyDescent="0.35">
      <c r="A25" s="136"/>
      <c r="B25" s="111" t="s">
        <v>23</v>
      </c>
      <c r="C25" s="106">
        <f>SUM(C13:C24)</f>
        <v>23612.335100422886</v>
      </c>
      <c r="D25" s="107">
        <f t="shared" ref="D25:J25" si="2">SUM(D13:D24)</f>
        <v>23612.335100422886</v>
      </c>
      <c r="E25" s="107">
        <f t="shared" si="2"/>
        <v>23612.335100422886</v>
      </c>
      <c r="F25" s="107">
        <f t="shared" si="2"/>
        <v>23612.335100422886</v>
      </c>
      <c r="G25" s="107">
        <f t="shared" si="2"/>
        <v>17695.191837711751</v>
      </c>
      <c r="H25" s="107">
        <f t="shared" si="2"/>
        <v>17695.191837711751</v>
      </c>
      <c r="I25" s="107">
        <f t="shared" si="2"/>
        <v>17695.191837711751</v>
      </c>
      <c r="J25" s="108">
        <f t="shared" si="2"/>
        <v>17695.191837711751</v>
      </c>
      <c r="K25" s="112"/>
      <c r="L25" s="96">
        <f t="shared" ref="L25:S25" si="3">SUM(L13:L24)</f>
        <v>63572.856914962016</v>
      </c>
      <c r="M25" s="97">
        <f t="shared" si="3"/>
        <v>63572.856914962016</v>
      </c>
      <c r="N25" s="97">
        <f t="shared" si="3"/>
        <v>63572.856914962016</v>
      </c>
      <c r="O25" s="97">
        <f t="shared" si="3"/>
        <v>63572.856914962016</v>
      </c>
      <c r="P25" s="97">
        <f t="shared" si="3"/>
        <v>47596.570105641949</v>
      </c>
      <c r="Q25" s="97">
        <f t="shared" si="3"/>
        <v>47596.570105641949</v>
      </c>
      <c r="R25" s="97">
        <f>SUM(R13:R24)</f>
        <v>47596.570105641949</v>
      </c>
      <c r="S25" s="98">
        <f t="shared" si="3"/>
        <v>47596.570105641949</v>
      </c>
      <c r="T25" s="228">
        <f t="shared" ref="T25:AA25" si="4">SUM(T13:T24)</f>
        <v>7051.0054360068807</v>
      </c>
      <c r="U25" s="229">
        <f t="shared" si="4"/>
        <v>8366.5938129901588</v>
      </c>
      <c r="V25" s="229">
        <f t="shared" si="4"/>
        <v>8190.6894360068791</v>
      </c>
      <c r="W25" s="229">
        <f t="shared" si="4"/>
        <v>9506.2778129901617</v>
      </c>
      <c r="X25" s="229">
        <f t="shared" si="4"/>
        <v>7190.3064637462639</v>
      </c>
      <c r="Y25" s="229">
        <f t="shared" si="4"/>
        <v>8505.8948407295447</v>
      </c>
      <c r="Z25" s="229">
        <f t="shared" si="4"/>
        <v>8329.9904637462641</v>
      </c>
      <c r="AA25" s="229">
        <f t="shared" si="4"/>
        <v>9645.578840729544</v>
      </c>
      <c r="AB25" s="230"/>
      <c r="AC25" s="231">
        <f t="shared" ref="AC25:AD25" si="5">SUM(AC13:AC24)</f>
        <v>29652.35197828184</v>
      </c>
      <c r="AD25" s="231">
        <f t="shared" si="5"/>
        <v>35025.658232149348</v>
      </c>
      <c r="AE25" s="231">
        <f t="shared" ref="AE25" si="6">SUM(AE13:AE24)</f>
        <v>33871.374478281839</v>
      </c>
      <c r="AF25" s="231">
        <f t="shared" ref="AF25" si="7">SUM(AF13:AF24)</f>
        <v>39244.680732149354</v>
      </c>
      <c r="AG25" s="231">
        <f t="shared" ref="AG25" si="8">SUM(AG13:AG24)</f>
        <v>30025.183650718991</v>
      </c>
      <c r="AH25" s="231">
        <f t="shared" ref="AH25" si="9">SUM(AH13:AH24)</f>
        <v>35398.489904586502</v>
      </c>
      <c r="AI25" s="231">
        <f t="shared" ref="AI25" si="10">SUM(AI13:AI24)</f>
        <v>34244.206150718994</v>
      </c>
      <c r="AJ25" s="232">
        <f t="shared" ref="AJ25" si="11">SUM(AJ13:AJ24)</f>
        <v>39617.512404586509</v>
      </c>
      <c r="AK25" s="115"/>
      <c r="AL25" s="115"/>
    </row>
    <row r="26" spans="1:38" ht="15" thickBot="1" x14ac:dyDescent="0.35">
      <c r="A26" s="136"/>
      <c r="B26" s="7"/>
      <c r="C26" s="233"/>
      <c r="D26" s="233"/>
      <c r="E26" s="233"/>
      <c r="F26" s="233"/>
      <c r="G26" s="233"/>
      <c r="H26" s="233"/>
      <c r="I26" s="233"/>
      <c r="J26" s="233"/>
      <c r="K26" s="112"/>
      <c r="L26" s="233"/>
      <c r="M26" s="233"/>
      <c r="N26" s="233"/>
      <c r="O26" s="233"/>
      <c r="P26" s="233"/>
      <c r="Q26" s="233"/>
      <c r="R26" s="233"/>
      <c r="S26" s="234"/>
    </row>
    <row r="27" spans="1:38" x14ac:dyDescent="0.3">
      <c r="A27" s="209" t="s">
        <v>275</v>
      </c>
      <c r="B27" s="210"/>
      <c r="C27" s="116">
        <f>C6-C11</f>
        <v>7051.0054360068789</v>
      </c>
      <c r="D27" s="116">
        <f t="shared" ref="D27:S27" si="12">D6-D11</f>
        <v>8366.5938129901624</v>
      </c>
      <c r="E27" s="116">
        <f t="shared" si="12"/>
        <v>8190.68943600688</v>
      </c>
      <c r="F27" s="116">
        <f t="shared" si="12"/>
        <v>9506.2778129901599</v>
      </c>
      <c r="G27" s="116">
        <f t="shared" si="12"/>
        <v>7190.3064637462649</v>
      </c>
      <c r="H27" s="116">
        <f t="shared" si="12"/>
        <v>8505.8948407295466</v>
      </c>
      <c r="I27" s="116">
        <f t="shared" si="12"/>
        <v>8329.9904637462623</v>
      </c>
      <c r="J27" s="117">
        <f t="shared" si="12"/>
        <v>9645.578840729544</v>
      </c>
      <c r="K27" s="235"/>
      <c r="L27" s="130">
        <f>L6-L11</f>
        <v>29652.351978281833</v>
      </c>
      <c r="M27" s="116">
        <f t="shared" si="12"/>
        <v>35025.658232149348</v>
      </c>
      <c r="N27" s="116">
        <f t="shared" si="12"/>
        <v>33871.374478281839</v>
      </c>
      <c r="O27" s="116">
        <f t="shared" si="12"/>
        <v>39244.680732149354</v>
      </c>
      <c r="P27" s="116">
        <f t="shared" si="12"/>
        <v>30025.183650718991</v>
      </c>
      <c r="Q27" s="116">
        <f t="shared" si="12"/>
        <v>35398.489904586502</v>
      </c>
      <c r="R27" s="116">
        <f>R6-R11</f>
        <v>34244.206150718994</v>
      </c>
      <c r="S27" s="117">
        <f t="shared" si="12"/>
        <v>39617.512404586509</v>
      </c>
    </row>
    <row r="28" spans="1:38" x14ac:dyDescent="0.3">
      <c r="A28" s="211" t="s">
        <v>143</v>
      </c>
      <c r="B28" s="216"/>
      <c r="C28" s="217">
        <f>C27/365</f>
        <v>19.317823112347615</v>
      </c>
      <c r="D28" s="217">
        <f>D27/365</f>
        <v>22.922174830110034</v>
      </c>
      <c r="E28" s="217">
        <f t="shared" ref="E28:J28" si="13">E27/365</f>
        <v>22.440245030155836</v>
      </c>
      <c r="F28" s="217">
        <f t="shared" si="13"/>
        <v>26.044596747918245</v>
      </c>
      <c r="G28" s="217">
        <f t="shared" si="13"/>
        <v>19.699469763688398</v>
      </c>
      <c r="H28" s="217">
        <f t="shared" si="13"/>
        <v>23.303821481450811</v>
      </c>
      <c r="I28" s="217">
        <f t="shared" si="13"/>
        <v>22.821891681496609</v>
      </c>
      <c r="J28" s="119">
        <f t="shared" si="13"/>
        <v>26.426243399259025</v>
      </c>
      <c r="K28" s="219"/>
      <c r="L28" s="127">
        <f>L27/365</f>
        <v>81.239320488443383</v>
      </c>
      <c r="M28" s="217">
        <f t="shared" ref="M28" si="14">M27/365</f>
        <v>95.960707485340677</v>
      </c>
      <c r="N28" s="217">
        <f t="shared" ref="N28" si="15">N27/365</f>
        <v>92.798286241868055</v>
      </c>
      <c r="O28" s="217">
        <f t="shared" ref="O28" si="16">O27/365</f>
        <v>107.51967323876535</v>
      </c>
      <c r="P28" s="217">
        <f t="shared" ref="P28" si="17">P27/365</f>
        <v>82.260777125257505</v>
      </c>
      <c r="Q28" s="217">
        <f t="shared" ref="Q28" si="18">Q27/365</f>
        <v>96.982164122154799</v>
      </c>
      <c r="R28" s="217">
        <f t="shared" ref="R28:S28" si="19">R27/365</f>
        <v>93.819742878682177</v>
      </c>
      <c r="S28" s="119">
        <f t="shared" si="19"/>
        <v>108.54112987557947</v>
      </c>
    </row>
    <row r="29" spans="1:38" x14ac:dyDescent="0.3">
      <c r="A29" s="208" t="s">
        <v>144</v>
      </c>
      <c r="B29" s="218"/>
      <c r="C29" s="217">
        <f>C28*2</f>
        <v>38.635646224695229</v>
      </c>
      <c r="D29" s="217">
        <f t="shared" ref="D29:S29" si="20">D28*2</f>
        <v>45.844349660220068</v>
      </c>
      <c r="E29" s="217">
        <f t="shared" si="20"/>
        <v>44.880490060311672</v>
      </c>
      <c r="F29" s="217">
        <f t="shared" si="20"/>
        <v>52.08919349583649</v>
      </c>
      <c r="G29" s="217">
        <f t="shared" si="20"/>
        <v>39.398939527376797</v>
      </c>
      <c r="H29" s="217">
        <f t="shared" si="20"/>
        <v>46.607642962901622</v>
      </c>
      <c r="I29" s="217">
        <f t="shared" si="20"/>
        <v>45.643783362993219</v>
      </c>
      <c r="J29" s="119">
        <f t="shared" si="20"/>
        <v>52.852486798518051</v>
      </c>
      <c r="K29" s="219"/>
      <c r="L29" s="127">
        <f>L28*2</f>
        <v>162.47864097688677</v>
      </c>
      <c r="M29" s="217">
        <f t="shared" si="20"/>
        <v>191.92141497068135</v>
      </c>
      <c r="N29" s="217">
        <f t="shared" si="20"/>
        <v>185.59657248373611</v>
      </c>
      <c r="O29" s="217">
        <f t="shared" si="20"/>
        <v>215.0393464775307</v>
      </c>
      <c r="P29" s="217">
        <f t="shared" si="20"/>
        <v>164.52155425051501</v>
      </c>
      <c r="Q29" s="217">
        <f t="shared" si="20"/>
        <v>193.9643282443096</v>
      </c>
      <c r="R29" s="217">
        <f t="shared" si="20"/>
        <v>187.63948575736435</v>
      </c>
      <c r="S29" s="119">
        <f t="shared" si="20"/>
        <v>217.08225975115894</v>
      </c>
    </row>
    <row r="30" spans="1:38" ht="15" thickBot="1" x14ac:dyDescent="0.35">
      <c r="A30" s="129"/>
      <c r="B30" s="122" t="s">
        <v>276</v>
      </c>
      <c r="C30" s="124">
        <f>C6</f>
        <v>23612.335100422886</v>
      </c>
      <c r="D30" s="124">
        <f>D6</f>
        <v>23612.335100422886</v>
      </c>
      <c r="E30" s="124">
        <f>E6</f>
        <v>23612.335100422886</v>
      </c>
      <c r="F30" s="124">
        <f>F6</f>
        <v>23612.335100422886</v>
      </c>
      <c r="G30" s="124">
        <f>G6</f>
        <v>17695.191837711751</v>
      </c>
      <c r="H30" s="124">
        <f>H6</f>
        <v>17695.191837711751</v>
      </c>
      <c r="I30" s="124">
        <f>I6</f>
        <v>17695.191837711751</v>
      </c>
      <c r="J30" s="126">
        <f>J6</f>
        <v>17695.191837711751</v>
      </c>
      <c r="K30" s="137"/>
      <c r="L30" s="131">
        <f>L6</f>
        <v>63572.856914962016</v>
      </c>
      <c r="M30" s="124">
        <f>M6</f>
        <v>63572.856914962016</v>
      </c>
      <c r="N30" s="124">
        <f>N6</f>
        <v>63572.856914962016</v>
      </c>
      <c r="O30" s="124">
        <f>O6</f>
        <v>63572.856914962016</v>
      </c>
      <c r="P30" s="124">
        <f>P6</f>
        <v>47596.570105641949</v>
      </c>
      <c r="Q30" s="124">
        <f>Q6</f>
        <v>47596.570105641949</v>
      </c>
      <c r="R30" s="124">
        <f>R6</f>
        <v>47596.570105641949</v>
      </c>
      <c r="S30" s="126">
        <f>S6</f>
        <v>47596.570105641949</v>
      </c>
    </row>
    <row r="31" spans="1:38" s="114" customFormat="1" x14ac:dyDescent="0.3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1:38" s="114" customFormat="1" x14ac:dyDescent="0.3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24" s="114" customFormat="1" x14ac:dyDescent="0.3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24" s="114" customFormat="1" x14ac:dyDescent="0.3">
      <c r="A34" s="112"/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2"/>
      <c r="M34" s="112"/>
      <c r="N34" s="112"/>
      <c r="O34" s="112"/>
      <c r="P34" s="112"/>
      <c r="Q34" s="112"/>
      <c r="R34" s="112"/>
      <c r="S34" s="112"/>
      <c r="T34" s="115"/>
      <c r="U34" s="115"/>
      <c r="V34" s="115"/>
      <c r="W34" s="115"/>
      <c r="X34" s="115"/>
    </row>
    <row r="35" spans="1:24" s="114" customFormat="1" x14ac:dyDescent="0.3">
      <c r="A35" s="112"/>
      <c r="B35" s="112"/>
      <c r="C35" s="113"/>
      <c r="D35" s="113"/>
      <c r="E35" s="113"/>
      <c r="F35" s="113"/>
      <c r="G35" s="113"/>
      <c r="H35" s="113"/>
      <c r="I35" s="173"/>
      <c r="J35" s="173"/>
      <c r="K35" s="173"/>
      <c r="L35" s="112"/>
      <c r="M35" s="112"/>
      <c r="N35" s="112"/>
      <c r="O35" s="112"/>
      <c r="P35" s="112"/>
      <c r="Q35" s="112"/>
      <c r="R35" s="112"/>
      <c r="S35" s="112"/>
      <c r="T35" s="115"/>
      <c r="U35" s="115"/>
      <c r="V35" s="115"/>
    </row>
    <row r="36" spans="1:24" s="114" customFormat="1" x14ac:dyDescent="0.3">
      <c r="A36" s="112"/>
      <c r="B36" s="112"/>
      <c r="C36" s="113"/>
      <c r="D36" s="113"/>
      <c r="E36" s="113"/>
      <c r="F36" s="113"/>
      <c r="G36" s="113"/>
      <c r="H36" s="113"/>
      <c r="I36" s="173"/>
      <c r="J36" s="173"/>
      <c r="K36" s="173"/>
      <c r="L36" s="112"/>
      <c r="M36" s="112"/>
      <c r="N36" s="112"/>
      <c r="O36" s="112"/>
      <c r="P36" s="112"/>
      <c r="Q36" s="112"/>
      <c r="R36" s="112"/>
      <c r="S36" s="112"/>
      <c r="T36" s="115"/>
      <c r="U36" s="115"/>
      <c r="V36" s="115"/>
    </row>
    <row r="37" spans="1:24" s="114" customFormat="1" x14ac:dyDescent="0.3">
      <c r="A37" s="112"/>
      <c r="B37" s="112"/>
      <c r="C37" s="113"/>
      <c r="D37" s="113"/>
      <c r="E37" s="113"/>
      <c r="F37" s="113"/>
      <c r="G37" s="113"/>
      <c r="H37" s="113"/>
      <c r="I37" s="173"/>
      <c r="J37" s="173"/>
      <c r="K37" s="173"/>
      <c r="L37" s="112"/>
      <c r="M37" s="112"/>
      <c r="N37" s="112"/>
      <c r="O37" s="112"/>
      <c r="P37" s="112"/>
      <c r="Q37" s="112"/>
      <c r="R37" s="112"/>
      <c r="S37" s="112"/>
      <c r="T37" s="115"/>
      <c r="U37" s="115"/>
      <c r="V37" s="115"/>
    </row>
    <row r="38" spans="1:24" s="114" customFormat="1" x14ac:dyDescent="0.3">
      <c r="A38" s="112"/>
      <c r="B38" s="112"/>
      <c r="C38" s="113"/>
      <c r="D38" s="113"/>
      <c r="E38" s="113"/>
      <c r="F38" s="113"/>
      <c r="G38" s="113"/>
      <c r="H38" s="113"/>
      <c r="I38" s="173"/>
      <c r="J38" s="173"/>
      <c r="K38" s="173"/>
      <c r="L38" s="112"/>
      <c r="M38" s="112"/>
      <c r="N38" s="112"/>
      <c r="O38" s="112"/>
      <c r="P38" s="112"/>
      <c r="Q38" s="112"/>
      <c r="R38" s="112"/>
      <c r="S38" s="112"/>
      <c r="T38" s="115"/>
      <c r="U38" s="115"/>
      <c r="V38" s="115"/>
    </row>
    <row r="39" spans="1:24" s="114" customFormat="1" x14ac:dyDescent="0.3">
      <c r="A39" s="112"/>
      <c r="B39" s="112"/>
      <c r="C39" s="113"/>
      <c r="D39" s="113"/>
      <c r="E39" s="113"/>
      <c r="F39" s="113"/>
      <c r="G39" s="113"/>
      <c r="H39" s="113"/>
      <c r="I39" s="173"/>
      <c r="J39" s="173"/>
      <c r="K39" s="173"/>
      <c r="L39" s="112"/>
      <c r="M39" s="112"/>
      <c r="N39" s="112"/>
      <c r="O39" s="112"/>
      <c r="P39" s="112"/>
      <c r="Q39" s="112"/>
      <c r="R39" s="112"/>
      <c r="S39" s="112"/>
      <c r="T39" s="115"/>
      <c r="U39" s="115"/>
      <c r="V39" s="115"/>
    </row>
    <row r="40" spans="1:24" s="114" customFormat="1" x14ac:dyDescent="0.3">
      <c r="A40" s="112"/>
      <c r="B40" s="112"/>
      <c r="C40" s="113"/>
      <c r="D40" s="113"/>
      <c r="E40" s="113"/>
      <c r="F40" s="113"/>
      <c r="G40" s="113"/>
      <c r="H40" s="113"/>
      <c r="I40" s="173"/>
      <c r="J40" s="173"/>
      <c r="K40" s="173"/>
      <c r="L40" s="112"/>
      <c r="M40" s="112"/>
      <c r="N40" s="112"/>
      <c r="O40" s="112"/>
      <c r="P40" s="112"/>
      <c r="Q40" s="112"/>
      <c r="R40" s="112"/>
      <c r="S40" s="112"/>
      <c r="T40" s="115"/>
      <c r="U40" s="115"/>
      <c r="V40" s="115"/>
      <c r="W40" s="115"/>
    </row>
    <row r="41" spans="1:24" s="114" customFormat="1" x14ac:dyDescent="0.3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3"/>
      <c r="M41" s="113"/>
      <c r="N41" s="113"/>
      <c r="O41" s="112"/>
      <c r="P41" s="112"/>
      <c r="Q41" s="112"/>
      <c r="R41" s="112"/>
      <c r="S41" s="112"/>
    </row>
    <row r="42" spans="1:24" s="114" customFormat="1" x14ac:dyDescent="0.3">
      <c r="A42" s="112"/>
      <c r="B42" s="112"/>
      <c r="C42" s="11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24" s="114" customFormat="1" x14ac:dyDescent="0.3">
      <c r="A43" s="112"/>
      <c r="B43" s="112"/>
      <c r="C43" s="11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24" s="114" customFormat="1" x14ac:dyDescent="0.3">
      <c r="A44" s="112"/>
      <c r="B44" s="112"/>
      <c r="C44" s="113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1:24" s="114" customFormat="1" x14ac:dyDescent="0.3">
      <c r="A45" s="112"/>
      <c r="B45" s="112"/>
      <c r="C45" s="11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1:24" s="114" customFormat="1" x14ac:dyDescent="0.3">
      <c r="A46" s="112"/>
      <c r="B46" s="112"/>
      <c r="C46" s="113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1:24" s="114" customFormat="1" x14ac:dyDescent="0.3">
      <c r="A47" s="112"/>
      <c r="B47" s="112"/>
      <c r="C47" s="113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24" s="114" customFormat="1" x14ac:dyDescent="0.3">
      <c r="A48" s="112"/>
      <c r="B48" s="112"/>
      <c r="C48" s="113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9" s="114" customFormat="1" x14ac:dyDescent="0.3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</row>
    <row r="50" spans="1:19" s="114" customFormat="1" x14ac:dyDescent="0.3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1:19" s="114" customFormat="1" x14ac:dyDescent="0.3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1:19" s="114" customFormat="1" x14ac:dyDescent="0.3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</row>
    <row r="53" spans="1:19" s="114" customFormat="1" x14ac:dyDescent="0.3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</row>
    <row r="54" spans="1:19" s="114" customFormat="1" x14ac:dyDescent="0.3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</row>
    <row r="55" spans="1:19" s="114" customFormat="1" x14ac:dyDescent="0.3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</row>
    <row r="56" spans="1:19" s="114" customFormat="1" x14ac:dyDescent="0.3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1:19" s="114" customFormat="1" x14ac:dyDescent="0.3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</row>
    <row r="58" spans="1:19" s="114" customFormat="1" x14ac:dyDescent="0.3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</row>
    <row r="59" spans="1:19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</sheetData>
  <mergeCells count="37">
    <mergeCell ref="L26:S26"/>
    <mergeCell ref="T1:AJ1"/>
    <mergeCell ref="T2:AA2"/>
    <mergeCell ref="AC2:AJ2"/>
    <mergeCell ref="T3:W3"/>
    <mergeCell ref="X3:AA3"/>
    <mergeCell ref="AC3:AF3"/>
    <mergeCell ref="AG3:AJ3"/>
    <mergeCell ref="T4:U4"/>
    <mergeCell ref="V4:W4"/>
    <mergeCell ref="X4:Y4"/>
    <mergeCell ref="Z4:AA4"/>
    <mergeCell ref="AC4:AD4"/>
    <mergeCell ref="AE4:AF4"/>
    <mergeCell ref="AG4:AH4"/>
    <mergeCell ref="AI4:AJ4"/>
    <mergeCell ref="A29:B29"/>
    <mergeCell ref="G3:J3"/>
    <mergeCell ref="C4:D4"/>
    <mergeCell ref="A27:B27"/>
    <mergeCell ref="A28:B28"/>
    <mergeCell ref="E4:F4"/>
    <mergeCell ref="I4:J4"/>
    <mergeCell ref="G4:H4"/>
    <mergeCell ref="C12:J12"/>
    <mergeCell ref="C26:J26"/>
    <mergeCell ref="C1:S1"/>
    <mergeCell ref="L12:S12"/>
    <mergeCell ref="L2:S2"/>
    <mergeCell ref="L3:O3"/>
    <mergeCell ref="P3:S3"/>
    <mergeCell ref="L4:M4"/>
    <mergeCell ref="N4:O4"/>
    <mergeCell ref="P4:Q4"/>
    <mergeCell ref="R4:S4"/>
    <mergeCell ref="C2:J2"/>
    <mergeCell ref="C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8C114-7B93-440B-9EB4-70DEA7B430EE}">
  <dimension ref="B3:V12"/>
  <sheetViews>
    <sheetView workbookViewId="0">
      <selection activeCell="D6" sqref="D6"/>
    </sheetView>
  </sheetViews>
  <sheetFormatPr defaultRowHeight="14.4" x14ac:dyDescent="0.3"/>
  <sheetData>
    <row r="3" spans="2:22" x14ac:dyDescent="0.3">
      <c r="G3" t="s">
        <v>298</v>
      </c>
      <c r="H3" t="s">
        <v>299</v>
      </c>
      <c r="I3" t="s">
        <v>300</v>
      </c>
      <c r="J3" t="s">
        <v>301</v>
      </c>
      <c r="K3" t="s">
        <v>302</v>
      </c>
      <c r="L3" t="s">
        <v>303</v>
      </c>
      <c r="M3" t="s">
        <v>304</v>
      </c>
      <c r="N3" t="s">
        <v>305</v>
      </c>
      <c r="O3" t="s">
        <v>286</v>
      </c>
      <c r="P3" t="s">
        <v>129</v>
      </c>
      <c r="Q3" t="s">
        <v>287</v>
      </c>
      <c r="R3" t="s">
        <v>288</v>
      </c>
      <c r="S3" t="s">
        <v>289</v>
      </c>
      <c r="T3" t="s">
        <v>290</v>
      </c>
      <c r="U3" t="s">
        <v>291</v>
      </c>
      <c r="V3" t="s">
        <v>292</v>
      </c>
    </row>
    <row r="4" spans="2:22" x14ac:dyDescent="0.3">
      <c r="D4" s="212"/>
      <c r="F4">
        <v>22.1</v>
      </c>
      <c r="G4">
        <f>'1Price SNPU'!J6</f>
        <v>86636.394217894485</v>
      </c>
      <c r="H4">
        <f>'2Price SNPR'!$J$6</f>
        <v>90391.042047452793</v>
      </c>
      <c r="I4">
        <f>'3Price SNCU'!$J$6</f>
        <v>89889.016490823473</v>
      </c>
      <c r="J4">
        <f>'4Price SNCR'!$J$6</f>
        <v>93643.664320381838</v>
      </c>
      <c r="K4">
        <f>'5Price SRPU'!$J$6</f>
        <v>80542.538453149813</v>
      </c>
      <c r="L4">
        <f>'6Price SRPR'!$J$6</f>
        <v>84297.186282708106</v>
      </c>
      <c r="M4">
        <f>'7Price SRCU'!$J$6</f>
        <v>83795.160726078815</v>
      </c>
      <c r="N4">
        <f>'8Price SRCR'!$J$6</f>
        <v>87549.808555637093</v>
      </c>
      <c r="O4">
        <f>'1Price MNPU'!J6</f>
        <v>298905.68069981731</v>
      </c>
      <c r="P4">
        <f>'2Price MNPR'!$J$6</f>
        <v>314240.92766353552</v>
      </c>
      <c r="Q4">
        <f>'3Price MNCU'!$J$6</f>
        <v>310946.63815248723</v>
      </c>
      <c r="R4">
        <f>'4Price MNCR'!$J$6</f>
        <v>326281.88511620543</v>
      </c>
      <c r="S4">
        <f>'5Price MRPU'!$J$6</f>
        <v>282442.90597183636</v>
      </c>
      <c r="T4">
        <f>'6Price MRPR'!$J$6</f>
        <v>297778.15293555456</v>
      </c>
      <c r="U4">
        <f>'7Price MRCU'!$J$6</f>
        <v>294483.86342450627</v>
      </c>
      <c r="V4">
        <f>'8Price MRCR'!$J$6</f>
        <v>309819.11038822448</v>
      </c>
    </row>
    <row r="5" spans="2:22" x14ac:dyDescent="0.3">
      <c r="B5" t="s">
        <v>306</v>
      </c>
      <c r="D5" s="212"/>
      <c r="F5">
        <v>22.1</v>
      </c>
      <c r="G5">
        <f>'1Price SNPU'!$O$6</f>
        <v>46479.543045312188</v>
      </c>
      <c r="H5">
        <f>'2Price SNPR'!$O$6</f>
        <v>52022.118412755437</v>
      </c>
      <c r="I5">
        <f>'3Price SNCU'!$O$6</f>
        <v>51281.033067255041</v>
      </c>
      <c r="J5">
        <f>'4Price SNCR'!$O$6</f>
        <v>56823.608434698268</v>
      </c>
      <c r="K5">
        <f>'5Price SRPU'!$O$6</f>
        <v>53039.467658660797</v>
      </c>
      <c r="L5">
        <f>'6Price SRPR'!$O$6</f>
        <v>58582.043026104024</v>
      </c>
      <c r="M5">
        <f>'7Price SRCU'!$O$6</f>
        <v>57840.957680603598</v>
      </c>
      <c r="N5">
        <f>'8Price SRCR'!$O$6</f>
        <v>63383.533048046855</v>
      </c>
      <c r="O5">
        <f>'1Price MNPU'!$O$6</f>
        <v>205287.93454366535</v>
      </c>
      <c r="P5">
        <f>'2Price MNPR'!$O$6</f>
        <v>227925.68006153509</v>
      </c>
      <c r="Q5">
        <f>'3Price MNCU'!$O$6</f>
        <v>223062.68125951139</v>
      </c>
      <c r="R5">
        <f>'4Price MNCR'!$O$6</f>
        <v>245700.42677738122</v>
      </c>
      <c r="S5">
        <f>'5Price MRPU'!$O$6</f>
        <v>222985.90771121718</v>
      </c>
      <c r="T5">
        <f>'6Price MRPR'!$O$6</f>
        <v>245623.65322908689</v>
      </c>
      <c r="U5">
        <f>'7Price MRCU'!$O$6</f>
        <v>240760.65442706324</v>
      </c>
      <c r="V5">
        <f>'8Price MRCR'!$O$6</f>
        <v>263398.3999449329</v>
      </c>
    </row>
    <row r="6" spans="2:22" x14ac:dyDescent="0.3">
      <c r="D6" s="212"/>
    </row>
    <row r="7" spans="2:22" x14ac:dyDescent="0.3">
      <c r="D7" s="212"/>
    </row>
    <row r="9" spans="2:22" x14ac:dyDescent="0.3">
      <c r="D9" s="205" t="s">
        <v>308</v>
      </c>
      <c r="E9" t="s">
        <v>296</v>
      </c>
      <c r="F9">
        <v>22.1</v>
      </c>
      <c r="G9">
        <v>85433.021693713992</v>
      </c>
      <c r="H9">
        <v>89187.66952327227</v>
      </c>
      <c r="I9">
        <v>88685.643966642951</v>
      </c>
      <c r="J9">
        <v>92440.291796201287</v>
      </c>
      <c r="K9">
        <v>79640.725583857362</v>
      </c>
      <c r="L9">
        <v>83395.373413415684</v>
      </c>
      <c r="M9">
        <v>82893.347856786364</v>
      </c>
      <c r="N9">
        <v>86647.995686344642</v>
      </c>
      <c r="O9">
        <v>295665.77117923123</v>
      </c>
      <c r="P9">
        <v>311001.01814294944</v>
      </c>
      <c r="Q9">
        <v>307706.72863190115</v>
      </c>
      <c r="R9">
        <v>323041.97559561941</v>
      </c>
      <c r="S9">
        <v>280017.2075194483</v>
      </c>
      <c r="T9">
        <v>295352.45448316657</v>
      </c>
      <c r="U9">
        <v>292058.16497211816</v>
      </c>
      <c r="V9">
        <v>307393.41193583631</v>
      </c>
    </row>
    <row r="10" spans="2:22" x14ac:dyDescent="0.3">
      <c r="B10" t="s">
        <v>307</v>
      </c>
      <c r="D10" s="205"/>
      <c r="E10" t="s">
        <v>295</v>
      </c>
      <c r="F10">
        <v>22.1</v>
      </c>
      <c r="G10">
        <v>54602.307583530986</v>
      </c>
      <c r="H10">
        <v>60144.882950974206</v>
      </c>
      <c r="I10">
        <v>59403.797605473803</v>
      </c>
      <c r="J10">
        <v>64946.372972917052</v>
      </c>
      <c r="K10">
        <v>59126.704526384608</v>
      </c>
      <c r="L10">
        <v>64669.279893827828</v>
      </c>
      <c r="M10">
        <v>63928.194548327418</v>
      </c>
      <c r="N10">
        <v>69470.769915770652</v>
      </c>
      <c r="O10">
        <v>227157.32380762097</v>
      </c>
      <c r="P10">
        <v>249795.06932549065</v>
      </c>
      <c r="Q10">
        <v>244932.07052346703</v>
      </c>
      <c r="R10">
        <v>267569.81604133686</v>
      </c>
      <c r="S10">
        <v>239359.37226483639</v>
      </c>
      <c r="T10">
        <v>261997.11778270602</v>
      </c>
      <c r="U10">
        <v>257134.11898068237</v>
      </c>
      <c r="V10">
        <v>279771.86449855211</v>
      </c>
    </row>
    <row r="11" spans="2:22" x14ac:dyDescent="0.3">
      <c r="D11" s="205"/>
      <c r="E11" t="s">
        <v>296</v>
      </c>
      <c r="F11">
        <v>27.2</v>
      </c>
      <c r="G11">
        <v>86636.394217894485</v>
      </c>
      <c r="H11">
        <v>90391.042047452793</v>
      </c>
      <c r="I11">
        <v>89889.016490823473</v>
      </c>
      <c r="J11">
        <v>93643.664320381838</v>
      </c>
      <c r="K11">
        <v>80542.538453149813</v>
      </c>
      <c r="L11">
        <v>84297.186282708106</v>
      </c>
      <c r="M11">
        <v>83795.160726078815</v>
      </c>
      <c r="N11">
        <v>87549.808555637093</v>
      </c>
      <c r="O11">
        <v>298905.68069981731</v>
      </c>
      <c r="P11">
        <v>314240.92766353552</v>
      </c>
      <c r="Q11">
        <v>310946.63815248723</v>
      </c>
      <c r="R11">
        <v>326281.88511620543</v>
      </c>
      <c r="S11">
        <v>282442.90597183636</v>
      </c>
      <c r="T11">
        <v>297778.15293555456</v>
      </c>
      <c r="U11">
        <v>294483.86342450627</v>
      </c>
      <c r="V11">
        <v>309819.11038822448</v>
      </c>
    </row>
    <row r="12" spans="2:22" x14ac:dyDescent="0.3">
      <c r="D12" s="205"/>
      <c r="E12" t="s">
        <v>295</v>
      </c>
      <c r="F12">
        <v>27.2</v>
      </c>
      <c r="G12">
        <v>46479.543045312188</v>
      </c>
      <c r="H12">
        <v>52022.118412755437</v>
      </c>
      <c r="I12">
        <v>51281.033067255041</v>
      </c>
      <c r="J12">
        <v>56823.608434698268</v>
      </c>
      <c r="K12">
        <v>53039.467658660797</v>
      </c>
      <c r="L12">
        <v>58582.043026104024</v>
      </c>
      <c r="M12">
        <v>57840.957680603598</v>
      </c>
      <c r="N12">
        <v>63383.533048046855</v>
      </c>
      <c r="O12">
        <v>205287.93454366535</v>
      </c>
      <c r="P12">
        <v>227925.68006153509</v>
      </c>
      <c r="Q12">
        <v>223062.68125951139</v>
      </c>
      <c r="R12">
        <v>245700.42677738122</v>
      </c>
      <c r="S12">
        <v>222985.90771121718</v>
      </c>
      <c r="T12">
        <v>245623.65322908689</v>
      </c>
      <c r="U12">
        <v>240760.65442706324</v>
      </c>
      <c r="V12">
        <v>263398.3999449329</v>
      </c>
    </row>
  </sheetData>
  <mergeCells count="1">
    <mergeCell ref="D9:D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E26D-D676-45EA-98A4-D16ACD3241FF}">
  <dimension ref="A1:BG113"/>
  <sheetViews>
    <sheetView tabSelected="1" workbookViewId="0">
      <selection activeCell="C14" sqref="C1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59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4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7"/>
      <c r="B5" s="24" t="s">
        <v>189</v>
      </c>
      <c r="C5" s="76">
        <f>Cases!C30</f>
        <v>23612.335100422886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0.26997997028254994</v>
      </c>
      <c r="K5" s="7"/>
      <c r="L5" s="24"/>
      <c r="M5" s="213"/>
      <c r="N5" s="213"/>
      <c r="O5" s="23">
        <f>SUM(L7:L27)/SUM(M7:M49)</f>
        <v>0.14484150412077076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86636.394217894485</v>
      </c>
      <c r="K6" s="7"/>
      <c r="L6" s="24"/>
      <c r="M6" s="213"/>
      <c r="N6" s="213"/>
      <c r="O6" s="23">
        <f>O5*SUM(M7:M27)</f>
        <v>46479.543045312188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7"/>
      <c r="B7" s="213"/>
      <c r="C7" s="213"/>
      <c r="D7" s="7"/>
      <c r="E7" s="7"/>
      <c r="F7" s="24">
        <v>2050</v>
      </c>
      <c r="G7" s="214">
        <f>SUM(C22,C33,C37)</f>
        <v>57376.994516821636</v>
      </c>
      <c r="H7" s="213"/>
      <c r="I7" s="213"/>
      <c r="J7" s="76"/>
      <c r="K7" s="7"/>
      <c r="L7" s="24">
        <f>SUM(C22,C33,C37)</f>
        <v>57376.994516821636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7"/>
      <c r="B8" s="213"/>
      <c r="C8" s="213"/>
      <c r="D8" s="7"/>
      <c r="E8" s="7"/>
      <c r="F8" s="24">
        <v>1</v>
      </c>
      <c r="G8" s="213">
        <f>SUM(C$25,$C$9,C$38,(Cases!$T$25*sensitivity!$C$12),(-Cases!$C$25*sensitivity!$C$11))/((1+C$2)^F8)</f>
        <v>2070.1517726633679</v>
      </c>
      <c r="H8" s="213">
        <f>C$5/((1+C$2)^F8)</f>
        <v>22704.168365791236</v>
      </c>
      <c r="I8" s="213"/>
      <c r="J8" s="23"/>
      <c r="K8" s="7"/>
      <c r="L8" s="24">
        <f>SUM(C$25,$C$9,C$38,(Cases!$T$25*sensitivity!$D$12),(-Cases!$C$25*sensitivity!$D$11))/((1+C$2)^F8)</f>
        <v>-771.01303211053516</v>
      </c>
      <c r="M8" s="176">
        <f>C$5/((1+C$2)^F8)</f>
        <v>22704.168365791236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7"/>
      <c r="B9" s="213"/>
      <c r="C9" s="213"/>
      <c r="D9" s="7"/>
      <c r="E9" s="7"/>
      <c r="F9" s="24">
        <v>2</v>
      </c>
      <c r="G9" s="213">
        <f>SUM(C$25,$C$9,C$38,(Cases!$T$25*sensitivity!$C$12),(-Cases!$C$25*sensitivity!$C$11))/((1+C$2)^F9)</f>
        <v>1990.5305506378536</v>
      </c>
      <c r="H9" s="213">
        <f>C$5/((1+C$2)^F9)</f>
        <v>21830.931120953112</v>
      </c>
      <c r="I9" s="213"/>
      <c r="J9" s="23"/>
      <c r="K9" s="7"/>
      <c r="L9" s="24">
        <f>SUM(C$25,$C$9,C$38,(Cases!$T$25*sensitivity!$D$12),(-Cases!$C$25*sensitivity!$D$11))/((1+C$2)^F9)</f>
        <v>-741.3586847216684</v>
      </c>
      <c r="M9" s="176">
        <f t="shared" ref="M9:M27" si="0">C$5/((1+C$2)^F9)</f>
        <v>21830.931120953112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x14ac:dyDescent="0.3">
      <c r="A10" s="7"/>
      <c r="D10" s="7"/>
      <c r="E10" s="7"/>
      <c r="F10" s="24">
        <v>3</v>
      </c>
      <c r="G10" s="213">
        <f>SUM(C$25,$C$9,C$38,(Cases!$T$25*sensitivity!$C$12),(-Cases!$C$25*sensitivity!$C$11))/((1+C$2)^F10)</f>
        <v>1913.9716833056286</v>
      </c>
      <c r="H10" s="213">
        <f t="shared" ref="H10:H27" si="1">C$5/((1+C$2)^F10)</f>
        <v>20991.279923993374</v>
      </c>
      <c r="I10" s="213"/>
      <c r="J10" s="23"/>
      <c r="K10" s="7"/>
      <c r="L10" s="24">
        <f>SUM(C$25,$C$9,C$38,(Cases!$T$25*sensitivity!$D$12),(-Cases!$C$25*sensitivity!$D$11))/((1+C$2)^F10)</f>
        <v>-712.84488915545046</v>
      </c>
      <c r="M10" s="176">
        <f t="shared" si="0"/>
        <v>20991.279923993374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7"/>
      <c r="D11" s="7"/>
      <c r="E11" s="7"/>
      <c r="F11" s="24">
        <v>4</v>
      </c>
      <c r="G11" s="213">
        <f>SUM(C$25,$C$9,C$38,(Cases!$T$25*sensitivity!$C$12),(-Cases!$C$25*sensitivity!$C$11))/((1+C$2)^F11)</f>
        <v>1840.3573877938734</v>
      </c>
      <c r="H11" s="213">
        <f t="shared" si="1"/>
        <v>20183.923003839784</v>
      </c>
      <c r="I11" s="213"/>
      <c r="J11" s="23"/>
      <c r="K11" s="7"/>
      <c r="L11" s="24">
        <f>SUM(C$25,$C$9,C$38,(Cases!$T$25*sensitivity!$D$12),(-Cases!$C$25*sensitivity!$D$11))/((1+C$2)^F11)</f>
        <v>-685.42777803408683</v>
      </c>
      <c r="M11" s="176">
        <f t="shared" si="0"/>
        <v>20183.923003839784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x14ac:dyDescent="0.3">
      <c r="A12" s="7"/>
      <c r="D12" s="7"/>
      <c r="E12" s="7"/>
      <c r="F12" s="24">
        <v>5</v>
      </c>
      <c r="G12" s="213">
        <f>SUM(C$25,$C$9,C$38,(Cases!$T$25*sensitivity!$C$12),(-Cases!$C$25*sensitivity!$C$11))/((1+C$2)^F12)</f>
        <v>1769.5744113402627</v>
      </c>
      <c r="H12" s="213">
        <f t="shared" si="1"/>
        <v>19407.618272922864</v>
      </c>
      <c r="I12" s="213"/>
      <c r="J12" s="23"/>
      <c r="K12" s="7"/>
      <c r="L12" s="24">
        <f>SUM(C$25,$C$9,C$38,(Cases!$T$25*sensitivity!$D$12),(-Cases!$C$25*sensitivity!$D$11))/((1+C$2)^F12)</f>
        <v>-659.06517118662191</v>
      </c>
      <c r="M12" s="176">
        <f t="shared" si="0"/>
        <v>19407.618272922864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x14ac:dyDescent="0.3">
      <c r="A13" s="7"/>
      <c r="D13" s="7"/>
      <c r="E13" s="7"/>
      <c r="F13" s="24">
        <v>6</v>
      </c>
      <c r="G13" s="213">
        <f>SUM(C$25,$C$9,C$38,(Cases!$T$25*sensitivity!$C$12),(-Cases!$C$25*sensitivity!$C$11))/((1+C$2)^F13)</f>
        <v>1701.513857057945</v>
      </c>
      <c r="H13" s="213">
        <f t="shared" si="1"/>
        <v>18661.171416271987</v>
      </c>
      <c r="I13" s="213"/>
      <c r="J13" s="23"/>
      <c r="K13" s="7"/>
      <c r="L13" s="24">
        <f>SUM(C$25,$C$9,C$38,(Cases!$T$25*sensitivity!$D$12),(-Cases!$C$25*sensitivity!$D$11))/((1+C$2)^F13)</f>
        <v>-633.71651075636726</v>
      </c>
      <c r="M13" s="176">
        <f t="shared" si="0"/>
        <v>18661.171416271987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x14ac:dyDescent="0.3">
      <c r="A14" s="7"/>
      <c r="B14" s="7"/>
      <c r="C14" s="7"/>
      <c r="D14" s="7"/>
      <c r="E14" s="7"/>
      <c r="F14" s="24">
        <v>7</v>
      </c>
      <c r="G14" s="213">
        <f>SUM(C$25,$C$9,C$38,(Cases!$T$25*sensitivity!$C$12),(-Cases!$C$25*sensitivity!$C$11))/((1+C$2)^F14)</f>
        <v>1636.0710164018703</v>
      </c>
      <c r="H14" s="213">
        <f t="shared" si="1"/>
        <v>17943.434054107682</v>
      </c>
      <c r="I14" s="213"/>
      <c r="J14" s="23"/>
      <c r="K14" s="7"/>
      <c r="L14" s="24">
        <f>SUM(C$25,$C$9,C$38,(Cases!$T$25*sensitivity!$D$12),(-Cases!$C$25*sensitivity!$D$11))/((1+C$2)^F14)</f>
        <v>-609.34279880419933</v>
      </c>
      <c r="M14" s="176">
        <f t="shared" si="0"/>
        <v>17943.434054107682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x14ac:dyDescent="0.3">
      <c r="A15" s="7"/>
      <c r="D15" s="7"/>
      <c r="E15" s="7"/>
      <c r="F15" s="24">
        <v>8</v>
      </c>
      <c r="G15" s="213">
        <f>SUM(C$25,$C$9,C$38,(Cases!$T$25*sensitivity!$C$12),(-Cases!$C$25*sensitivity!$C$11))/((1+C$2)^F15)</f>
        <v>1573.1452080787212</v>
      </c>
      <c r="H15" s="213">
        <f t="shared" si="1"/>
        <v>17253.301975103535</v>
      </c>
      <c r="I15" s="213"/>
      <c r="J15" s="23"/>
      <c r="K15" s="7"/>
      <c r="L15" s="24">
        <f>SUM(C$25,$C$9,C$38,(Cases!$T$25*sensitivity!$D$12),(-Cases!$C$25*sensitivity!$D$11))/((1+C$2)^F15)</f>
        <v>-585.90653731173006</v>
      </c>
      <c r="M15" s="176">
        <f t="shared" si="0"/>
        <v>17253.301975103535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x14ac:dyDescent="0.3">
      <c r="A16" s="7"/>
      <c r="B16" s="7"/>
      <c r="C16" s="7"/>
      <c r="D16" s="7"/>
      <c r="E16" s="7"/>
      <c r="F16" s="24">
        <v>9</v>
      </c>
      <c r="G16" s="213">
        <f>SUM(C$25,$C$9,C$38,(Cases!$T$25*sensitivity!$C$12),(-Cases!$C$25*sensitivity!$C$11))/((1+C$2)^F16)</f>
        <v>1512.6396231526164</v>
      </c>
      <c r="H16" s="213">
        <f t="shared" si="1"/>
        <v>16589.713437599552</v>
      </c>
      <c r="I16" s="213"/>
      <c r="J16" s="23"/>
      <c r="K16" s="7"/>
      <c r="L16" s="24">
        <f>SUM(C$25,$C$9,C$38,(Cases!$T$25*sensitivity!$D$12),(-Cases!$C$25*sensitivity!$D$11))/((1+C$2)^F16)</f>
        <v>-563.371670492048</v>
      </c>
      <c r="M16" s="176">
        <f t="shared" si="0"/>
        <v>16589.713437599552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SUM(C$25,$C$9,C$38,(Cases!$T$25*sensitivity!$C$12),(-Cases!$C$25*sensitivity!$C$11))/((1+C$2)^F17)</f>
        <v>1454.4611761082849</v>
      </c>
      <c r="H17" s="213">
        <f t="shared" si="1"/>
        <v>15951.647536153416</v>
      </c>
      <c r="I17" s="213"/>
      <c r="J17" s="23"/>
      <c r="K17" s="7"/>
      <c r="L17" s="24">
        <f>SUM(C$25,$C$9,C$38,(Cases!$T$25*sensitivity!$D$12),(-Cases!$C$25*sensitivity!$D$11))/((1+C$2)^F17)</f>
        <v>-541.70352931927698</v>
      </c>
      <c r="M17" s="176">
        <f t="shared" si="0"/>
        <v>15951.647536153416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SUM(C$25,$C$9,C$38,(Cases!$T$25*sensitivity!$C$12),(-Cases!$C$25*sensitivity!$C$11))/((1+C$2)^F18)</f>
        <v>1398.5203616425817</v>
      </c>
      <c r="H18" s="213">
        <f t="shared" si="1"/>
        <v>15338.122630916747</v>
      </c>
      <c r="I18" s="213"/>
      <c r="J18" s="23"/>
      <c r="K18" s="7"/>
      <c r="L18" s="24">
        <f>SUM(C$25,$C$9,C$38,(Cases!$T$25*sensitivity!$D$12),(-Cases!$C$25*sensitivity!$D$11))/((1+C$2)^F18)</f>
        <v>-520.86877819161248</v>
      </c>
      <c r="M18" s="176">
        <f t="shared" si="0"/>
        <v>15338.122630916747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SUM(C$25,$C$9,C$38,(Cases!$T$25*sensitivity!$C$12),(-Cases!$C$25*sensitivity!$C$11))/((1+C$2)^F19)</f>
        <v>1344.7311169640207</v>
      </c>
      <c r="H19" s="213">
        <f t="shared" si="1"/>
        <v>14748.194837419946</v>
      </c>
      <c r="I19" s="213"/>
      <c r="J19" s="23"/>
      <c r="K19" s="7"/>
      <c r="L19" s="24">
        <f>SUM(C$25,$C$9,C$38,(Cases!$T$25*sensitivity!$D$12),(-Cases!$C$25*sensitivity!$D$11))/((1+C$2)^F19)</f>
        <v>-500.83536364578111</v>
      </c>
      <c r="M19" s="176">
        <f t="shared" si="0"/>
        <v>14748.194837419946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SUM(C$25,$C$9,C$38,(Cases!$T$25*sensitivity!$C$12),(-Cases!$C$25*sensitivity!$C$11))/((1+C$2)^F20)</f>
        <v>1293.0106893884813</v>
      </c>
      <c r="H20" s="213">
        <f t="shared" si="1"/>
        <v>14180.956574442254</v>
      </c>
      <c r="I20" s="213"/>
      <c r="J20" s="23"/>
      <c r="K20" s="7"/>
      <c r="L20" s="24">
        <f>SUM(C$25,$C$9,C$38,(Cases!$T$25*sensitivity!$D$12),(-Cases!$C$25*sensitivity!$D$11))/((1+C$2)^F20)</f>
        <v>-481.5724650440203</v>
      </c>
      <c r="M20" s="176">
        <f t="shared" si="0"/>
        <v>14180.956574442254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SUM(C$25,$C$9,C$38,(Cases!$T$25*sensitivity!$C$12),(-Cases!$C$25*sensitivity!$C$11))/((1+C$2)^F21)</f>
        <v>1243.279509027386</v>
      </c>
      <c r="H21" s="213">
        <f t="shared" si="1"/>
        <v>13635.535167732938</v>
      </c>
      <c r="I21" s="213"/>
      <c r="J21" s="23"/>
      <c r="K21" s="7"/>
      <c r="L21" s="24">
        <f>SUM(C$25,$C$9,C$38,(Cases!$T$25*sensitivity!$D$12),(-Cases!$C$25*sensitivity!$D$11))/((1+C$2)^F21)</f>
        <v>-463.05044715771186</v>
      </c>
      <c r="M21" s="176">
        <f t="shared" si="0"/>
        <v>13635.535167732938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SUM(C$25,$C$9,C$38,(Cases!$T$25*sensitivity!$C$12),(-Cases!$C$25*sensitivity!$C$11))/((1+C$2)^F22)</f>
        <v>1195.4610663724866</v>
      </c>
      <c r="H22" s="213">
        <f t="shared" si="1"/>
        <v>13111.091507435518</v>
      </c>
      <c r="I22" s="213"/>
      <c r="J22" s="23"/>
      <c r="K22" s="7"/>
      <c r="L22" s="24">
        <f>SUM(C$25,$C$9,C$38,(Cases!$T$25*sensitivity!$D$12),(-Cases!$C$25*sensitivity!$D$11))/((1+C$2)^F22)</f>
        <v>-445.24081457472295</v>
      </c>
      <c r="M22" s="176">
        <f t="shared" si="0"/>
        <v>13111.091507435518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x14ac:dyDescent="0.3">
      <c r="A23" s="7"/>
      <c r="B23" s="24" t="s">
        <v>178</v>
      </c>
      <c r="C23" s="23">
        <f>C19*C21</f>
        <v>43947.885195418414</v>
      </c>
      <c r="D23" s="7"/>
      <c r="F23" s="68">
        <v>16</v>
      </c>
      <c r="G23" s="213">
        <f>SUM(C$25,$C$9,C$38,(Cases!$T$25*sensitivity!$C$12),(-Cases!$C$25*sensitivity!$C$11))/((1+C$2)^F23)</f>
        <v>1149.4817945889292</v>
      </c>
      <c r="H23" s="213">
        <f t="shared" si="1"/>
        <v>12606.818757149535</v>
      </c>
      <c r="I23" s="213"/>
      <c r="J23" s="23"/>
      <c r="K23" s="7"/>
      <c r="L23" s="24">
        <f>SUM(C$25,$C$9,C$38,(Cases!$T$25*sensitivity!$D$12),(-Cases!$C$25*sensitivity!$D$11))/((1+C$2)^F23)</f>
        <v>-428.11616786031044</v>
      </c>
      <c r="M23" s="176">
        <f t="shared" si="0"/>
        <v>12606.818757149535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SUM(C$25,$C$9,C$38,(Cases!$T$25*sensitivity!$C$12),(-Cases!$C$25*sensitivity!$C$11))/((1+C$2)^F24)</f>
        <v>1105.2709563355088</v>
      </c>
      <c r="H24" s="213">
        <f t="shared" si="1"/>
        <v>12121.941112643783</v>
      </c>
      <c r="I24" s="213"/>
      <c r="J24" s="23"/>
      <c r="K24" s="7"/>
      <c r="L24" s="24">
        <f>SUM(C$25,$C$9,C$38,(Cases!$T$25*sensitivity!$D$12),(-Cases!$C$25*sensitivity!$D$11))/((1+C$2)^F24)</f>
        <v>-411.65016140414463</v>
      </c>
      <c r="M24" s="176">
        <f t="shared" si="0"/>
        <v>12121.941112643783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3">
      <c r="A25" s="7"/>
      <c r="B25" s="24" t="s">
        <v>238</v>
      </c>
      <c r="C25" s="23">
        <f>C24*C5</f>
        <v>472.24670200845776</v>
      </c>
      <c r="D25" s="7"/>
      <c r="E25" s="7"/>
      <c r="F25" s="24">
        <v>18</v>
      </c>
      <c r="G25" s="213">
        <f>SUM(C$25,$C$9,C$38,(Cases!$T$25*sensitivity!$C$12),(-Cases!$C$25*sensitivity!$C$11))/((1+C$2)^F25)</f>
        <v>1062.7605349379892</v>
      </c>
      <c r="H25" s="213">
        <f t="shared" si="1"/>
        <v>11655.712608311327</v>
      </c>
      <c r="I25" s="213"/>
      <c r="J25" s="23"/>
      <c r="K25" s="7"/>
      <c r="L25" s="24">
        <f>SUM(C$25,$C$9,C$38,(Cases!$T$25*sensitivity!$D$12),(-Cases!$C$25*sensitivity!$D$11))/((1+C$2)^F25)</f>
        <v>-395.81746288860057</v>
      </c>
      <c r="M25" s="176">
        <f t="shared" si="0"/>
        <v>11655.712608311327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3">
      <c r="A26" s="7"/>
      <c r="B26" s="24"/>
      <c r="C26" s="23"/>
      <c r="D26" s="7"/>
      <c r="E26" s="7"/>
      <c r="F26" s="24">
        <v>19</v>
      </c>
      <c r="G26" s="213">
        <f>SUM(C$25,$C$9,C$38,(Cases!$T$25*sensitivity!$C$12),(-Cases!$C$25*sensitivity!$C$11))/((1+C$2)^F26)</f>
        <v>1021.8851297480664</v>
      </c>
      <c r="H26" s="213">
        <f t="shared" si="1"/>
        <v>11207.415969530124</v>
      </c>
      <c r="I26" s="213"/>
      <c r="J26" s="23"/>
      <c r="K26" s="7"/>
      <c r="L26" s="24">
        <f>SUM(C$25,$C$9,C$38,(Cases!$T$25*sensitivity!$D$12),(-Cases!$C$25*sensitivity!$D$11))/((1+C$2)^F26)</f>
        <v>-380.59371431596213</v>
      </c>
      <c r="M26" s="176">
        <f t="shared" si="0"/>
        <v>11207.415969530124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SUM(C$25,$C$9,C$38,(Cases!$T$25*sensitivity!$C$12),(-Cases!$C$25*sensitivity!$C$11))/((1+C$2)^F27)</f>
        <v>982.58185552698694</v>
      </c>
      <c r="H27" s="26">
        <f t="shared" si="1"/>
        <v>10776.36150916358</v>
      </c>
      <c r="I27" s="26"/>
      <c r="J27" s="27"/>
      <c r="K27" s="7"/>
      <c r="L27" s="25">
        <f>SUM(C$25,$C$9,C$38,(Cases!$T$25*sensitivity!$D$12),(-Cases!$C$25*sensitivity!$D$11))/((1+C$2)^F27)</f>
        <v>-365.95549453457892</v>
      </c>
      <c r="M27" s="6">
        <f t="shared" si="0"/>
        <v>10776.36150916358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3">
      <c r="A28" s="7"/>
      <c r="B28" s="7"/>
      <c r="C28" s="7"/>
      <c r="D28" s="7"/>
      <c r="E28" s="7"/>
      <c r="F28" s="7"/>
      <c r="G28" s="4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x14ac:dyDescent="0.3">
      <c r="A48" s="7"/>
      <c r="B48" s="24" t="s">
        <v>185</v>
      </c>
      <c r="C48" s="42">
        <f>Cases!C29</f>
        <v>38.635646224695229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x14ac:dyDescent="0.3">
      <c r="A50" s="7"/>
      <c r="B50" s="24" t="s">
        <v>222</v>
      </c>
      <c r="C50" s="23">
        <f>C48*C49</f>
        <v>10231.291500243367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x14ac:dyDescent="0.3">
      <c r="A51" s="7"/>
      <c r="B51" s="24" t="s">
        <v>221</v>
      </c>
      <c r="C51" s="23">
        <f>N80</f>
        <v>740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x14ac:dyDescent="0.3">
      <c r="A52" s="7"/>
      <c r="B52" s="24" t="s">
        <v>273</v>
      </c>
      <c r="C52" s="23">
        <v>2000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x14ac:dyDescent="0.3">
      <c r="A53" s="7"/>
      <c r="B53" s="24" t="s">
        <v>223</v>
      </c>
      <c r="C53" s="23">
        <f>C50+C51+C52</f>
        <v>12971.291500243367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x14ac:dyDescent="0.3">
      <c r="A54" s="7"/>
      <c r="B54" s="24" t="s">
        <v>214</v>
      </c>
      <c r="C54" s="23">
        <f>C50*K78</f>
        <v>455.32156297395306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58649.83899554961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5394.8783532977532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0.67696537379017174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5394.8783532977532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161.84635059893259</v>
      </c>
      <c r="M67" s="26">
        <f>(M66/100)*M63</f>
        <v>446.09777965312514</v>
      </c>
      <c r="N67" s="27">
        <f>SUM(K67:M67)</f>
        <v>1544.8863593798221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O88</f>
        <v>7051.0054360068789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211.74190498519158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8.9914639221629216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5394.8783532977532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8" t="s">
        <v>257</v>
      </c>
      <c r="Q95" s="22">
        <v>27500000</v>
      </c>
      <c r="R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24" t="s">
        <v>256</v>
      </c>
      <c r="Q96" s="23">
        <f>L90</f>
        <v>211.74190498519158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24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24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24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5" t="s">
        <v>252</v>
      </c>
      <c r="Q100" s="27">
        <f>(Q96*Q97*Q98)/Q95</f>
        <v>8.9914639221629216</v>
      </c>
      <c r="R100" s="26"/>
      <c r="S100" s="6"/>
      <c r="T100" s="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19" customForma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</row>
    <row r="102" spans="1:59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A8A4-22EF-4505-B2B4-245EBD9FE712}">
  <dimension ref="A1:AI110"/>
  <sheetViews>
    <sheetView workbookViewId="0">
      <selection activeCell="F4" sqref="F4:M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5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s="7"/>
      <c r="B5" s="24" t="s">
        <v>189</v>
      </c>
      <c r="C5" s="76">
        <f>Cases!D30</f>
        <v>23612.335100422886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0.28168036153955611</v>
      </c>
      <c r="K5" s="7"/>
      <c r="L5" s="24"/>
      <c r="M5" s="213"/>
      <c r="N5" s="213"/>
      <c r="O5" s="23">
        <f>SUM(L7:L27)/SUM(M7:M49)</f>
        <v>0.16211351026206569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90391.042047452793</v>
      </c>
      <c r="K6" s="7"/>
      <c r="L6" s="24"/>
      <c r="M6" s="213"/>
      <c r="N6" s="213"/>
      <c r="O6" s="23">
        <f>O5*SUM(M7:M27)</f>
        <v>52022.118412755437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7"/>
      <c r="B7" s="213"/>
      <c r="C7" s="213"/>
      <c r="D7" s="7"/>
      <c r="E7" s="7"/>
      <c r="F7" s="24">
        <v>2050</v>
      </c>
      <c r="G7" s="214">
        <f>SUM(C22,C33,C37)</f>
        <v>57376.994516821636</v>
      </c>
      <c r="H7" s="213"/>
      <c r="I7" s="213"/>
      <c r="J7" s="76"/>
      <c r="K7" s="7"/>
      <c r="L7" s="24">
        <f>SUM(C22,C33,C37)</f>
        <v>57376.994516821636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3">
      <c r="A8" s="7"/>
      <c r="B8" s="213"/>
      <c r="C8" s="213"/>
      <c r="D8" s="7"/>
      <c r="E8" s="7"/>
      <c r="F8" s="24">
        <v>1</v>
      </c>
      <c r="G8" s="213">
        <f>SUM(C$25,$C$9,C$38,(Cases!$U$25*sensitivity!$C$12),(-Cases!$C$25*sensitivity!$C$11))/((1+C$2)^F8)</f>
        <v>2335.7994257080682</v>
      </c>
      <c r="H8" s="213">
        <f>C$5/((1+C$2)^F8)</f>
        <v>22704.168365791236</v>
      </c>
      <c r="I8" s="213"/>
      <c r="J8" s="23"/>
      <c r="K8" s="7"/>
      <c r="L8" s="24">
        <f>SUM(C$25,$C$9,C$38,(Cases!$U$25*sensitivity!$D$12),(-Cases!$C$25*sensitivity!$D$11))/((1+C$2)^F8)</f>
        <v>-378.86649666359671</v>
      </c>
      <c r="M8" s="176">
        <f>C$5/((1+C$2)^F8)</f>
        <v>22704.168365791236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3">
      <c r="A9" s="7"/>
      <c r="B9" s="213"/>
      <c r="C9" s="213"/>
      <c r="D9" s="7"/>
      <c r="E9" s="7"/>
      <c r="F9" s="24">
        <v>2</v>
      </c>
      <c r="G9" s="213">
        <f>SUM(C$25,$C$9,C$38,(Cases!$U$25*sensitivity!$C$12),(-Cases!$C$25*sensitivity!$C$11))/((1+C$2)^F9)</f>
        <v>2245.9609862577577</v>
      </c>
      <c r="H9" s="213">
        <f>C$5/((1+C$2)^F9)</f>
        <v>21830.931120953112</v>
      </c>
      <c r="I9" s="213"/>
      <c r="J9" s="23"/>
      <c r="K9" s="7"/>
      <c r="L9" s="24">
        <f>SUM(C$25,$C$9,C$38,(Cases!$U$25*sensitivity!$D$12),(-Cases!$C$25*sensitivity!$D$11))/((1+C$2)^F9)</f>
        <v>-364.29470833038147</v>
      </c>
      <c r="M9" s="176">
        <f t="shared" ref="M9:M27" si="0">C$5/((1+C$2)^F9)</f>
        <v>21830.931120953112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3">
      <c r="A10" s="7"/>
      <c r="D10" s="7"/>
      <c r="E10" s="7"/>
      <c r="F10" s="24">
        <v>3</v>
      </c>
      <c r="G10" s="213">
        <f>SUM(C$25,$C$9,C$38,(Cases!$U$25*sensitivity!$C$12),(-Cases!$C$25*sensitivity!$C$11))/((1+C$2)^F10)</f>
        <v>2159.5778714016901</v>
      </c>
      <c r="H10" s="213">
        <f t="shared" ref="H10:H27" si="1">C$5/((1+C$2)^F10)</f>
        <v>20991.279923993374</v>
      </c>
      <c r="I10" s="213"/>
      <c r="J10" s="23"/>
      <c r="K10" s="7"/>
      <c r="L10" s="24">
        <f>SUM(C$25,$C$9,C$38,(Cases!$U$25*sensitivity!$D$12),(-Cases!$C$25*sensitivity!$D$11))/((1+C$2)^F10)</f>
        <v>-350.28337339459756</v>
      </c>
      <c r="M10" s="176">
        <f t="shared" si="0"/>
        <v>20991.279923993374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x14ac:dyDescent="0.3">
      <c r="A11" s="7"/>
      <c r="D11" s="7"/>
      <c r="E11" s="7"/>
      <c r="F11" s="24">
        <v>4</v>
      </c>
      <c r="G11" s="213">
        <f>SUM(C$25,$C$9,C$38,(Cases!$U$25*sensitivity!$C$12),(-Cases!$C$25*sensitivity!$C$11))/((1+C$2)^F11)</f>
        <v>2076.5171840400862</v>
      </c>
      <c r="H11" s="213">
        <f t="shared" si="1"/>
        <v>20183.923003839784</v>
      </c>
      <c r="I11" s="213"/>
      <c r="J11" s="23"/>
      <c r="K11" s="7"/>
      <c r="L11" s="24">
        <f>SUM(C$25,$C$9,C$38,(Cases!$U$25*sensitivity!$D$12),(-Cases!$C$25*sensitivity!$D$11))/((1+C$2)^F11)</f>
        <v>-336.81093595634377</v>
      </c>
      <c r="M11" s="176">
        <f t="shared" si="0"/>
        <v>20183.923003839784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3">
      <c r="A12" s="7"/>
      <c r="D12" s="7"/>
      <c r="E12" s="7"/>
      <c r="F12" s="24">
        <v>5</v>
      </c>
      <c r="G12" s="213">
        <f>SUM(C$25,$C$9,C$38,(Cases!$U$25*sensitivity!$C$12),(-Cases!$C$25*sensitivity!$C$11))/((1+C$2)^F12)</f>
        <v>1996.6511385000829</v>
      </c>
      <c r="H12" s="213">
        <f t="shared" si="1"/>
        <v>19407.618272922864</v>
      </c>
      <c r="I12" s="213"/>
      <c r="J12" s="23"/>
      <c r="K12" s="7"/>
      <c r="L12" s="24">
        <f>SUM(C$25,$C$9,C$38,(Cases!$U$25*sensitivity!$D$12),(-Cases!$C$25*sensitivity!$D$11))/((1+C$2)^F12)</f>
        <v>-323.85666918879207</v>
      </c>
      <c r="M12" s="176">
        <f t="shared" si="0"/>
        <v>19407.618272922864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3">
      <c r="A13" s="7"/>
      <c r="D13" s="7"/>
      <c r="E13" s="7"/>
      <c r="F13" s="24">
        <v>6</v>
      </c>
      <c r="G13" s="213">
        <f>SUM(C$25,$C$9,C$38,(Cases!$U$25*sensitivity!$C$12),(-Cases!$C$25*sensitivity!$C$11))/((1+C$2)^F13)</f>
        <v>1919.8568639423875</v>
      </c>
      <c r="H13" s="213">
        <f t="shared" si="1"/>
        <v>18661.171416271987</v>
      </c>
      <c r="I13" s="213"/>
      <c r="J13" s="23"/>
      <c r="K13" s="7"/>
      <c r="L13" s="24">
        <f>SUM(C$25,$C$9,C$38,(Cases!$U$25*sensitivity!$D$12),(-Cases!$C$25*sensitivity!$D$11))/((1+C$2)^F13)</f>
        <v>-311.40064345076161</v>
      </c>
      <c r="M13" s="176">
        <f t="shared" si="0"/>
        <v>18661.171416271987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3">
      <c r="A14" s="7"/>
      <c r="B14" s="7"/>
      <c r="C14" s="7"/>
      <c r="D14" s="7"/>
      <c r="E14" s="7"/>
      <c r="F14" s="24">
        <v>7</v>
      </c>
      <c r="G14" s="213">
        <f>SUM(C$25,$C$9,C$38,(Cases!$U$25*sensitivity!$C$12),(-Cases!$C$25*sensitivity!$C$11))/((1+C$2)^F14)</f>
        <v>1846.0162153292188</v>
      </c>
      <c r="H14" s="213">
        <f t="shared" si="1"/>
        <v>17943.434054107682</v>
      </c>
      <c r="I14" s="213"/>
      <c r="J14" s="23"/>
      <c r="K14" s="7"/>
      <c r="L14" s="24">
        <f>SUM(C$25,$C$9,C$38,(Cases!$U$25*sensitivity!$D$12),(-Cases!$C$25*sensitivity!$D$11))/((1+C$2)^F14)</f>
        <v>-299.42369562573231</v>
      </c>
      <c r="M14" s="176">
        <f t="shared" si="0"/>
        <v>17943.434054107682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3">
      <c r="A15" s="7"/>
      <c r="D15" s="7"/>
      <c r="E15" s="7"/>
      <c r="F15" s="24">
        <v>8</v>
      </c>
      <c r="G15" s="213">
        <f>SUM(C$25,$C$9,C$38,(Cases!$U$25*sensitivity!$C$12),(-Cases!$C$25*sensitivity!$C$11))/((1+C$2)^F15)</f>
        <v>1775.01559166271</v>
      </c>
      <c r="H15" s="213">
        <f t="shared" si="1"/>
        <v>17253.301975103535</v>
      </c>
      <c r="I15" s="213"/>
      <c r="J15" s="23"/>
      <c r="K15" s="7"/>
      <c r="L15" s="24">
        <f>SUM(C$25,$C$9,C$38,(Cases!$U$25*sensitivity!$D$12),(-Cases!$C$25*sensitivity!$D$11))/((1+C$2)^F15)</f>
        <v>-287.90739964012721</v>
      </c>
      <c r="M15" s="176">
        <f t="shared" si="0"/>
        <v>17253.301975103535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3">
      <c r="A16" s="7"/>
      <c r="B16" s="7"/>
      <c r="C16" s="7"/>
      <c r="D16" s="7"/>
      <c r="E16" s="7"/>
      <c r="F16" s="24">
        <v>9</v>
      </c>
      <c r="G16" s="213">
        <f>SUM(C$25,$C$9,C$38,(Cases!$U$25*sensitivity!$C$12),(-Cases!$C$25*sensitivity!$C$11))/((1+C$2)^F16)</f>
        <v>1706.7457612141441</v>
      </c>
      <c r="H16" s="213">
        <f t="shared" si="1"/>
        <v>16589.713437599552</v>
      </c>
      <c r="I16" s="213"/>
      <c r="J16" s="23"/>
      <c r="K16" s="7"/>
      <c r="L16" s="24">
        <f>SUM(C$25,$C$9,C$38,(Cases!$U$25*sensitivity!$D$12),(-Cases!$C$25*sensitivity!$D$11))/((1+C$2)^F16)</f>
        <v>-276.83403811550687</v>
      </c>
      <c r="M16" s="176">
        <f t="shared" si="0"/>
        <v>16589.713437599552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SUM(C$25,$C$9,C$38,(Cases!$U$25*sensitivity!$C$12),(-Cases!$C$25*sensitivity!$C$11))/((1+C$2)^F17)</f>
        <v>1641.1016934751387</v>
      </c>
      <c r="H17" s="213">
        <f t="shared" si="1"/>
        <v>15951.647536153416</v>
      </c>
      <c r="I17" s="213"/>
      <c r="J17" s="23"/>
      <c r="K17" s="7"/>
      <c r="L17" s="24">
        <f>SUM(C$25,$C$9,C$38,(Cases!$U$25*sensitivity!$D$12),(-Cases!$C$25*sensitivity!$D$11))/((1+C$2)^F17)</f>
        <v>-266.18657511106431</v>
      </c>
      <c r="M17" s="176">
        <f t="shared" si="0"/>
        <v>15951.647536153416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SUM(C$25,$C$9,C$38,(Cases!$U$25*sensitivity!$C$12),(-Cases!$C$25*sensitivity!$C$11))/((1+C$2)^F18)</f>
        <v>1577.9823975722488</v>
      </c>
      <c r="H18" s="213">
        <f t="shared" si="1"/>
        <v>15338.122630916747</v>
      </c>
      <c r="I18" s="213"/>
      <c r="J18" s="23"/>
      <c r="K18" s="7"/>
      <c r="L18" s="24">
        <f>SUM(C$25,$C$9,C$38,(Cases!$U$25*sensitivity!$D$12),(-Cases!$C$25*sensitivity!$D$11))/((1+C$2)^F18)</f>
        <v>-255.94862991448494</v>
      </c>
      <c r="M18" s="176">
        <f t="shared" si="0"/>
        <v>15338.122630916747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SUM(C$25,$C$9,C$38,(Cases!$U$25*sensitivity!$C$12),(-Cases!$C$25*sensitivity!$C$11))/((1+C$2)^F19)</f>
        <v>1517.2907668963928</v>
      </c>
      <c r="H19" s="213">
        <f t="shared" si="1"/>
        <v>14748.194837419946</v>
      </c>
      <c r="I19" s="213"/>
      <c r="J19" s="23"/>
      <c r="K19" s="7"/>
      <c r="L19" s="24">
        <f>SUM(C$25,$C$9,C$38,(Cases!$U$25*sensitivity!$D$12),(-Cases!$C$25*sensitivity!$D$11))/((1+C$2)^F19)</f>
        <v>-246.10445184085086</v>
      </c>
      <c r="M19" s="176">
        <f t="shared" si="0"/>
        <v>14748.194837419946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SUM(C$25,$C$9,C$38,(Cases!$U$25*sensitivity!$C$12),(-Cases!$C$25*sensitivity!$C$11))/((1+C$2)^F20)</f>
        <v>1458.93342970807</v>
      </c>
      <c r="H20" s="213">
        <f t="shared" si="1"/>
        <v>14180.956574442254</v>
      </c>
      <c r="I20" s="213"/>
      <c r="J20" s="23"/>
      <c r="K20" s="7"/>
      <c r="L20" s="24">
        <f>SUM(C$25,$C$9,C$38,(Cases!$U$25*sensitivity!$D$12),(-Cases!$C$25*sensitivity!$D$11))/((1+C$2)^F20)</f>
        <v>-236.63889600081811</v>
      </c>
      <c r="M20" s="176">
        <f t="shared" si="0"/>
        <v>14180.956574442254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SUM(C$25,$C$9,C$38,(Cases!$U$25*sensitivity!$C$12),(-Cases!$C$25*sensitivity!$C$11))/((1+C$2)^F21)</f>
        <v>1402.8206054885288</v>
      </c>
      <c r="H21" s="213">
        <f t="shared" si="1"/>
        <v>13635.535167732938</v>
      </c>
      <c r="I21" s="213"/>
      <c r="J21" s="23"/>
      <c r="K21" s="7"/>
      <c r="L21" s="24">
        <f>SUM(C$25,$C$9,C$38,(Cases!$U$25*sensitivity!$D$12),(-Cases!$C$25*sensitivity!$D$11))/((1+C$2)^F21)</f>
        <v>-227.53740000078665</v>
      </c>
      <c r="M21" s="176">
        <f t="shared" si="0"/>
        <v>13635.535167732938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SUM(C$25,$C$9,C$38,(Cases!$U$25*sensitivity!$C$12),(-Cases!$C$25*sensitivity!$C$11))/((1+C$2)^F22)</f>
        <v>1348.865966815893</v>
      </c>
      <c r="H22" s="213">
        <f t="shared" si="1"/>
        <v>13111.091507435518</v>
      </c>
      <c r="I22" s="213"/>
      <c r="J22" s="23"/>
      <c r="K22" s="7"/>
      <c r="L22" s="24">
        <f>SUM(C$25,$C$9,C$38,(Cases!$U$25*sensitivity!$D$12),(-Cases!$C$25*sensitivity!$D$11))/((1+C$2)^F22)</f>
        <v>-218.78596153921794</v>
      </c>
      <c r="M22" s="176">
        <f t="shared" si="0"/>
        <v>13111.091507435518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SUM(C$25,$C$9,C$38,(Cases!$U$25*sensitivity!$C$12),(-Cases!$C$25*sensitivity!$C$11))/((1+C$2)^F23)</f>
        <v>1296.9865065537431</v>
      </c>
      <c r="H23" s="213">
        <f t="shared" si="1"/>
        <v>12606.818757149535</v>
      </c>
      <c r="I23" s="213"/>
      <c r="J23" s="23"/>
      <c r="K23" s="7"/>
      <c r="L23" s="24">
        <f>SUM(C$25,$C$9,C$38,(Cases!$U$25*sensitivity!$D$12),(-Cases!$C$25*sensitivity!$D$11))/((1+C$2)^F23)</f>
        <v>-210.3711168646326</v>
      </c>
      <c r="M23" s="176">
        <f t="shared" si="0"/>
        <v>12606.818757149535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SUM(C$25,$C$9,C$38,(Cases!$U$25*sensitivity!$C$12),(-Cases!$C$25*sensitivity!$C$11))/((1+C$2)^F24)</f>
        <v>1247.1024101478299</v>
      </c>
      <c r="H24" s="213">
        <f t="shared" si="1"/>
        <v>12121.941112643783</v>
      </c>
      <c r="I24" s="213"/>
      <c r="J24" s="23"/>
      <c r="K24" s="7"/>
      <c r="L24" s="24">
        <f>SUM(C$25,$C$9,C$38,(Cases!$U$25*sensitivity!$D$12),(-Cases!$C$25*sensitivity!$D$11))/((1+C$2)^F24)</f>
        <v>-202.27992006214672</v>
      </c>
      <c r="M24" s="176">
        <f t="shared" si="0"/>
        <v>12121.941112643783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3">
      <c r="A25" s="7"/>
      <c r="B25" s="24" t="s">
        <v>238</v>
      </c>
      <c r="C25" s="23">
        <f>C24*C5</f>
        <v>472.24670200845776</v>
      </c>
      <c r="D25" s="7"/>
      <c r="E25" s="7"/>
      <c r="F25" s="24">
        <v>18</v>
      </c>
      <c r="G25" s="213">
        <f>SUM(C$25,$C$9,C$38,(Cases!$U$25*sensitivity!$C$12),(-Cases!$C$25*sensitivity!$C$11))/((1+C$2)^F25)</f>
        <v>1199.1369328344517</v>
      </c>
      <c r="H25" s="213">
        <f t="shared" si="1"/>
        <v>11655.712608311327</v>
      </c>
      <c r="I25" s="213"/>
      <c r="J25" s="23"/>
      <c r="K25" s="7"/>
      <c r="L25" s="24">
        <f>SUM(C$25,$C$9,C$38,(Cases!$U$25*sensitivity!$D$12),(-Cases!$C$25*sensitivity!$D$11))/((1+C$2)^F25)</f>
        <v>-194.49992313667951</v>
      </c>
      <c r="M25" s="176">
        <f t="shared" si="0"/>
        <v>11655.712608311327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3">
      <c r="A26" s="7"/>
      <c r="B26" s="24"/>
      <c r="C26" s="23"/>
      <c r="D26" s="7"/>
      <c r="E26" s="7"/>
      <c r="F26" s="24">
        <v>19</v>
      </c>
      <c r="G26" s="213">
        <f>SUM(C$25,$C$9,C$38,(Cases!$U$25*sensitivity!$C$12),(-Cases!$C$25*sensitivity!$C$11))/((1+C$2)^F26)</f>
        <v>1153.0162815715883</v>
      </c>
      <c r="H26" s="213">
        <f t="shared" si="1"/>
        <v>11207.415969530124</v>
      </c>
      <c r="I26" s="213"/>
      <c r="J26" s="23"/>
      <c r="K26" s="7"/>
      <c r="L26" s="24">
        <f>SUM(C$25,$C$9,C$38,(Cases!$U$25*sensitivity!$D$12),(-Cases!$C$25*sensitivity!$D$11))/((1+C$2)^F26)</f>
        <v>-187.01915686219186</v>
      </c>
      <c r="M26" s="176">
        <f t="shared" si="0"/>
        <v>11207.415969530124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SUM(C$25,$C$9,C$38,(Cases!$U$25*sensitivity!$C$12),(-Cases!$C$25*sensitivity!$C$11))/((1+C$2)^F27)</f>
        <v>1108.6695015111425</v>
      </c>
      <c r="H27" s="26">
        <f t="shared" si="1"/>
        <v>10776.36150916358</v>
      </c>
      <c r="I27" s="26"/>
      <c r="J27" s="27"/>
      <c r="K27" s="7"/>
      <c r="L27" s="25">
        <f>SUM(C$25,$C$9,C$38,(Cases!$U$25*sensitivity!$D$12),(-Cases!$C$25*sensitivity!$D$11))/((1+C$2)^F27)</f>
        <v>-179.82611236749216</v>
      </c>
      <c r="M27" s="6">
        <f t="shared" si="0"/>
        <v>10776.36150916358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3">
      <c r="A48" s="7"/>
      <c r="B48" s="24" t="s">
        <v>185</v>
      </c>
      <c r="C48" s="42">
        <f>Cases!D29</f>
        <v>45.844349660220068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3">
      <c r="A50" s="7"/>
      <c r="B50" s="24" t="s">
        <v>222</v>
      </c>
      <c r="C50" s="23">
        <f>C48*C49</f>
        <v>12140.262965576798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3">
      <c r="A53" s="7"/>
      <c r="B53" s="24" t="s">
        <v>223</v>
      </c>
      <c r="C53" s="23">
        <f>C50+C52+C51</f>
        <v>14880.262965576798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3">
      <c r="A54" s="7"/>
      <c r="B54" s="24" t="s">
        <v>214</v>
      </c>
      <c r="C54" s="23">
        <f>C50*K78</f>
        <v>540.27622106844876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62714.9239963742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6401.4637716826592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0.69381791133075554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6401.4637716826592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192.04391315047977</v>
      </c>
      <c r="M67" s="26">
        <f>(M66/100)*M63</f>
        <v>446.09777965312514</v>
      </c>
      <c r="N67" s="27">
        <f>SUM(K67:M67)</f>
        <v>1575.0839219313693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  <c r="AI84" s="7"/>
    </row>
    <row r="85" spans="1:35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  <c r="AI85" s="7"/>
    </row>
    <row r="86" spans="1:35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  <c r="AI86" s="7"/>
    </row>
    <row r="87" spans="1:35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  <c r="AI87" s="7"/>
    </row>
    <row r="88" spans="1:35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  <c r="AI88" s="7"/>
    </row>
    <row r="89" spans="1:35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P88</f>
        <v>8366.5938129901624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  <c r="AI89" s="7"/>
    </row>
    <row r="90" spans="1:35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251.24906345315804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  <c r="AI90" s="7"/>
    </row>
    <row r="91" spans="1:35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10.669106286137765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  <c r="AI91" s="7"/>
    </row>
    <row r="92" spans="1:35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6401.4637716826592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  <c r="AI92" s="7"/>
    </row>
    <row r="93" spans="1:35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  <c r="AI93" s="7"/>
    </row>
    <row r="94" spans="1:35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  <c r="AI94" s="7"/>
    </row>
    <row r="95" spans="1:35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  <c r="AI95" s="7"/>
    </row>
    <row r="96" spans="1:35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251.24906345315804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  <c r="AI96" s="7"/>
    </row>
    <row r="97" spans="1:35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  <c r="AI97" s="7"/>
    </row>
    <row r="98" spans="1:35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  <c r="AI98" s="7"/>
    </row>
    <row r="99" spans="1:35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  <c r="AI99" s="7"/>
    </row>
    <row r="100" spans="1:35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10.669106286137765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  <c r="AI100" s="7"/>
    </row>
    <row r="101" spans="1:3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9A8C-B852-47CB-847B-7CAC7CEC6C0E}">
  <dimension ref="A1:AK170"/>
  <sheetViews>
    <sheetView workbookViewId="0">
      <selection activeCell="F4" sqref="F4:O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7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x14ac:dyDescent="0.3">
      <c r="A5" s="7"/>
      <c r="B5" s="24" t="s">
        <v>189</v>
      </c>
      <c r="C5" s="76">
        <f>Cases!E30</f>
        <v>23612.335100422886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0.28011592841553917</v>
      </c>
      <c r="K5" s="7"/>
      <c r="L5" s="24"/>
      <c r="M5" s="213"/>
      <c r="N5" s="213"/>
      <c r="O5" s="23">
        <f>SUM(L7:L27)/SUM(M7:M49)</f>
        <v>0.15980410898375505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89889.016490823473</v>
      </c>
      <c r="K6" s="7"/>
      <c r="L6" s="24"/>
      <c r="M6" s="213"/>
      <c r="N6" s="213"/>
      <c r="O6" s="23">
        <f>O5*SUM(M7:M27)</f>
        <v>51281.033067255041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x14ac:dyDescent="0.3">
      <c r="A7" s="7"/>
      <c r="B7" s="213"/>
      <c r="C7" s="214"/>
      <c r="D7" s="7"/>
      <c r="E7" s="7"/>
      <c r="F7" s="24">
        <v>2050</v>
      </c>
      <c r="G7" s="214">
        <f>SUM(C22,C33,C37)</f>
        <v>57376.994516821636</v>
      </c>
      <c r="H7" s="213"/>
      <c r="I7" s="213"/>
      <c r="J7" s="76"/>
      <c r="K7" s="7"/>
      <c r="L7" s="24">
        <f>SUM(C22,C33,C37)</f>
        <v>57376.994516821636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x14ac:dyDescent="0.3">
      <c r="A8" s="7"/>
      <c r="B8" s="213"/>
      <c r="C8" s="214"/>
      <c r="D8" s="7"/>
      <c r="E8" s="7"/>
      <c r="F8" s="24">
        <v>1</v>
      </c>
      <c r="G8" s="213">
        <f>SUM(C$25,$C$9,C$38,(Cases!$V$25*sensitivity!$C$12),(-Cases!$C$25*sensitivity!$C$11))/((1+C$2)^F8)</f>
        <v>2300.2802726633672</v>
      </c>
      <c r="H8" s="213">
        <f>C$5/((1+C$2)^F8)</f>
        <v>22704.168365791236</v>
      </c>
      <c r="I8" s="213"/>
      <c r="J8" s="23"/>
      <c r="K8" s="7"/>
      <c r="L8" s="24">
        <f>SUM(C$25,$C$9,C$38,(Cases!$V$25*sensitivity!$D$12),(-Cases!$C$25*sensitivity!$D$11))/((1+C$2)^F8)</f>
        <v>-431.29953211053561</v>
      </c>
      <c r="M8" s="176">
        <f>C$5/((1+C$2)^F8)</f>
        <v>22704.168365791236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3">
      <c r="A9" s="7"/>
      <c r="B9" s="213"/>
      <c r="C9" s="213"/>
      <c r="D9" s="7"/>
      <c r="E9" s="7"/>
      <c r="F9" s="24">
        <v>2</v>
      </c>
      <c r="G9" s="213">
        <f>SUM(C$25,$C$9,C$38,(Cases!$V$25*sensitivity!$C$12),(-Cases!$C$25*sensitivity!$C$11))/((1+C$2)^F9)</f>
        <v>2211.807954484007</v>
      </c>
      <c r="H9" s="213">
        <f>C$5/((1+C$2)^F9)</f>
        <v>21830.931120953112</v>
      </c>
      <c r="I9" s="213"/>
      <c r="J9" s="23"/>
      <c r="K9" s="7"/>
      <c r="L9" s="24">
        <f>SUM(C$25,$C$9,C$38,(Cases!$V$25*sensitivity!$D$12),(-Cases!$C$25*sensitivity!$D$11))/((1+C$2)^F9)</f>
        <v>-414.71108856782269</v>
      </c>
      <c r="M9" s="176">
        <f t="shared" ref="M9:M27" si="0">C$5/((1+C$2)^F9)</f>
        <v>21830.931120953112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x14ac:dyDescent="0.3">
      <c r="A10" s="7"/>
      <c r="D10" s="7"/>
      <c r="E10" s="7"/>
      <c r="F10" s="24">
        <v>3</v>
      </c>
      <c r="G10" s="213">
        <f>SUM(C$25,$C$9,C$38,(Cases!$V$25*sensitivity!$C$12),(-Cases!$C$25*sensitivity!$C$11))/((1+C$2)^F10)</f>
        <v>2126.7384177730837</v>
      </c>
      <c r="H10" s="213">
        <f t="shared" ref="H10:H27" si="1">C$5/((1+C$2)^F10)</f>
        <v>20991.279923993374</v>
      </c>
      <c r="I10" s="213"/>
      <c r="J10" s="23"/>
      <c r="K10" s="7"/>
      <c r="L10" s="24">
        <f>SUM(C$25,$C$9,C$38,(Cases!$V$25*sensitivity!$D$12),(-Cases!$C$25*sensitivity!$D$11))/((1+C$2)^F10)</f>
        <v>-398.7606620844449</v>
      </c>
      <c r="M10" s="176">
        <f t="shared" si="0"/>
        <v>20991.279923993374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x14ac:dyDescent="0.3">
      <c r="A11" s="7"/>
      <c r="B11" s="7"/>
      <c r="C11" s="7"/>
      <c r="D11" s="7"/>
      <c r="E11" s="7"/>
      <c r="F11" s="24">
        <v>4</v>
      </c>
      <c r="G11" s="213">
        <f>SUM(C$25,$C$9,C$38,(Cases!$V$25*sensitivity!$C$12),(-Cases!$C$25*sensitivity!$C$11))/((1+C$2)^F11)</f>
        <v>2044.9407863202725</v>
      </c>
      <c r="H11" s="213">
        <f t="shared" si="1"/>
        <v>20183.923003839784</v>
      </c>
      <c r="I11" s="213"/>
      <c r="J11" s="23"/>
      <c r="K11" s="7"/>
      <c r="L11" s="24">
        <f>SUM(C$25,$C$9,C$38,(Cases!$V$25*sensitivity!$D$12),(-Cases!$C$25*sensitivity!$D$11))/((1+C$2)^F11)</f>
        <v>-383.42371354273541</v>
      </c>
      <c r="M11" s="176">
        <f t="shared" si="0"/>
        <v>20183.923003839784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x14ac:dyDescent="0.3">
      <c r="A12" s="7"/>
      <c r="B12" s="7"/>
      <c r="C12" s="7"/>
      <c r="D12" s="7"/>
      <c r="E12" s="7"/>
      <c r="F12" s="24">
        <v>5</v>
      </c>
      <c r="G12" s="213">
        <f>SUM(C$25,$C$9,C$38,(Cases!$V$25*sensitivity!$C$12),(-Cases!$C$25*sensitivity!$C$11))/((1+C$2)^F12)</f>
        <v>1966.2892176156463</v>
      </c>
      <c r="H12" s="213">
        <f t="shared" si="1"/>
        <v>19407.618272922864</v>
      </c>
      <c r="I12" s="213"/>
      <c r="J12" s="23"/>
      <c r="K12" s="7"/>
      <c r="L12" s="24">
        <f>SUM(C$25,$C$9,C$38,(Cases!$V$25*sensitivity!$D$12),(-Cases!$C$25*sensitivity!$D$11))/((1+C$2)^F12)</f>
        <v>-368.67664763724559</v>
      </c>
      <c r="M12" s="176">
        <f t="shared" si="0"/>
        <v>19407.618272922864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3">
      <c r="A13" s="7"/>
      <c r="D13" s="7"/>
      <c r="E13" s="7"/>
      <c r="F13" s="24">
        <v>6</v>
      </c>
      <c r="G13" s="213">
        <f>SUM(C$25,$C$9,C$38,(Cases!$V$25*sensitivity!$C$12),(-Cases!$C$25*sensitivity!$C$11))/((1+C$2)^F13)</f>
        <v>1890.6627092458139</v>
      </c>
      <c r="H13" s="213">
        <f t="shared" si="1"/>
        <v>18661.171416271987</v>
      </c>
      <c r="I13" s="213"/>
      <c r="J13" s="23"/>
      <c r="K13" s="7"/>
      <c r="L13" s="24">
        <f>SUM(C$25,$C$9,C$38,(Cases!$V$25*sensitivity!$D$12),(-Cases!$C$25*sensitivity!$D$11))/((1+C$2)^F13)</f>
        <v>-354.49677657427458</v>
      </c>
      <c r="M13" s="176">
        <f t="shared" si="0"/>
        <v>18661.171416271987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x14ac:dyDescent="0.3">
      <c r="A14" s="7"/>
      <c r="B14" s="7"/>
      <c r="C14" s="7"/>
      <c r="D14" s="7"/>
      <c r="E14" s="7"/>
      <c r="F14" s="24">
        <v>7</v>
      </c>
      <c r="G14" s="213">
        <f>SUM(C$25,$C$9,C$38,(Cases!$V$25*sensitivity!$C$12),(-Cases!$C$25*sensitivity!$C$11))/((1+C$2)^F14)</f>
        <v>1817.9449127363596</v>
      </c>
      <c r="H14" s="213">
        <f t="shared" si="1"/>
        <v>17943.434054107682</v>
      </c>
      <c r="I14" s="213"/>
      <c r="J14" s="23"/>
      <c r="K14" s="7"/>
      <c r="L14" s="24">
        <f>SUM(C$25,$C$9,C$38,(Cases!$V$25*sensitivity!$D$12),(-Cases!$C$25*sensitivity!$D$11))/((1+C$2)^F14)</f>
        <v>-340.86228516757177</v>
      </c>
      <c r="M14" s="176">
        <f t="shared" si="0"/>
        <v>17943.434054107682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x14ac:dyDescent="0.3">
      <c r="A15" s="7"/>
      <c r="D15" s="7"/>
      <c r="E15" s="7"/>
      <c r="F15" s="24">
        <v>8</v>
      </c>
      <c r="G15" s="213">
        <f>SUM(C$25,$C$9,C$38,(Cases!$V$25*sensitivity!$C$12),(-Cases!$C$25*sensitivity!$C$11))/((1+C$2)^F15)</f>
        <v>1748.0239545541917</v>
      </c>
      <c r="H15" s="213">
        <f t="shared" si="1"/>
        <v>17253.301975103535</v>
      </c>
      <c r="I15" s="213"/>
      <c r="J15" s="23"/>
      <c r="K15" s="7"/>
      <c r="L15" s="24">
        <f>SUM(C$25,$C$9,C$38,(Cases!$V$25*sensitivity!$D$12),(-Cases!$C$25*sensitivity!$D$11))/((1+C$2)^F15)</f>
        <v>-327.75219727651125</v>
      </c>
      <c r="M15" s="176">
        <f t="shared" si="0"/>
        <v>17253.301975103535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x14ac:dyDescent="0.3">
      <c r="A16" s="7"/>
      <c r="B16" s="7"/>
      <c r="C16" s="7"/>
      <c r="D16" s="7"/>
      <c r="E16" s="7"/>
      <c r="F16" s="24">
        <v>9</v>
      </c>
      <c r="G16" s="213">
        <f>SUM(C$25,$C$9,C$38,(Cases!$V$25*sensitivity!$C$12),(-Cases!$C$25*sensitivity!$C$11))/((1+C$2)^F16)</f>
        <v>1680.792263994415</v>
      </c>
      <c r="H16" s="213">
        <f t="shared" si="1"/>
        <v>16589.713437599552</v>
      </c>
      <c r="I16" s="213"/>
      <c r="J16" s="23"/>
      <c r="K16" s="7"/>
      <c r="L16" s="24">
        <f>SUM(C$25,$C$9,C$38,(Cases!$V$25*sensitivity!$D$12),(-Cases!$C$25*sensitivity!$D$11))/((1+C$2)^F16)</f>
        <v>-315.14634353510695</v>
      </c>
      <c r="M16" s="176">
        <f t="shared" si="0"/>
        <v>16589.713437599552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SUM(C$25,$C$9,C$38,(Cases!$V$25*sensitivity!$C$12),(-Cases!$C$25*sensitivity!$C$11))/((1+C$2)^F17)</f>
        <v>1616.1464076869374</v>
      </c>
      <c r="H17" s="213">
        <f t="shared" si="1"/>
        <v>15951.647536153416</v>
      </c>
      <c r="I17" s="213"/>
      <c r="J17" s="23"/>
      <c r="K17" s="7"/>
      <c r="L17" s="24">
        <f>SUM(C$25,$C$9,C$38,(Cases!$V$25*sensitivity!$D$12),(-Cases!$C$25*sensitivity!$D$11))/((1+C$2)^F17)</f>
        <v>-303.02533032221822</v>
      </c>
      <c r="M17" s="176">
        <f t="shared" si="0"/>
        <v>15951.647536153416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SUM(C$25,$C$9,C$38,(Cases!$V$25*sensitivity!$C$12),(-Cases!$C$25*sensitivity!$C$11))/((1+C$2)^F18)</f>
        <v>1553.9869304682093</v>
      </c>
      <c r="H18" s="213">
        <f t="shared" si="1"/>
        <v>15338.122630916747</v>
      </c>
      <c r="I18" s="213"/>
      <c r="J18" s="23"/>
      <c r="K18" s="7"/>
      <c r="L18" s="24">
        <f>SUM(C$25,$C$9,C$38,(Cases!$V$25*sensitivity!$D$12),(-Cases!$C$25*sensitivity!$D$11))/((1+C$2)^F18)</f>
        <v>-291.37050992520983</v>
      </c>
      <c r="M18" s="176">
        <f t="shared" si="0"/>
        <v>15338.122630916747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SUM(C$25,$C$9,C$38,(Cases!$V$25*sensitivity!$C$12),(-Cases!$C$25*sensitivity!$C$11))/((1+C$2)^F19)</f>
        <v>1494.2182023732778</v>
      </c>
      <c r="H19" s="213">
        <f t="shared" si="1"/>
        <v>14748.194837419946</v>
      </c>
      <c r="I19" s="213"/>
      <c r="J19" s="23"/>
      <c r="K19" s="7"/>
      <c r="L19" s="24">
        <f>SUM(C$25,$C$9,C$38,(Cases!$V$25*sensitivity!$D$12),(-Cases!$C$25*sensitivity!$D$11))/((1+C$2)^F19)</f>
        <v>-280.16395185116323</v>
      </c>
      <c r="M19" s="176">
        <f t="shared" si="0"/>
        <v>14748.194837419946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SUM(C$25,$C$9,C$38,(Cases!$V$25*sensitivity!$C$12),(-Cases!$C$25*sensitivity!$C$11))/((1+C$2)^F20)</f>
        <v>1436.7482715127669</v>
      </c>
      <c r="H20" s="213">
        <f t="shared" si="1"/>
        <v>14180.956574442254</v>
      </c>
      <c r="I20" s="213"/>
      <c r="J20" s="23"/>
      <c r="K20" s="7"/>
      <c r="L20" s="24">
        <f>SUM(C$25,$C$9,C$38,(Cases!$V$25*sensitivity!$D$12),(-Cases!$C$25*sensitivity!$D$11))/((1+C$2)^F20)</f>
        <v>-269.38841524150314</v>
      </c>
      <c r="M20" s="176">
        <f t="shared" si="0"/>
        <v>14180.956574442254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SUM(C$25,$C$9,C$38,(Cases!$V$25*sensitivity!$C$12),(-Cases!$C$25*sensitivity!$C$11))/((1+C$2)^F21)</f>
        <v>1381.4887226084297</v>
      </c>
      <c r="H21" s="213">
        <f t="shared" si="1"/>
        <v>13635.535167732938</v>
      </c>
      <c r="I21" s="213"/>
      <c r="J21" s="23"/>
      <c r="K21" s="7"/>
      <c r="L21" s="24">
        <f>SUM(C$25,$C$9,C$38,(Cases!$V$25*sensitivity!$D$12),(-Cases!$C$25*sensitivity!$D$11))/((1+C$2)^F21)</f>
        <v>-259.02732234759912</v>
      </c>
      <c r="M21" s="176">
        <f t="shared" si="0"/>
        <v>13635.535167732938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SUM(C$25,$C$9,C$38,(Cases!$V$25*sensitivity!$C$12),(-Cases!$C$25*sensitivity!$C$11))/((1+C$2)^F22)</f>
        <v>1328.3545409696442</v>
      </c>
      <c r="H22" s="213">
        <f t="shared" si="1"/>
        <v>13111.091507435518</v>
      </c>
      <c r="I22" s="213"/>
      <c r="J22" s="23"/>
      <c r="K22" s="7"/>
      <c r="L22" s="24">
        <f>SUM(C$25,$C$9,C$38,(Cases!$V$25*sensitivity!$D$12),(-Cases!$C$25*sensitivity!$D$11))/((1+C$2)^F22)</f>
        <v>-249.06473302653765</v>
      </c>
      <c r="M22" s="176">
        <f t="shared" si="0"/>
        <v>13111.091507435518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SUM(C$25,$C$9,C$38,(Cases!$V$25*sensitivity!$C$12),(-Cases!$C$25*sensitivity!$C$11))/((1+C$2)^F23)</f>
        <v>1277.2639817015806</v>
      </c>
      <c r="H23" s="213">
        <f t="shared" si="1"/>
        <v>12606.818757149535</v>
      </c>
      <c r="I23" s="213"/>
      <c r="J23" s="23"/>
      <c r="K23" s="7"/>
      <c r="L23" s="24">
        <f>SUM(C$25,$C$9,C$38,(Cases!$V$25*sensitivity!$D$12),(-Cases!$C$25*sensitivity!$D$11))/((1+C$2)^F23)</f>
        <v>-239.48532021782464</v>
      </c>
      <c r="M23" s="176">
        <f t="shared" si="0"/>
        <v>12606.818757149535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SUM(C$25,$C$9,C$38,(Cases!$V$25*sensitivity!$C$12),(-Cases!$C$25*sensitivity!$C$11))/((1+C$2)^F24)</f>
        <v>1228.1384439438275</v>
      </c>
      <c r="H24" s="213">
        <f t="shared" si="1"/>
        <v>12121.941112643783</v>
      </c>
      <c r="I24" s="213"/>
      <c r="J24" s="23"/>
      <c r="K24" s="7"/>
      <c r="L24" s="24">
        <f>SUM(C$25,$C$9,C$38,(Cases!$V$25*sensitivity!$D$12),(-Cases!$C$25*sensitivity!$D$11))/((1+C$2)^F24)</f>
        <v>-230.27434636329289</v>
      </c>
      <c r="M24" s="176">
        <f t="shared" si="0"/>
        <v>12121.941112643783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x14ac:dyDescent="0.3">
      <c r="A25" s="7"/>
      <c r="B25" s="24" t="s">
        <v>238</v>
      </c>
      <c r="C25" s="23">
        <f>C24*C5</f>
        <v>472.24670200845776</v>
      </c>
      <c r="D25" s="7"/>
      <c r="E25" s="7"/>
      <c r="F25" s="24">
        <v>18</v>
      </c>
      <c r="G25" s="213">
        <f>SUM(C$25,$C$9,C$38,(Cases!$V$25*sensitivity!$C$12),(-Cases!$C$25*sensitivity!$C$11))/((1+C$2)^F25)</f>
        <v>1180.9023499459879</v>
      </c>
      <c r="H25" s="213">
        <f t="shared" si="1"/>
        <v>11655.712608311327</v>
      </c>
      <c r="I25" s="213"/>
      <c r="J25" s="23"/>
      <c r="K25" s="7"/>
      <c r="L25" s="24">
        <f>SUM(C$25,$C$9,C$38,(Cases!$V$25*sensitivity!$D$12),(-Cases!$C$25*sensitivity!$D$11))/((1+C$2)^F25)</f>
        <v>-221.41764073393546</v>
      </c>
      <c r="M25" s="176">
        <f t="shared" si="0"/>
        <v>11655.712608311327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x14ac:dyDescent="0.3">
      <c r="A26" s="7"/>
      <c r="B26" s="24" t="s">
        <v>237</v>
      </c>
      <c r="C26" s="23">
        <f>C24*C7</f>
        <v>0</v>
      </c>
      <c r="D26" s="7"/>
      <c r="E26" s="7"/>
      <c r="F26" s="24">
        <v>19</v>
      </c>
      <c r="G26" s="213">
        <f>SUM(C$25,$C$9,C$38,(Cases!$V$25*sensitivity!$C$12),(-Cases!$C$25*sensitivity!$C$11))/((1+C$2)^F26)</f>
        <v>1135.4830287942191</v>
      </c>
      <c r="H26" s="213">
        <f t="shared" si="1"/>
        <v>11207.415969530124</v>
      </c>
      <c r="I26" s="213"/>
      <c r="J26" s="23"/>
      <c r="K26" s="7"/>
      <c r="L26" s="24">
        <f>SUM(C$25,$C$9,C$38,(Cases!$V$25*sensitivity!$D$12),(-Cases!$C$25*sensitivity!$D$11))/((1+C$2)^F26)</f>
        <v>-212.90157762878411</v>
      </c>
      <c r="M26" s="176">
        <f t="shared" si="0"/>
        <v>11207.415969530124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SUM(C$25,$C$9,C$38,(Cases!$V$25*sensitivity!$C$12),(-Cases!$C$25*sensitivity!$C$11))/((1+C$2)^F27)</f>
        <v>1091.810604609826</v>
      </c>
      <c r="H27" s="26">
        <f t="shared" si="1"/>
        <v>10776.36150916358</v>
      </c>
      <c r="I27" s="26"/>
      <c r="J27" s="27"/>
      <c r="K27" s="7"/>
      <c r="L27" s="25">
        <f>SUM(C$25,$C$9,C$38,(Cases!$V$25*sensitivity!$D$12),(-Cases!$C$25*sensitivity!$D$11))/((1+C$2)^F27)</f>
        <v>-204.71305541229239</v>
      </c>
      <c r="M27" s="6">
        <f t="shared" si="0"/>
        <v>10776.36150916358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A48" s="7"/>
      <c r="B48" s="24" t="s">
        <v>185</v>
      </c>
      <c r="C48" s="42">
        <f>Cases!E29</f>
        <v>44.880490060311672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x14ac:dyDescent="0.3">
      <c r="A50" s="7"/>
      <c r="B50" s="24" t="s">
        <v>222</v>
      </c>
      <c r="C50" s="23">
        <f>C48*C49</f>
        <v>11885.018664119574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x14ac:dyDescent="0.3">
      <c r="A53" s="7"/>
      <c r="B53" s="24" t="s">
        <v>223</v>
      </c>
      <c r="C53" s="23">
        <f>C50+C52+C51</f>
        <v>14625.018664119574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7"/>
      <c r="B54" s="24" t="s">
        <v>214</v>
      </c>
      <c r="C54" s="23">
        <f>C50*K78</f>
        <v>528.9171239029605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62171.390580478706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6266.8754886001752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0.69164613217039272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6266.8754886001752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188.00626465800525</v>
      </c>
      <c r="M67" s="26">
        <f>(M66/100)*M63</f>
        <v>446.09777965312514</v>
      </c>
      <c r="N67" s="27">
        <f>SUM(K67:M67)</f>
        <v>1571.0462734388948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  <c r="AI84" s="7"/>
      <c r="AJ84" s="7"/>
      <c r="AK84" s="7"/>
    </row>
    <row r="85" spans="1:37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  <c r="AI85" s="7"/>
      <c r="AJ85" s="7"/>
      <c r="AK85" s="7"/>
    </row>
    <row r="86" spans="1:37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  <c r="AI86" s="7"/>
      <c r="AJ86" s="7"/>
      <c r="AK86" s="7"/>
    </row>
    <row r="87" spans="1:37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  <c r="AI87" s="7"/>
      <c r="AJ87" s="7"/>
      <c r="AK87" s="7"/>
    </row>
    <row r="88" spans="1:37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  <c r="AI88" s="7"/>
      <c r="AJ88" s="7"/>
      <c r="AK88" s="7"/>
    </row>
    <row r="89" spans="1:37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Q88</f>
        <v>8190.68943600688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  <c r="AI89" s="7"/>
      <c r="AJ89" s="7"/>
      <c r="AK89" s="7"/>
    </row>
    <row r="90" spans="1:37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245.96664972993636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  <c r="AI90" s="7"/>
      <c r="AJ90" s="7"/>
      <c r="AK90" s="7"/>
    </row>
    <row r="91" spans="1:37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10.444792481000292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  <c r="AI91" s="7"/>
      <c r="AJ91" s="7"/>
      <c r="AK91" s="7"/>
    </row>
    <row r="92" spans="1:37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6266.8754886001752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  <c r="AI92" s="7"/>
      <c r="AJ92" s="7"/>
      <c r="AK92" s="7"/>
    </row>
    <row r="93" spans="1:37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  <c r="AI93" s="7"/>
      <c r="AJ93" s="7"/>
      <c r="AK93" s="7"/>
    </row>
    <row r="94" spans="1:37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  <c r="AI94" s="7"/>
      <c r="AJ94" s="7"/>
      <c r="AK94" s="7"/>
    </row>
    <row r="95" spans="1:37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  <c r="AI95" s="7"/>
      <c r="AJ95" s="7"/>
      <c r="AK95" s="7"/>
    </row>
    <row r="96" spans="1:37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245.96664972993636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  <c r="AI96" s="7"/>
      <c r="AJ96" s="7"/>
      <c r="AK96" s="7"/>
    </row>
    <row r="97" spans="1:37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  <c r="AI97" s="7"/>
      <c r="AJ97" s="7"/>
      <c r="AK97" s="7"/>
    </row>
    <row r="98" spans="1:37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  <c r="AI98" s="7"/>
      <c r="AJ98" s="7"/>
      <c r="AK98" s="7"/>
    </row>
    <row r="99" spans="1:37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  <c r="AI99" s="7"/>
      <c r="AJ99" s="7"/>
      <c r="AK99" s="7"/>
    </row>
    <row r="100" spans="1:37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10.444792481000292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  <c r="AI100" s="7"/>
      <c r="AJ100" s="7"/>
      <c r="AK100" s="7"/>
    </row>
    <row r="101" spans="1:37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0B69-307B-4E37-A06D-AA7E82853B53}">
  <dimension ref="A1:AN100"/>
  <sheetViews>
    <sheetView workbookViewId="0">
      <selection activeCell="F4" sqref="F4:M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40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3">
      <c r="A5" s="7"/>
      <c r="B5" s="24" t="s">
        <v>189</v>
      </c>
      <c r="C5" s="76">
        <f>Cases!F30</f>
        <v>23612.335100422886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0.29181631967254551</v>
      </c>
      <c r="K5" s="7"/>
      <c r="L5" s="24"/>
      <c r="M5" s="213"/>
      <c r="N5" s="213"/>
      <c r="O5" s="23">
        <f>SUM(L7:L27)/SUM(M7:M49)</f>
        <v>0.17707611512504992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93643.664320381838</v>
      </c>
      <c r="K6" s="7"/>
      <c r="L6" s="24"/>
      <c r="M6" s="213"/>
      <c r="N6" s="213"/>
      <c r="O6" s="23">
        <f>O5*SUM(M7:M27)</f>
        <v>56823.608434698268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">
      <c r="A7" s="7"/>
      <c r="B7" s="213"/>
      <c r="C7" s="214"/>
      <c r="D7" s="7"/>
      <c r="E7" s="7"/>
      <c r="F7" s="24">
        <v>2050</v>
      </c>
      <c r="G7" s="214">
        <f>SUM(C22,C33,C37)</f>
        <v>57376.994516821636</v>
      </c>
      <c r="H7" s="213"/>
      <c r="I7" s="213"/>
      <c r="J7" s="76"/>
      <c r="K7" s="7"/>
      <c r="L7" s="24">
        <f>SUM(C22,C33,C37)</f>
        <v>57376.994516821636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x14ac:dyDescent="0.3">
      <c r="A8" s="7"/>
      <c r="B8" s="213"/>
      <c r="C8" s="214"/>
      <c r="D8" s="7"/>
      <c r="E8" s="7"/>
      <c r="F8" s="24">
        <v>1</v>
      </c>
      <c r="G8" s="213">
        <f>SUM(C$25,$C$9,C$38,(Cases!$W$25*sensitivity!$C$12),(-Cases!$C$25*sensitivity!$C$11))/((1+C$2)^F8)</f>
        <v>2565.9279257080689</v>
      </c>
      <c r="H8" s="213">
        <f>C$5/((1+C$2)^F8)</f>
        <v>22704.168365791236</v>
      </c>
      <c r="I8" s="213"/>
      <c r="J8" s="23"/>
      <c r="K8" s="7"/>
      <c r="L8" s="24">
        <f>SUM(C$25,$C$9,C$38,(Cases!$W$25*sensitivity!$D$12),(-Cases!$C$25*sensitivity!$D$11))/((1+C$2)^F8)</f>
        <v>-39.152996663595836</v>
      </c>
      <c r="M8" s="176">
        <f>C$5/((1+C$2)^F8)</f>
        <v>22704.168365791236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3">
      <c r="A9" s="7"/>
      <c r="B9" s="213"/>
      <c r="C9" s="213"/>
      <c r="D9" s="7"/>
      <c r="E9" s="7"/>
      <c r="F9" s="24">
        <v>2</v>
      </c>
      <c r="G9" s="213">
        <f>SUM(C$25,$C$9,C$38,(Cases!$W$25*sensitivity!$C$12),(-Cases!$C$25*sensitivity!$C$11))/((1+C$2)^F9)</f>
        <v>2467.238390103912</v>
      </c>
      <c r="H9" s="213">
        <f>C$5/((1+C$2)^F9)</f>
        <v>21830.931120953112</v>
      </c>
      <c r="I9" s="213"/>
      <c r="J9" s="23"/>
      <c r="K9" s="7"/>
      <c r="L9" s="24">
        <f>SUM(C$25,$C$9,C$38,(Cases!$W$25*sensitivity!$D$12),(-Cases!$C$25*sensitivity!$D$11))/((1+C$2)^F9)</f>
        <v>-37.647112176534456</v>
      </c>
      <c r="M9" s="176">
        <f t="shared" ref="M9:M27" si="0">C$5/((1+C$2)^F9)</f>
        <v>21830.931120953112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3">
      <c r="A10" s="7"/>
      <c r="D10" s="7"/>
      <c r="E10" s="7"/>
      <c r="F10" s="24">
        <v>3</v>
      </c>
      <c r="G10" s="213">
        <f>SUM(C$25,$C$9,C$38,(Cases!$W$25*sensitivity!$C$12),(-Cases!$C$25*sensitivity!$C$11))/((1+C$2)^F10)</f>
        <v>2372.3446058691466</v>
      </c>
      <c r="H10" s="213">
        <f t="shared" ref="H10:H27" si="1">C$5/((1+C$2)^F10)</f>
        <v>20991.279923993374</v>
      </c>
      <c r="I10" s="213"/>
      <c r="J10" s="23"/>
      <c r="K10" s="7"/>
      <c r="L10" s="24">
        <f>SUM(C$25,$C$9,C$38,(Cases!$W$25*sensitivity!$D$12),(-Cases!$C$25*sensitivity!$D$11))/((1+C$2)^F10)</f>
        <v>-36.199146323590824</v>
      </c>
      <c r="M10" s="176">
        <f t="shared" si="0"/>
        <v>20991.279923993374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3">
      <c r="A11" s="7"/>
      <c r="D11" s="7"/>
      <c r="E11" s="7"/>
      <c r="F11" s="24">
        <v>4</v>
      </c>
      <c r="G11" s="213">
        <f>SUM(C$25,$C$9,C$38,(Cases!$W$25*sensitivity!$C$12),(-Cases!$C$25*sensitivity!$C$11))/((1+C$2)^F11)</f>
        <v>2281.1005825664865</v>
      </c>
      <c r="H11" s="213">
        <f t="shared" si="1"/>
        <v>20183.923003839784</v>
      </c>
      <c r="I11" s="213"/>
      <c r="J11" s="23"/>
      <c r="K11" s="7"/>
      <c r="L11" s="24">
        <f>SUM(C$25,$C$9,C$38,(Cases!$W$25*sensitivity!$D$12),(-Cases!$C$25*sensitivity!$D$11))/((1+C$2)^F11)</f>
        <v>-34.806871464991175</v>
      </c>
      <c r="M11" s="176">
        <f t="shared" si="0"/>
        <v>20183.923003839784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3">
      <c r="A12" s="7"/>
      <c r="B12" s="7"/>
      <c r="C12" s="7"/>
      <c r="D12" s="7"/>
      <c r="E12" s="7"/>
      <c r="F12" s="24">
        <v>5</v>
      </c>
      <c r="G12" s="213">
        <f>SUM(C$25,$C$9,C$38,(Cases!$W$25*sensitivity!$C$12),(-Cases!$C$25*sensitivity!$C$11))/((1+C$2)^F12)</f>
        <v>2193.3659447754676</v>
      </c>
      <c r="H12" s="213">
        <f t="shared" si="1"/>
        <v>19407.618272922864</v>
      </c>
      <c r="I12" s="213"/>
      <c r="J12" s="23"/>
      <c r="K12" s="7"/>
      <c r="L12" s="24">
        <f>SUM(C$25,$C$9,C$38,(Cases!$W$25*sensitivity!$D$12),(-Cases!$C$25*sensitivity!$D$11))/((1+C$2)^F12)</f>
        <v>-33.468145639414587</v>
      </c>
      <c r="M12" s="176">
        <f t="shared" si="0"/>
        <v>19407.618272922864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3">
      <c r="A13" s="7"/>
      <c r="B13" s="7"/>
      <c r="C13" s="7"/>
      <c r="D13" s="7"/>
      <c r="E13" s="7"/>
      <c r="F13" s="24">
        <v>6</v>
      </c>
      <c r="G13" s="213">
        <f>SUM(C$25,$C$9,C$38,(Cases!$W$25*sensitivity!$C$12),(-Cases!$C$25*sensitivity!$C$11))/((1+C$2)^F13)</f>
        <v>2109.0057161302575</v>
      </c>
      <c r="H13" s="213">
        <f t="shared" si="1"/>
        <v>18661.171416271987</v>
      </c>
      <c r="I13" s="213"/>
      <c r="J13" s="23"/>
      <c r="K13" s="7"/>
      <c r="L13" s="24">
        <f>SUM(C$25,$C$9,C$38,(Cases!$W$25*sensitivity!$D$12),(-Cases!$C$25*sensitivity!$D$11))/((1+C$2)^F13)</f>
        <v>-32.180909268667868</v>
      </c>
      <c r="M13" s="176">
        <f t="shared" si="0"/>
        <v>18661.171416271987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3">
      <c r="A14" s="7"/>
      <c r="B14" s="7"/>
      <c r="C14" s="7"/>
      <c r="D14" s="7"/>
      <c r="E14" s="7"/>
      <c r="F14" s="24">
        <v>7</v>
      </c>
      <c r="G14" s="213">
        <f>SUM(C$25,$C$9,C$38,(Cases!$W$25*sensitivity!$C$12),(-Cases!$C$25*sensitivity!$C$11))/((1+C$2)^F14)</f>
        <v>2027.8901116637091</v>
      </c>
      <c r="H14" s="213">
        <f t="shared" si="1"/>
        <v>17943.434054107682</v>
      </c>
      <c r="I14" s="213"/>
      <c r="J14" s="23"/>
      <c r="K14" s="7"/>
      <c r="L14" s="24">
        <f>SUM(C$25,$C$9,C$38,(Cases!$W$25*sensitivity!$D$12),(-Cases!$C$25*sensitivity!$D$11))/((1+C$2)^F14)</f>
        <v>-30.943181989103724</v>
      </c>
      <c r="M14" s="176">
        <f t="shared" si="0"/>
        <v>17943.434054107682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3">
      <c r="A15" s="7"/>
      <c r="D15" s="7"/>
      <c r="E15" s="7"/>
      <c r="F15" s="24">
        <v>8</v>
      </c>
      <c r="G15" s="213">
        <f>SUM(C$25,$C$9,C$38,(Cases!$W$25*sensitivity!$C$12),(-Cases!$C$25*sensitivity!$C$11))/((1+C$2)^F15)</f>
        <v>1949.8943381381816</v>
      </c>
      <c r="H15" s="213">
        <f t="shared" si="1"/>
        <v>17253.301975103535</v>
      </c>
      <c r="I15" s="213"/>
      <c r="J15" s="23"/>
      <c r="K15" s="7"/>
      <c r="L15" s="24">
        <f>SUM(C$25,$C$9,C$38,(Cases!$W$25*sensitivity!$D$12),(-Cases!$C$25*sensitivity!$D$11))/((1+C$2)^F15)</f>
        <v>-29.753059604907424</v>
      </c>
      <c r="M15" s="176">
        <f t="shared" si="0"/>
        <v>17253.301975103535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3">
      <c r="A16" s="7"/>
      <c r="B16" s="7"/>
      <c r="C16" s="7"/>
      <c r="D16" s="7"/>
      <c r="E16" s="7"/>
      <c r="F16" s="24">
        <v>9</v>
      </c>
      <c r="G16" s="213">
        <f>SUM(C$25,$C$9,C$38,(Cases!$W$25*sensitivity!$C$12),(-Cases!$C$25*sensitivity!$C$11))/((1+C$2)^F16)</f>
        <v>1874.8984020559437</v>
      </c>
      <c r="H16" s="213">
        <f t="shared" si="1"/>
        <v>16589.713437599552</v>
      </c>
      <c r="I16" s="213"/>
      <c r="J16" s="23"/>
      <c r="K16" s="7"/>
      <c r="L16" s="24">
        <f>SUM(C$25,$C$9,C$38,(Cases!$W$25*sensitivity!$D$12),(-Cases!$C$25*sensitivity!$D$11))/((1+C$2)^F16)</f>
        <v>-28.608711158564827</v>
      </c>
      <c r="M16" s="176">
        <f t="shared" si="0"/>
        <v>16589.713437599552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SUM(C$25,$C$9,C$38,(Cases!$W$25*sensitivity!$C$12),(-Cases!$C$25*sensitivity!$C$11))/((1+C$2)^F17)</f>
        <v>1802.7869250537919</v>
      </c>
      <c r="H17" s="213">
        <f t="shared" si="1"/>
        <v>15951.647536153416</v>
      </c>
      <c r="I17" s="213"/>
      <c r="J17" s="23"/>
      <c r="K17" s="7"/>
      <c r="L17" s="24">
        <f>SUM(C$25,$C$9,C$38,(Cases!$W$25*sensitivity!$D$12),(-Cases!$C$25*sensitivity!$D$11))/((1+C$2)^F17)</f>
        <v>-27.508376114004641</v>
      </c>
      <c r="M17" s="176">
        <f t="shared" si="0"/>
        <v>15951.647536153416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SUM(C$25,$C$9,C$38,(Cases!$W$25*sensitivity!$C$12),(-Cases!$C$25*sensitivity!$C$11))/((1+C$2)^F18)</f>
        <v>1733.448966397877</v>
      </c>
      <c r="H18" s="213">
        <f t="shared" si="1"/>
        <v>15338.122630916747</v>
      </c>
      <c r="I18" s="213"/>
      <c r="J18" s="23"/>
      <c r="K18" s="7"/>
      <c r="L18" s="24">
        <f>SUM(C$25,$C$9,C$38,(Cases!$W$25*sensitivity!$D$12),(-Cases!$C$25*sensitivity!$D$11))/((1+C$2)^F18)</f>
        <v>-26.45036164808139</v>
      </c>
      <c r="M18" s="176">
        <f t="shared" si="0"/>
        <v>15338.122630916747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SUM(C$25,$C$9,C$38,(Cases!$W$25*sensitivity!$C$12),(-Cases!$C$25*sensitivity!$C$11))/((1+C$2)^F19)</f>
        <v>1666.7778523056506</v>
      </c>
      <c r="H19" s="213">
        <f t="shared" si="1"/>
        <v>14748.194837419946</v>
      </c>
      <c r="I19" s="213"/>
      <c r="J19" s="23"/>
      <c r="K19" s="7"/>
      <c r="L19" s="24">
        <f>SUM(C$25,$C$9,C$38,(Cases!$W$25*sensitivity!$D$12),(-Cases!$C$25*sensitivity!$D$11))/((1+C$2)^F19)</f>
        <v>-25.433040046232097</v>
      </c>
      <c r="M19" s="176">
        <f t="shared" si="0"/>
        <v>14748.194837419946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SUM(C$25,$C$9,C$38,(Cases!$W$25*sensitivity!$C$12),(-Cases!$C$25*sensitivity!$C$11))/((1+C$2)^F20)</f>
        <v>1602.6710118323563</v>
      </c>
      <c r="H20" s="213">
        <f t="shared" si="1"/>
        <v>14180.956574442254</v>
      </c>
      <c r="I20" s="213"/>
      <c r="J20" s="23"/>
      <c r="K20" s="7"/>
      <c r="L20" s="24">
        <f>SUM(C$25,$C$9,C$38,(Cases!$W$25*sensitivity!$D$12),(-Cases!$C$25*sensitivity!$D$11))/((1+C$2)^F20)</f>
        <v>-24.454846198300093</v>
      </c>
      <c r="M20" s="176">
        <f t="shared" si="0"/>
        <v>14180.956574442254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SUM(C$25,$C$9,C$38,(Cases!$W$25*sensitivity!$C$12),(-Cases!$C$25*sensitivity!$C$11))/((1+C$2)^F21)</f>
        <v>1541.0298190695735</v>
      </c>
      <c r="H21" s="213">
        <f t="shared" si="1"/>
        <v>13635.535167732938</v>
      </c>
      <c r="I21" s="213"/>
      <c r="J21" s="23"/>
      <c r="K21" s="7"/>
      <c r="L21" s="24">
        <f>SUM(C$25,$C$9,C$38,(Cases!$W$25*sensitivity!$D$12),(-Cases!$C$25*sensitivity!$D$11))/((1+C$2)^F21)</f>
        <v>-23.514275190673168</v>
      </c>
      <c r="M21" s="176">
        <f t="shared" si="0"/>
        <v>13635.535167732938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SUM(C$25,$C$9,C$38,(Cases!$W$25*sensitivity!$C$12),(-Cases!$C$25*sensitivity!$C$11))/((1+C$2)^F22)</f>
        <v>1481.7594414130515</v>
      </c>
      <c r="H22" s="213">
        <f t="shared" si="1"/>
        <v>13111.091507435518</v>
      </c>
      <c r="I22" s="213"/>
      <c r="J22" s="23"/>
      <c r="K22" s="7"/>
      <c r="L22" s="24">
        <f>SUM(C$25,$C$9,C$38,(Cases!$W$25*sensitivity!$D$12),(-Cases!$C$25*sensitivity!$D$11))/((1+C$2)^F22)</f>
        <v>-22.609879991031892</v>
      </c>
      <c r="M22" s="176">
        <f t="shared" si="0"/>
        <v>13111.091507435518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SUM(C$25,$C$9,C$38,(Cases!$W$25*sensitivity!$C$12),(-Cases!$C$25*sensitivity!$C$11))/((1+C$2)^F23)</f>
        <v>1424.7686936663954</v>
      </c>
      <c r="H23" s="213">
        <f t="shared" si="1"/>
        <v>12606.818757149535</v>
      </c>
      <c r="I23" s="213"/>
      <c r="J23" s="23"/>
      <c r="K23" s="7"/>
      <c r="L23" s="24">
        <f>SUM(C$25,$C$9,C$38,(Cases!$W$25*sensitivity!$D$12),(-Cases!$C$25*sensitivity!$D$11))/((1+C$2)^F23)</f>
        <v>-21.740269222146047</v>
      </c>
      <c r="M23" s="176">
        <f t="shared" si="0"/>
        <v>12606.818757149535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SUM(C$25,$C$9,C$38,(Cases!$W$25*sensitivity!$C$12),(-Cases!$C$25*sensitivity!$C$11))/((1+C$2)^F24)</f>
        <v>1369.9698977561493</v>
      </c>
      <c r="H24" s="213">
        <f t="shared" si="1"/>
        <v>12121.941112643783</v>
      </c>
      <c r="I24" s="213"/>
      <c r="J24" s="23"/>
      <c r="K24" s="7"/>
      <c r="L24" s="24">
        <f>SUM(C$25,$C$9,C$38,(Cases!$W$25*sensitivity!$D$12),(-Cases!$C$25*sensitivity!$D$11))/((1+C$2)^F24)</f>
        <v>-20.904105021294274</v>
      </c>
      <c r="M24" s="176">
        <f t="shared" si="0"/>
        <v>12121.941112643783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x14ac:dyDescent="0.3">
      <c r="A25" s="7"/>
      <c r="B25" s="24" t="s">
        <v>238</v>
      </c>
      <c r="C25" s="23">
        <f>C24*C5</f>
        <v>472.24670200845776</v>
      </c>
      <c r="D25" s="7"/>
      <c r="E25" s="7"/>
      <c r="F25" s="24">
        <v>18</v>
      </c>
      <c r="G25" s="213">
        <f>SUM(C$25,$C$9,C$38,(Cases!$W$25*sensitivity!$C$12),(-Cases!$C$25*sensitivity!$C$11))/((1+C$2)^F25)</f>
        <v>1317.2787478424511</v>
      </c>
      <c r="H25" s="213">
        <f t="shared" si="1"/>
        <v>11655.712608311327</v>
      </c>
      <c r="I25" s="213"/>
      <c r="J25" s="23"/>
      <c r="K25" s="7"/>
      <c r="L25" s="24">
        <f>SUM(C$25,$C$9,C$38,(Cases!$W$25*sensitivity!$D$12),(-Cases!$C$25*sensitivity!$D$11))/((1+C$2)^F25)</f>
        <v>-20.100100982013725</v>
      </c>
      <c r="M25" s="176">
        <f t="shared" si="0"/>
        <v>11655.712608311327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3">
      <c r="A26" s="7"/>
      <c r="B26" s="24" t="s">
        <v>237</v>
      </c>
      <c r="C26" s="23">
        <f>C24*C7</f>
        <v>0</v>
      </c>
      <c r="D26" s="7"/>
      <c r="E26" s="7"/>
      <c r="F26" s="24">
        <v>19</v>
      </c>
      <c r="G26" s="213">
        <f>SUM(C$25,$C$9,C$38,(Cases!$W$25*sensitivity!$C$12),(-Cases!$C$25*sensitivity!$C$11))/((1+C$2)^F26)</f>
        <v>1266.6141806177416</v>
      </c>
      <c r="H26" s="213">
        <f t="shared" si="1"/>
        <v>11207.415969530124</v>
      </c>
      <c r="I26" s="213"/>
      <c r="J26" s="23"/>
      <c r="K26" s="7"/>
      <c r="L26" s="24">
        <f>SUM(C$25,$C$9,C$38,(Cases!$W$25*sensitivity!$D$12),(-Cases!$C$25*sensitivity!$D$11))/((1+C$2)^F26)</f>
        <v>-19.327020175013196</v>
      </c>
      <c r="M26" s="176">
        <f t="shared" si="0"/>
        <v>11207.415969530124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SUM(C$25,$C$9,C$38,(Cases!$W$25*sensitivity!$C$12),(-Cases!$C$25*sensitivity!$C$11))/((1+C$2)^F27)</f>
        <v>1217.8982505939823</v>
      </c>
      <c r="H27" s="26">
        <f t="shared" si="1"/>
        <v>10776.36150916358</v>
      </c>
      <c r="I27" s="26"/>
      <c r="J27" s="27"/>
      <c r="K27" s="7"/>
      <c r="L27" s="25">
        <f>SUM(C$25,$C$9,C$38,(Cases!$W$25*sensitivity!$D$12),(-Cases!$C$25*sensitivity!$D$11))/((1+C$2)^F27)</f>
        <v>-18.583673245204999</v>
      </c>
      <c r="M27" s="6">
        <f t="shared" si="0"/>
        <v>10776.36150916358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3">
      <c r="A48" s="7"/>
      <c r="B48" s="24" t="s">
        <v>185</v>
      </c>
      <c r="C48" s="42">
        <f>Cases!F29</f>
        <v>52.08919349583649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x14ac:dyDescent="0.3">
      <c r="A50" s="7"/>
      <c r="B50" s="24" t="s">
        <v>222</v>
      </c>
      <c r="C50" s="23">
        <f>C48*C49</f>
        <v>13793.990129452997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x14ac:dyDescent="0.3">
      <c r="A53" s="7"/>
      <c r="B53" s="24" t="s">
        <v>223</v>
      </c>
      <c r="C53" s="23">
        <f>C50+C52+C51</f>
        <v>16533.990129452999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x14ac:dyDescent="0.3">
      <c r="A54" s="7"/>
      <c r="B54" s="24" t="s">
        <v>214</v>
      </c>
      <c r="C54" s="23">
        <f>C50*K78</f>
        <v>613.87178199745586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66236.475581303268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7273.4609069850794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0.70732468728145115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7273.4609069850794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218.20382720955237</v>
      </c>
      <c r="M67" s="26">
        <f>(M66/100)*M63</f>
        <v>446.09777965312514</v>
      </c>
      <c r="N67" s="27">
        <f>SUM(K67:M67)</f>
        <v>1601.243835990442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  <c r="AI84" s="7"/>
      <c r="AJ84" s="7"/>
      <c r="AK84" s="7"/>
      <c r="AL84" s="7"/>
      <c r="AM84" s="7"/>
      <c r="AN84" s="7"/>
    </row>
    <row r="85" spans="1:40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  <c r="AI85" s="7"/>
      <c r="AJ85" s="7"/>
      <c r="AK85" s="7"/>
      <c r="AL85" s="7"/>
      <c r="AM85" s="7"/>
      <c r="AN85" s="7"/>
    </row>
    <row r="86" spans="1:40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  <c r="AI86" s="7"/>
      <c r="AJ86" s="7"/>
      <c r="AK86" s="7"/>
      <c r="AL86" s="7"/>
      <c r="AM86" s="7"/>
      <c r="AN86" s="7"/>
    </row>
    <row r="87" spans="1:40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  <c r="AI87" s="7"/>
      <c r="AJ87" s="7"/>
      <c r="AK87" s="7"/>
      <c r="AL87" s="7"/>
      <c r="AM87" s="7"/>
      <c r="AN87" s="7"/>
    </row>
    <row r="88" spans="1:40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  <c r="AI88" s="7"/>
      <c r="AJ88" s="7"/>
      <c r="AK88" s="7"/>
      <c r="AL88" s="7"/>
      <c r="AM88" s="7"/>
      <c r="AN88" s="7"/>
    </row>
    <row r="89" spans="1:40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R88</f>
        <v>9506.2778129901599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  <c r="AI89" s="7"/>
      <c r="AJ89" s="7"/>
      <c r="AK89" s="7"/>
      <c r="AL89" s="7"/>
      <c r="AM89" s="7"/>
      <c r="AN89" s="7"/>
    </row>
    <row r="90" spans="1:40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285.47380819790271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  <c r="AI90" s="7"/>
      <c r="AJ90" s="7"/>
      <c r="AK90" s="7"/>
      <c r="AL90" s="7"/>
      <c r="AM90" s="7"/>
      <c r="AN90" s="7"/>
    </row>
    <row r="91" spans="1:40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12.122434844975132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  <c r="AI91" s="7"/>
      <c r="AJ91" s="7"/>
      <c r="AK91" s="7"/>
      <c r="AL91" s="7"/>
      <c r="AM91" s="7"/>
      <c r="AN91" s="7"/>
    </row>
    <row r="92" spans="1:40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7273.4609069850794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  <c r="AI92" s="7"/>
      <c r="AJ92" s="7"/>
      <c r="AK92" s="7"/>
      <c r="AL92" s="7"/>
      <c r="AM92" s="7"/>
      <c r="AN92" s="7"/>
    </row>
    <row r="93" spans="1:40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  <c r="AI93" s="7"/>
      <c r="AJ93" s="7"/>
      <c r="AK93" s="7"/>
      <c r="AL93" s="7"/>
      <c r="AM93" s="7"/>
      <c r="AN93" s="7"/>
    </row>
    <row r="94" spans="1:40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  <c r="AI94" s="7"/>
      <c r="AJ94" s="7"/>
      <c r="AK94" s="7"/>
      <c r="AL94" s="7"/>
      <c r="AM94" s="7"/>
      <c r="AN94" s="7"/>
    </row>
    <row r="95" spans="1:40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  <c r="AI95" s="7"/>
      <c r="AJ95" s="7"/>
      <c r="AK95" s="7"/>
      <c r="AL95" s="7"/>
      <c r="AM95" s="7"/>
      <c r="AN95" s="7"/>
    </row>
    <row r="96" spans="1:40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285.47380819790271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  <c r="AI96" s="7"/>
      <c r="AJ96" s="7"/>
      <c r="AK96" s="7"/>
      <c r="AL96" s="7"/>
      <c r="AM96" s="7"/>
      <c r="AN96" s="7"/>
    </row>
    <row r="97" spans="1:40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  <c r="AI97" s="7"/>
      <c r="AJ97" s="7"/>
      <c r="AK97" s="7"/>
      <c r="AL97" s="7"/>
      <c r="AM97" s="7"/>
      <c r="AN97" s="7"/>
    </row>
    <row r="98" spans="1:40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  <c r="AI98" s="7"/>
      <c r="AJ98" s="7"/>
      <c r="AK98" s="7"/>
      <c r="AL98" s="7"/>
      <c r="AM98" s="7"/>
      <c r="AN98" s="7"/>
    </row>
    <row r="99" spans="1:40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  <c r="AI99" s="7"/>
      <c r="AJ99" s="7"/>
      <c r="AK99" s="7"/>
      <c r="AL99" s="7"/>
      <c r="AM99" s="7"/>
      <c r="AN99" s="7"/>
    </row>
    <row r="100" spans="1:40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12.122434844975132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  <c r="AI100" s="7"/>
      <c r="AJ100" s="7"/>
      <c r="AK100" s="7"/>
      <c r="AL100" s="7"/>
      <c r="AM100" s="7"/>
      <c r="AN100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D0F7-71AD-4AD4-88B9-0389E04C3C53}">
  <dimension ref="A1:AO113"/>
  <sheetViews>
    <sheetView workbookViewId="0">
      <selection activeCell="F4" sqref="F4:M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41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x14ac:dyDescent="0.3">
      <c r="A5" s="7"/>
      <c r="B5" s="24" t="s">
        <v>189</v>
      </c>
      <c r="C5" s="76">
        <f>Cases!G30</f>
        <v>17695.191837711751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0.3349192825738837</v>
      </c>
      <c r="K5" s="7"/>
      <c r="L5" s="24"/>
      <c r="M5" s="213"/>
      <c r="N5" s="213"/>
      <c r="O5" s="23">
        <f>SUM(L7:L27)/SUM(M7:M49)</f>
        <v>0.22055352112688076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80542.538453149813</v>
      </c>
      <c r="K6" s="7"/>
      <c r="L6" s="24"/>
      <c r="M6" s="213"/>
      <c r="N6" s="213"/>
      <c r="O6" s="23">
        <f>O5*SUM(M7:M27)</f>
        <v>53039.467658660797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x14ac:dyDescent="0.3">
      <c r="A7" s="7"/>
      <c r="B7" s="213"/>
      <c r="C7" s="214"/>
      <c r="D7" s="7"/>
      <c r="E7" s="7"/>
      <c r="F7" s="24">
        <v>2050</v>
      </c>
      <c r="G7" s="214">
        <f>SUM(C22,C33,C37)</f>
        <v>52493.896161775141</v>
      </c>
      <c r="H7" s="213"/>
      <c r="I7" s="213"/>
      <c r="J7" s="76"/>
      <c r="K7" s="7"/>
      <c r="L7" s="24">
        <f>SUM(C22,C33,C37)</f>
        <v>52493.896161775141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x14ac:dyDescent="0.3">
      <c r="A8" s="7"/>
      <c r="B8" s="213"/>
      <c r="C8" s="214"/>
      <c r="D8" s="7"/>
      <c r="E8" s="7"/>
      <c r="F8" s="24">
        <v>1</v>
      </c>
      <c r="G8" s="213">
        <f>SUM(C$25,$C$9,C$38,(Cases!$X$25*sensitivity!$C$12),(-Cases!$G$25*sensitivity!$C$11))/((1+C$2)^F8)</f>
        <v>1984.4886482124523</v>
      </c>
      <c r="H8" s="213">
        <f>C$5/((1+C$2)^F8)</f>
        <v>17014.607536261297</v>
      </c>
      <c r="I8" s="213"/>
      <c r="J8" s="23"/>
      <c r="K8" s="7"/>
      <c r="L8" s="24">
        <f>SUM(C$25,$C$9,C$38,(Cases!$X$25*sensitivity!$D$12),(-Cases!$G$25*sensitivity!$D$11))/((1+C$2)^F8)</f>
        <v>38.600101606015009</v>
      </c>
      <c r="M8" s="176">
        <f>C$5/((1+C$2)^F8)</f>
        <v>17014.607536261297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x14ac:dyDescent="0.3">
      <c r="A9" s="7"/>
      <c r="B9" s="213"/>
      <c r="C9" s="213"/>
      <c r="D9" s="7"/>
      <c r="E9" s="7"/>
      <c r="F9" s="24">
        <v>2</v>
      </c>
      <c r="G9" s="213">
        <f>SUM(C$25,$C$9,C$38,(Cases!$X$25*sensitivity!$C$12),(-Cases!$G$25*sensitivity!$C$11))/((1+C$2)^F9)</f>
        <v>1908.1621617427425</v>
      </c>
      <c r="H9" s="213">
        <f>C$5/((1+C$2)^F9)</f>
        <v>16360.1995540974</v>
      </c>
      <c r="I9" s="213"/>
      <c r="J9" s="23"/>
      <c r="K9" s="7"/>
      <c r="L9" s="24">
        <f>SUM(C$25,$C$9,C$38,(Cases!$X$25*sensitivity!$D$12),(-Cases!$G$25*sensitivity!$D$11))/((1+C$2)^F9)</f>
        <v>37.115482313475972</v>
      </c>
      <c r="M9" s="176">
        <f t="shared" ref="M9:M27" si="0">C$5/((1+C$2)^F9)</f>
        <v>16360.1995540974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x14ac:dyDescent="0.3">
      <c r="A10" s="7"/>
      <c r="D10" s="7"/>
      <c r="E10" s="7"/>
      <c r="F10" s="24">
        <v>3</v>
      </c>
      <c r="G10" s="213">
        <f>SUM(C$25,$C$9,C$38,(Cases!$X$25*sensitivity!$C$12),(-Cases!$G$25*sensitivity!$C$11))/((1+C$2)^F10)</f>
        <v>1834.7713093680215</v>
      </c>
      <c r="H10" s="213">
        <f t="shared" ref="H10:H27" si="1">C$5/((1+C$2)^F10)</f>
        <v>15730.96110970904</v>
      </c>
      <c r="I10" s="213"/>
      <c r="J10" s="23"/>
      <c r="K10" s="7"/>
      <c r="L10" s="24">
        <f>SUM(C$25,$C$9,C$38,(Cases!$X$25*sensitivity!$D$12),(-Cases!$G$25*sensitivity!$D$11))/((1+C$2)^F10)</f>
        <v>35.687963762957665</v>
      </c>
      <c r="M10" s="176">
        <f t="shared" si="0"/>
        <v>15730.96110970904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x14ac:dyDescent="0.3">
      <c r="A11" s="7"/>
      <c r="D11" s="7"/>
      <c r="E11" s="7"/>
      <c r="F11" s="24">
        <v>4</v>
      </c>
      <c r="G11" s="213">
        <f>SUM(C$25,$C$9,C$38,(Cases!$X$25*sensitivity!$C$12),(-Cases!$G$25*sensitivity!$C$11))/((1+C$2)^F11)</f>
        <v>1764.203182084636</v>
      </c>
      <c r="H11" s="213">
        <f t="shared" si="1"/>
        <v>15125.924143950999</v>
      </c>
      <c r="I11" s="213"/>
      <c r="J11" s="23"/>
      <c r="K11" s="7"/>
      <c r="L11" s="24">
        <f>SUM(C$25,$C$9,C$38,(Cases!$X$25*sensitivity!$D$12),(-Cases!$G$25*sensitivity!$D$11))/((1+C$2)^F11)</f>
        <v>34.315349772074676</v>
      </c>
      <c r="M11" s="176">
        <f t="shared" si="0"/>
        <v>15125.924143950999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x14ac:dyDescent="0.3">
      <c r="A12" s="7"/>
      <c r="B12" s="7"/>
      <c r="C12" s="7"/>
      <c r="D12" s="7"/>
      <c r="E12" s="7"/>
      <c r="F12" s="24">
        <v>5</v>
      </c>
      <c r="G12" s="213">
        <f>SUM(C$25,$C$9,C$38,(Cases!$X$25*sensitivity!$C$12),(-Cases!$G$25*sensitivity!$C$11))/((1+C$2)^F12)</f>
        <v>1696.349213542919</v>
      </c>
      <c r="H12" s="213">
        <f t="shared" si="1"/>
        <v>14544.157830722112</v>
      </c>
      <c r="I12" s="213"/>
      <c r="J12" s="23"/>
      <c r="K12" s="7"/>
      <c r="L12" s="24">
        <f>SUM(C$25,$C$9,C$38,(Cases!$X$25*sensitivity!$D$12),(-Cases!$G$25*sensitivity!$D$11))/((1+C$2)^F12)</f>
        <v>32.995528626994876</v>
      </c>
      <c r="M12" s="176">
        <f t="shared" si="0"/>
        <v>14544.157830722112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x14ac:dyDescent="0.3">
      <c r="A13" s="7"/>
      <c r="B13" s="7"/>
      <c r="C13" s="7"/>
      <c r="D13" s="7"/>
      <c r="E13" s="7"/>
      <c r="F13" s="24">
        <v>6</v>
      </c>
      <c r="G13" s="213">
        <f>SUM(C$25,$C$9,C$38,(Cases!$X$25*sensitivity!$C$12),(-Cases!$G$25*sensitivity!$C$11))/((1+C$2)^F13)</f>
        <v>1631.1050130220376</v>
      </c>
      <c r="H13" s="213">
        <f t="shared" si="1"/>
        <v>13984.767144925108</v>
      </c>
      <c r="I13" s="213"/>
      <c r="J13" s="23"/>
      <c r="K13" s="7"/>
      <c r="L13" s="24">
        <f>SUM(C$25,$C$9,C$38,(Cases!$X$25*sensitivity!$D$12),(-Cases!$G$25*sensitivity!$D$11))/((1+C$2)^F13)</f>
        <v>31.726469833648917</v>
      </c>
      <c r="M13" s="176">
        <f t="shared" si="0"/>
        <v>13984.767144925108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x14ac:dyDescent="0.3">
      <c r="A14" s="7"/>
      <c r="B14" s="7"/>
      <c r="C14" s="7"/>
      <c r="D14" s="7"/>
      <c r="E14" s="7"/>
      <c r="F14" s="24">
        <v>7</v>
      </c>
      <c r="G14" s="213">
        <f>SUM(C$25,$C$9,C$38,(Cases!$X$25*sensitivity!$C$12),(-Cases!$G$25*sensitivity!$C$11))/((1+C$2)^F14)</f>
        <v>1568.3702048288824</v>
      </c>
      <c r="H14" s="213">
        <f t="shared" si="1"/>
        <v>13446.891485504913</v>
      </c>
      <c r="I14" s="213"/>
      <c r="J14" s="23"/>
      <c r="K14" s="7"/>
      <c r="L14" s="24">
        <f>SUM(C$25,$C$9,C$38,(Cases!$X$25*sensitivity!$D$12),(-Cases!$G$25*sensitivity!$D$11))/((1+C$2)^F14)</f>
        <v>30.506220993893194</v>
      </c>
      <c r="M14" s="176">
        <f t="shared" si="0"/>
        <v>13446.891485504913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x14ac:dyDescent="0.3">
      <c r="A15" s="7"/>
      <c r="D15" s="7"/>
      <c r="E15" s="7"/>
      <c r="F15" s="24">
        <v>8</v>
      </c>
      <c r="G15" s="213">
        <f>SUM(C$25,$C$9,C$38,(Cases!$X$25*sensitivity!$C$12),(-Cases!$G$25*sensitivity!$C$11))/((1+C$2)^F15)</f>
        <v>1508.0482738739252</v>
      </c>
      <c r="H15" s="213">
        <f t="shared" si="1"/>
        <v>12929.703351447029</v>
      </c>
      <c r="I15" s="213"/>
      <c r="J15" s="23"/>
      <c r="K15" s="7"/>
      <c r="L15" s="24">
        <f>SUM(C$25,$C$9,C$38,(Cases!$X$25*sensitivity!$D$12),(-Cases!$G$25*sensitivity!$D$11))/((1+C$2)^F15)</f>
        <v>29.332904801820373</v>
      </c>
      <c r="M15" s="176">
        <f t="shared" si="0"/>
        <v>12929.703351447029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x14ac:dyDescent="0.3">
      <c r="A16" s="7"/>
      <c r="B16" s="7"/>
      <c r="C16" s="7"/>
      <c r="D16" s="7"/>
      <c r="E16" s="7"/>
      <c r="F16" s="24">
        <v>9</v>
      </c>
      <c r="G16" s="213">
        <f>SUM(C$25,$C$9,C$38,(Cases!$X$25*sensitivity!$C$12),(-Cases!$G$25*sensitivity!$C$11))/((1+C$2)^F16)</f>
        <v>1450.0464171864664</v>
      </c>
      <c r="H16" s="213">
        <f t="shared" si="1"/>
        <v>12432.407068699065</v>
      </c>
      <c r="I16" s="213"/>
      <c r="J16" s="23"/>
      <c r="K16" s="7"/>
      <c r="L16" s="24">
        <f>SUM(C$25,$C$9,C$38,(Cases!$X$25*sensitivity!$D$12),(-Cases!$G$25*sensitivity!$D$11))/((1+C$2)^F16)</f>
        <v>28.204716155596511</v>
      </c>
      <c r="M16" s="176">
        <f t="shared" si="0"/>
        <v>12432.407068699065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SUM(C$25,$C$9,C$38,(Cases!$X$25*sensitivity!$C$12),(-Cases!$G$25*sensitivity!$C$11))/((1+C$2)^F17)</f>
        <v>1394.2754011408331</v>
      </c>
      <c r="H17" s="213">
        <f t="shared" si="1"/>
        <v>11954.237566056794</v>
      </c>
      <c r="I17" s="213"/>
      <c r="J17" s="23"/>
      <c r="K17" s="7"/>
      <c r="L17" s="24">
        <f>SUM(C$25,$C$9,C$38,(Cases!$X$25*sensitivity!$D$12),(-Cases!$G$25*sensitivity!$D$11))/((1+C$2)^F17)</f>
        <v>27.119919380381258</v>
      </c>
      <c r="M17" s="176">
        <f t="shared" si="0"/>
        <v>11954.237566056794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SUM(C$25,$C$9,C$38,(Cases!$X$25*sensitivity!$C$12),(-Cases!$G$25*sensitivity!$C$11))/((1+C$2)^F18)</f>
        <v>1340.6494241738781</v>
      </c>
      <c r="H18" s="213">
        <f t="shared" si="1"/>
        <v>11494.459198131533</v>
      </c>
      <c r="I18" s="213"/>
      <c r="J18" s="23"/>
      <c r="K18" s="7"/>
      <c r="L18" s="24">
        <f>SUM(C$25,$C$9,C$38,(Cases!$X$25*sensitivity!$D$12),(-Cases!$G$25*sensitivity!$D$11))/((1+C$2)^F18)</f>
        <v>26.076845558058906</v>
      </c>
      <c r="M18" s="176">
        <f t="shared" si="0"/>
        <v>11494.459198131533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SUM(C$25,$C$9,C$38,(Cases!$X$25*sensitivity!$C$12),(-Cases!$G$25*sensitivity!$C$11))/((1+C$2)^F19)</f>
        <v>1289.0859847825748</v>
      </c>
      <c r="H19" s="213">
        <f t="shared" si="1"/>
        <v>11052.36461358801</v>
      </c>
      <c r="I19" s="213"/>
      <c r="J19" s="23"/>
      <c r="K19" s="7"/>
      <c r="L19" s="24">
        <f>SUM(C$25,$C$9,C$38,(Cases!$X$25*sensitivity!$D$12),(-Cases!$G$25*sensitivity!$D$11))/((1+C$2)^F19)</f>
        <v>25.07388995967202</v>
      </c>
      <c r="M19" s="176">
        <f t="shared" si="0"/>
        <v>11052.36461358801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x14ac:dyDescent="0.3">
      <c r="A20" s="7"/>
      <c r="B20" s="24" t="s">
        <v>175</v>
      </c>
      <c r="C20" s="23">
        <f>'Electricity prod.'!N17</f>
        <v>56.969480808875716</v>
      </c>
      <c r="D20" s="7"/>
      <c r="E20" s="7"/>
      <c r="F20" s="24">
        <v>13</v>
      </c>
      <c r="G20" s="213">
        <f>SUM(C$25,$C$9,C$38,(Cases!$X$25*sensitivity!$C$12),(-Cases!$G$25*sensitivity!$C$11))/((1+C$2)^F20)</f>
        <v>1239.5057545986294</v>
      </c>
      <c r="H20" s="213">
        <f t="shared" si="1"/>
        <v>10627.273666911547</v>
      </c>
      <c r="I20" s="213"/>
      <c r="J20" s="23"/>
      <c r="K20" s="7"/>
      <c r="L20" s="24">
        <f>SUM(C$25,$C$9,C$38,(Cases!$X$25*sensitivity!$D$12),(-Cases!$G$25*sensitivity!$D$11))/((1+C$2)^F20)</f>
        <v>24.10950957660771</v>
      </c>
      <c r="M20" s="176">
        <f t="shared" si="0"/>
        <v>10627.273666911547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SUM(C$25,$C$9,C$38,(Cases!$X$25*sensitivity!$C$12),(-Cases!$G$25*sensitivity!$C$11))/((1+C$2)^F21)</f>
        <v>1191.8324563448361</v>
      </c>
      <c r="H21" s="213">
        <f t="shared" si="1"/>
        <v>10218.532372030335</v>
      </c>
      <c r="I21" s="213"/>
      <c r="J21" s="23"/>
      <c r="K21" s="7"/>
      <c r="L21" s="24">
        <f>SUM(C$25,$C$9,C$38,(Cases!$X$25*sensitivity!$D$12),(-Cases!$G$25*sensitivity!$D$11))/((1+C$2)^F21)</f>
        <v>23.182220746738182</v>
      </c>
      <c r="M21" s="176">
        <f t="shared" si="0"/>
        <v>10218.532372030335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x14ac:dyDescent="0.3">
      <c r="A22" s="7"/>
      <c r="B22" s="24" t="s">
        <v>177</v>
      </c>
      <c r="C22" s="23">
        <f>C19*C20</f>
        <v>11393.896161775143</v>
      </c>
      <c r="D22" s="7"/>
      <c r="E22" s="7"/>
      <c r="F22" s="24">
        <v>15</v>
      </c>
      <c r="G22" s="213">
        <f>SUM(C$25,$C$9,C$38,(Cases!$X$25*sensitivity!$C$12),(-Cases!$G$25*sensitivity!$C$11))/((1+C$2)^F22)</f>
        <v>1145.9927464854193</v>
      </c>
      <c r="H22" s="213">
        <f t="shared" si="1"/>
        <v>9825.511896183014</v>
      </c>
      <c r="I22" s="213"/>
      <c r="J22" s="23"/>
      <c r="K22" s="7"/>
      <c r="L22" s="24">
        <f>SUM(C$25,$C$9,C$38,(Cases!$X$25*sensitivity!$D$12),(-Cases!$G$25*sensitivity!$D$11))/((1+C$2)^F22)</f>
        <v>22.290596871863638</v>
      </c>
      <c r="M22" s="176">
        <f t="shared" si="0"/>
        <v>9825.511896183014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SUM(C$25,$C$9,C$38,(Cases!$X$25*sensitivity!$C$12),(-Cases!$G$25*sensitivity!$C$11))/((1+C$2)^F23)</f>
        <v>1101.9161023898262</v>
      </c>
      <c r="H23" s="213">
        <f t="shared" si="1"/>
        <v>9447.6075924836659</v>
      </c>
      <c r="I23" s="213"/>
      <c r="J23" s="23"/>
      <c r="K23" s="7"/>
      <c r="L23" s="24">
        <f>SUM(C$25,$C$9,C$38,(Cases!$X$25*sensitivity!$D$12),(-Cases!$G$25*sensitivity!$D$11))/((1+C$2)^F23)</f>
        <v>21.433266222945804</v>
      </c>
      <c r="M23" s="176">
        <f t="shared" si="0"/>
        <v>9447.6075924836659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SUM(C$25,$C$9,C$38,(Cases!$X$25*sensitivity!$C$12),(-Cases!$G$25*sensitivity!$C$11))/((1+C$2)^F24)</f>
        <v>1059.5347138363711</v>
      </c>
      <c r="H24" s="213">
        <f t="shared" si="1"/>
        <v>9084.2380696958335</v>
      </c>
      <c r="I24" s="213"/>
      <c r="J24" s="23"/>
      <c r="K24" s="7"/>
      <c r="L24" s="24">
        <f>SUM(C$25,$C$9,C$38,(Cases!$X$25*sensitivity!$D$12),(-Cases!$G$25*sensitivity!$D$11))/((1+C$2)^F24)</f>
        <v>20.608909829755579</v>
      </c>
      <c r="M24" s="176">
        <f t="shared" si="0"/>
        <v>9084.2380696958335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x14ac:dyDescent="0.3">
      <c r="A25" s="7"/>
      <c r="B25" s="24" t="s">
        <v>238</v>
      </c>
      <c r="C25" s="23">
        <f>C24*C5</f>
        <v>353.90383675423504</v>
      </c>
      <c r="D25" s="7"/>
      <c r="E25" s="7"/>
      <c r="F25" s="24">
        <v>18</v>
      </c>
      <c r="G25" s="213">
        <f>SUM(C$25,$C$9,C$38,(Cases!$X$25*sensitivity!$C$12),(-Cases!$G$25*sensitivity!$C$11))/((1+C$2)^F25)</f>
        <v>1018.7833786888184</v>
      </c>
      <c r="H25" s="213">
        <f t="shared" si="1"/>
        <v>8734.8442977844534</v>
      </c>
      <c r="I25" s="213"/>
      <c r="J25" s="23"/>
      <c r="K25" s="7"/>
      <c r="L25" s="24">
        <f>SUM(C$25,$C$9,C$38,(Cases!$X$25*sensitivity!$D$12),(-Cases!$G$25*sensitivity!$D$11))/((1+C$2)^F25)</f>
        <v>19.816259451688055</v>
      </c>
      <c r="M25" s="176">
        <f t="shared" si="0"/>
        <v>8734.8442977844534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x14ac:dyDescent="0.3">
      <c r="A26" s="7"/>
      <c r="B26" s="24" t="s">
        <v>237</v>
      </c>
      <c r="C26" s="23">
        <f>C24*C7</f>
        <v>0</v>
      </c>
      <c r="D26" s="7"/>
      <c r="E26" s="7"/>
      <c r="F26" s="24">
        <v>19</v>
      </c>
      <c r="G26" s="213">
        <f>SUM(C$25,$C$9,C$38,(Cases!$X$25*sensitivity!$C$12),(-Cases!$G$25*sensitivity!$C$11))/((1+C$2)^F26)</f>
        <v>979.59940258540234</v>
      </c>
      <c r="H26" s="213">
        <f t="shared" si="1"/>
        <v>8398.888747869667</v>
      </c>
      <c r="I26" s="213"/>
      <c r="J26" s="23"/>
      <c r="K26" s="7"/>
      <c r="L26" s="24">
        <f>SUM(C$25,$C$9,C$38,(Cases!$X$25*sensitivity!$D$12),(-Cases!$G$25*sensitivity!$D$11))/((1+C$2)^F26)</f>
        <v>19.05409562662313</v>
      </c>
      <c r="M26" s="176">
        <f t="shared" si="0"/>
        <v>8398.888747869667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SUM(C$25,$C$9,C$38,(Cases!$X$25*sensitivity!$C$12),(-Cases!$G$25*sensitivity!$C$11))/((1+C$2)^F27)</f>
        <v>941.92250248596372</v>
      </c>
      <c r="H27" s="26">
        <f t="shared" si="1"/>
        <v>8075.8545652592957</v>
      </c>
      <c r="I27" s="26"/>
      <c r="J27" s="27"/>
      <c r="K27" s="7"/>
      <c r="L27" s="25">
        <f>SUM(C$25,$C$9,C$38,(Cases!$X$25*sensitivity!$D$12),(-Cases!$G$25*sensitivity!$D$11))/((1+C$2)^F27)</f>
        <v>18.321245794829931</v>
      </c>
      <c r="M27" s="6">
        <f t="shared" si="0"/>
        <v>8075.8545652592957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x14ac:dyDescent="0.3">
      <c r="A48" s="7"/>
      <c r="B48" s="24" t="s">
        <v>185</v>
      </c>
      <c r="C48" s="42">
        <f>Cases!G29</f>
        <v>39.398939527376797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x14ac:dyDescent="0.3">
      <c r="A50" s="7"/>
      <c r="B50" s="24" t="s">
        <v>222</v>
      </c>
      <c r="C50" s="23">
        <f>C48*C49</f>
        <v>10433.422874842376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x14ac:dyDescent="0.3">
      <c r="A53" s="7"/>
      <c r="B53" s="24" t="s">
        <v>223</v>
      </c>
      <c r="C53" s="23">
        <f>C50+C52+C51</f>
        <v>13173.422874842376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x14ac:dyDescent="0.3">
      <c r="A54" s="7"/>
      <c r="B54" s="24" t="s">
        <v>214</v>
      </c>
      <c r="C54" s="23">
        <f>C50*K78</f>
        <v>464.31698387524443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59080.270373912288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5501.460613936164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0.73352878501933794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5501.460613936164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165.04381841808492</v>
      </c>
      <c r="M67" s="26">
        <f>(M66/100)*M63</f>
        <v>446.09777965312514</v>
      </c>
      <c r="N67" s="27">
        <f>SUM(K67:M67)</f>
        <v>1548.0838271989746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  <c r="AI87" s="7"/>
      <c r="AJ87" s="7"/>
      <c r="AK87" s="7"/>
      <c r="AL87" s="7"/>
      <c r="AM87" s="7"/>
      <c r="AN87" s="7"/>
      <c r="AO87" s="7"/>
    </row>
    <row r="88" spans="1:41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  <c r="AI88" s="7"/>
      <c r="AJ88" s="7"/>
      <c r="AK88" s="7"/>
      <c r="AL88" s="7"/>
      <c r="AM88" s="7"/>
      <c r="AN88" s="7"/>
      <c r="AO88" s="7"/>
    </row>
    <row r="89" spans="1:41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S88</f>
        <v>7190.3064637462649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  <c r="AI89" s="7"/>
      <c r="AJ89" s="7"/>
      <c r="AK89" s="7"/>
      <c r="AL89" s="7"/>
      <c r="AM89" s="7"/>
      <c r="AN89" s="7"/>
      <c r="AO89" s="7"/>
    </row>
    <row r="90" spans="1:41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215.92511903141937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  <c r="AI90" s="7"/>
      <c r="AJ90" s="7"/>
      <c r="AK90" s="7"/>
      <c r="AL90" s="7"/>
      <c r="AM90" s="7"/>
      <c r="AN90" s="7"/>
      <c r="AO90" s="7"/>
    </row>
    <row r="91" spans="1:41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9.1691010232269399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5501.460613936164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  <c r="AI92" s="7"/>
      <c r="AJ92" s="7"/>
      <c r="AK92" s="7"/>
      <c r="AL92" s="7"/>
      <c r="AM92" s="7"/>
      <c r="AN92" s="7"/>
      <c r="AO92" s="7"/>
    </row>
    <row r="93" spans="1:41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  <c r="AI94" s="7"/>
      <c r="AJ94" s="7"/>
      <c r="AK94" s="7"/>
      <c r="AL94" s="7"/>
      <c r="AM94" s="7"/>
      <c r="AN94" s="7"/>
      <c r="AO94" s="7"/>
    </row>
    <row r="95" spans="1:41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  <c r="AI95" s="7"/>
      <c r="AJ95" s="7"/>
      <c r="AK95" s="7"/>
      <c r="AL95" s="7"/>
      <c r="AM95" s="7"/>
      <c r="AN95" s="7"/>
      <c r="AO95" s="7"/>
    </row>
    <row r="96" spans="1:41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215.92511903141937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  <c r="AI96" s="7"/>
      <c r="AJ96" s="7"/>
      <c r="AK96" s="7"/>
      <c r="AL96" s="7"/>
      <c r="AM96" s="7"/>
      <c r="AN96" s="7"/>
      <c r="AO96" s="7"/>
    </row>
    <row r="97" spans="1:41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  <c r="AI97" s="7"/>
      <c r="AJ97" s="7"/>
      <c r="AK97" s="7"/>
      <c r="AL97" s="7"/>
      <c r="AM97" s="7"/>
      <c r="AN97" s="7"/>
      <c r="AO97" s="7"/>
    </row>
    <row r="98" spans="1:41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  <c r="AI98" s="7"/>
      <c r="AJ98" s="7"/>
      <c r="AK98" s="7"/>
      <c r="AL98" s="7"/>
      <c r="AM98" s="7"/>
      <c r="AN98" s="7"/>
      <c r="AO98" s="7"/>
    </row>
    <row r="99" spans="1:41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9.1691010232269399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8E38-9BDB-43F4-9578-E2EE48C8ED54}">
  <dimension ref="A1:AJ107"/>
  <sheetViews>
    <sheetView workbookViewId="0">
      <selection activeCell="F4" sqref="F4:M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6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3">
      <c r="A5" s="7"/>
      <c r="B5" s="24" t="s">
        <v>189</v>
      </c>
      <c r="C5" s="76">
        <f>Cases!H30</f>
        <v>17695.191837711751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0.35053219944419967</v>
      </c>
      <c r="K5" s="7"/>
      <c r="L5" s="24"/>
      <c r="M5" s="213"/>
      <c r="N5" s="213"/>
      <c r="O5" s="23">
        <f>SUM(L7:L27)/SUM(M7:M49)</f>
        <v>0.24360116031639489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84297.186282708106</v>
      </c>
      <c r="K6" s="7"/>
      <c r="L6" s="24"/>
      <c r="M6" s="213"/>
      <c r="N6" s="213"/>
      <c r="O6" s="23">
        <f>O5*SUM(M7:M27)</f>
        <v>58582.043026104024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">
      <c r="A7" s="7"/>
      <c r="B7" s="213"/>
      <c r="C7" s="214"/>
      <c r="D7" s="7"/>
      <c r="E7" s="7"/>
      <c r="F7" s="24">
        <v>2050</v>
      </c>
      <c r="G7" s="214">
        <f>SUM(C22,C33,C37)</f>
        <v>52493.896161775141</v>
      </c>
      <c r="H7" s="213"/>
      <c r="I7" s="213"/>
      <c r="J7" s="76"/>
      <c r="K7" s="7"/>
      <c r="L7" s="24">
        <f>SUM(C22,C33,C37)</f>
        <v>52493.896161775141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3">
      <c r="A8" s="7"/>
      <c r="B8" s="213"/>
      <c r="C8" s="214"/>
      <c r="D8" s="7"/>
      <c r="E8" s="7"/>
      <c r="F8" s="24">
        <v>1</v>
      </c>
      <c r="G8" s="213">
        <f>SUM(C$25,$C$9,C$38,(Cases!$Y$25*sensitivity!$C$12),(-Cases!$G$25*sensitivity!$C$11))/((1+C$2)^F8)</f>
        <v>2250.1363012571528</v>
      </c>
      <c r="H8" s="213">
        <f>C$5/((1+C$2)^F8)</f>
        <v>17014.607536261297</v>
      </c>
      <c r="I8" s="213"/>
      <c r="J8" s="23"/>
      <c r="K8" s="7"/>
      <c r="L8" s="24">
        <f>SUM(C$25,$C$9,C$38,(Cases!$Y$25*sensitivity!$D$12),(-Cases!$G$25*sensitivity!$D$11))/((1+C$2)^F8)</f>
        <v>430.74663705295478</v>
      </c>
      <c r="M8" s="176">
        <f>C$5/((1+C$2)^F8)</f>
        <v>17014.607536261297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3">
      <c r="A9" s="7"/>
      <c r="B9" s="213"/>
      <c r="C9" s="213"/>
      <c r="D9" s="7"/>
      <c r="E9" s="7"/>
      <c r="F9" s="24">
        <v>2</v>
      </c>
      <c r="G9" s="213">
        <f>SUM(C$25,$C$9,C$38,(Cases!$Y$25*sensitivity!$C$12),(-Cases!$G$25*sensitivity!$C$11))/((1+C$2)^F9)</f>
        <v>2163.5925973626468</v>
      </c>
      <c r="H9" s="213">
        <f>C$5/((1+C$2)^F9)</f>
        <v>16360.1995540974</v>
      </c>
      <c r="I9" s="213"/>
      <c r="J9" s="23"/>
      <c r="K9" s="7"/>
      <c r="L9" s="24">
        <f>SUM(C$25,$C$9,C$38,(Cases!$Y$25*sensitivity!$D$12),(-Cases!$G$25*sensitivity!$D$11))/((1+C$2)^F9)</f>
        <v>414.17945870476422</v>
      </c>
      <c r="M9" s="176">
        <f t="shared" ref="M9:M27" si="0">C$5/((1+C$2)^F9)</f>
        <v>16360.1995540974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3">
      <c r="A10" s="7"/>
      <c r="D10" s="7"/>
      <c r="E10" s="7"/>
      <c r="F10" s="24">
        <v>3</v>
      </c>
      <c r="G10" s="213">
        <f>SUM(C$25,$C$9,C$38,(Cases!$Y$25*sensitivity!$C$12),(-Cases!$G$25*sensitivity!$C$11))/((1+C$2)^F10)</f>
        <v>2080.3774974640837</v>
      </c>
      <c r="H10" s="213">
        <f t="shared" ref="H10:H27" si="1">C$5/((1+C$2)^F10)</f>
        <v>15730.96110970904</v>
      </c>
      <c r="I10" s="213"/>
      <c r="J10" s="23"/>
      <c r="K10" s="7"/>
      <c r="L10" s="24">
        <f>SUM(C$25,$C$9,C$38,(Cases!$Y$25*sensitivity!$D$12),(-Cases!$G$25*sensitivity!$D$11))/((1+C$2)^F10)</f>
        <v>398.24947952381171</v>
      </c>
      <c r="M10" s="176">
        <f t="shared" si="0"/>
        <v>15730.96110970904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3">
      <c r="A11" s="7"/>
      <c r="D11" s="7"/>
      <c r="E11" s="7"/>
      <c r="F11" s="24">
        <v>4</v>
      </c>
      <c r="G11" s="213">
        <f>SUM(C$25,$C$9,C$38,(Cases!$Y$25*sensitivity!$C$12),(-Cases!$G$25*sensitivity!$C$11))/((1+C$2)^F11)</f>
        <v>2000.3629783308495</v>
      </c>
      <c r="H11" s="213">
        <f t="shared" si="1"/>
        <v>15125.924143950999</v>
      </c>
      <c r="I11" s="213"/>
      <c r="J11" s="23"/>
      <c r="K11" s="7"/>
      <c r="L11" s="24">
        <f>SUM(C$25,$C$9,C$38,(Cases!$Y$25*sensitivity!$D$12),(-Cases!$G$25*sensitivity!$D$11))/((1+C$2)^F11)</f>
        <v>382.93219184981893</v>
      </c>
      <c r="M11" s="176">
        <f t="shared" si="0"/>
        <v>15125.924143950999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3">
      <c r="A12" s="7"/>
      <c r="B12" s="7"/>
      <c r="C12" s="7"/>
      <c r="D12" s="7"/>
      <c r="E12" s="7"/>
      <c r="F12" s="24">
        <v>5</v>
      </c>
      <c r="G12" s="213">
        <f>SUM(C$25,$C$9,C$38,(Cases!$Y$25*sensitivity!$C$12),(-Cases!$G$25*sensitivity!$C$11))/((1+C$2)^F12)</f>
        <v>1923.4259407027396</v>
      </c>
      <c r="H12" s="213">
        <f t="shared" si="1"/>
        <v>14544.157830722112</v>
      </c>
      <c r="I12" s="213"/>
      <c r="J12" s="23"/>
      <c r="K12" s="7"/>
      <c r="L12" s="24">
        <f>SUM(C$25,$C$9,C$38,(Cases!$Y$25*sensitivity!$D$12),(-Cases!$G$25*sensitivity!$D$11))/((1+C$2)^F12)</f>
        <v>368.20403062482586</v>
      </c>
      <c r="M12" s="176">
        <f t="shared" si="0"/>
        <v>14544.157830722112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3">
      <c r="A13" s="7"/>
      <c r="B13" s="7"/>
      <c r="C13" s="7"/>
      <c r="D13" s="7"/>
      <c r="E13" s="7"/>
      <c r="F13" s="24">
        <v>6</v>
      </c>
      <c r="G13" s="213">
        <f>SUM(C$25,$C$9,C$38,(Cases!$Y$25*sensitivity!$C$12),(-Cases!$G$25*sensitivity!$C$11))/((1+C$2)^F13)</f>
        <v>1849.4480199064803</v>
      </c>
      <c r="H13" s="213">
        <f t="shared" si="1"/>
        <v>13984.767144925108</v>
      </c>
      <c r="I13" s="213"/>
      <c r="J13" s="23"/>
      <c r="K13" s="7"/>
      <c r="L13" s="24">
        <f>SUM(C$25,$C$9,C$38,(Cases!$Y$25*sensitivity!$D$12),(-Cases!$G$25*sensitivity!$D$11))/((1+C$2)^F13)</f>
        <v>354.04233713925561</v>
      </c>
      <c r="M13" s="176">
        <f t="shared" si="0"/>
        <v>13984.767144925108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3">
      <c r="A14" s="7"/>
      <c r="B14" s="7"/>
      <c r="C14" s="7"/>
      <c r="D14" s="7"/>
      <c r="E14" s="7"/>
      <c r="F14" s="24">
        <v>7</v>
      </c>
      <c r="G14" s="213">
        <f>SUM(C$25,$C$9,C$38,(Cases!$Y$25*sensitivity!$C$12),(-Cases!$G$25*sensitivity!$C$11))/((1+C$2)^F14)</f>
        <v>1778.3154037562313</v>
      </c>
      <c r="H14" s="213">
        <f t="shared" si="1"/>
        <v>13446.891485504913</v>
      </c>
      <c r="I14" s="213"/>
      <c r="J14" s="23"/>
      <c r="K14" s="7"/>
      <c r="L14" s="24">
        <f>SUM(C$25,$C$9,C$38,(Cases!$Y$25*sensitivity!$D$12),(-Cases!$G$25*sensitivity!$D$11))/((1+C$2)^F14)</f>
        <v>340.42532417236123</v>
      </c>
      <c r="M14" s="176">
        <f t="shared" si="0"/>
        <v>13446.891485504913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3">
      <c r="A15" s="7"/>
      <c r="D15" s="7"/>
      <c r="E15" s="7"/>
      <c r="F15" s="24">
        <v>8</v>
      </c>
      <c r="G15" s="213">
        <f>SUM(C$25,$C$9,C$38,(Cases!$Y$25*sensitivity!$C$12),(-Cases!$G$25*sensitivity!$C$11))/((1+C$2)^F15)</f>
        <v>1709.9186574579144</v>
      </c>
      <c r="H15" s="213">
        <f t="shared" si="1"/>
        <v>12929.703351447029</v>
      </c>
      <c r="I15" s="213"/>
      <c r="J15" s="23"/>
      <c r="K15" s="7"/>
      <c r="L15" s="24">
        <f>SUM(C$25,$C$9,C$38,(Cases!$Y$25*sensitivity!$D$12),(-Cases!$G$25*sensitivity!$D$11))/((1+C$2)^F15)</f>
        <v>327.33204247342417</v>
      </c>
      <c r="M15" s="176">
        <f t="shared" si="0"/>
        <v>12929.703351447029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3">
      <c r="A16" s="7"/>
      <c r="B16" s="7"/>
      <c r="C16" s="7"/>
      <c r="D16" s="7"/>
      <c r="E16" s="7"/>
      <c r="F16" s="24">
        <v>9</v>
      </c>
      <c r="G16" s="213">
        <f>SUM(C$25,$C$9,C$38,(Cases!$Y$25*sensitivity!$C$12),(-Cases!$G$25*sensitivity!$C$11))/((1+C$2)^F16)</f>
        <v>1644.1525552479945</v>
      </c>
      <c r="H16" s="213">
        <f t="shared" si="1"/>
        <v>12432.407068699065</v>
      </c>
      <c r="I16" s="213"/>
      <c r="J16" s="23"/>
      <c r="K16" s="7"/>
      <c r="L16" s="24">
        <f>SUM(C$25,$C$9,C$38,(Cases!$Y$25*sensitivity!$D$12),(-Cases!$G$25*sensitivity!$D$11))/((1+C$2)^F16)</f>
        <v>314.74234853213864</v>
      </c>
      <c r="M16" s="176">
        <f t="shared" si="0"/>
        <v>12432.407068699065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SUM(C$25,$C$9,C$38,(Cases!$Y$25*sensitivity!$C$12),(-Cases!$G$25*sensitivity!$C$11))/((1+C$2)^F17)</f>
        <v>1580.9159185076869</v>
      </c>
      <c r="H17" s="213">
        <f t="shared" si="1"/>
        <v>11954.237566056794</v>
      </c>
      <c r="I17" s="213"/>
      <c r="J17" s="23"/>
      <c r="K17" s="7"/>
      <c r="L17" s="24">
        <f>SUM(C$25,$C$9,C$38,(Cases!$Y$25*sensitivity!$D$12),(-Cases!$G$25*sensitivity!$D$11))/((1+C$2)^F17)</f>
        <v>302.63687358859482</v>
      </c>
      <c r="M17" s="176">
        <f t="shared" si="0"/>
        <v>11954.237566056794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SUM(C$25,$C$9,C$38,(Cases!$Y$25*sensitivity!$C$12),(-Cases!$G$25*sensitivity!$C$11))/((1+C$2)^F18)</f>
        <v>1520.1114601035454</v>
      </c>
      <c r="H18" s="213">
        <f t="shared" si="1"/>
        <v>11494.459198131533</v>
      </c>
      <c r="I18" s="213"/>
      <c r="J18" s="23"/>
      <c r="K18" s="7"/>
      <c r="L18" s="24">
        <f>SUM(C$25,$C$9,C$38,(Cases!$Y$25*sensitivity!$D$12),(-Cases!$G$25*sensitivity!$D$11))/((1+C$2)^F18)</f>
        <v>290.99699383518737</v>
      </c>
      <c r="M18" s="176">
        <f t="shared" si="0"/>
        <v>11494.459198131533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SUM(C$25,$C$9,C$38,(Cases!$Y$25*sensitivity!$C$12),(-Cases!$G$25*sensitivity!$C$11))/((1+C$2)^F19)</f>
        <v>1461.6456347149472</v>
      </c>
      <c r="H19" s="213">
        <f t="shared" si="1"/>
        <v>11052.36461358801</v>
      </c>
      <c r="I19" s="213"/>
      <c r="J19" s="23"/>
      <c r="K19" s="7"/>
      <c r="L19" s="24">
        <f>SUM(C$25,$C$9,C$38,(Cases!$Y$25*sensitivity!$D$12),(-Cases!$G$25*sensitivity!$D$11))/((1+C$2)^F19)</f>
        <v>279.80480176460316</v>
      </c>
      <c r="M19" s="176">
        <f t="shared" si="0"/>
        <v>11052.36461358801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3">
      <c r="A20" s="7"/>
      <c r="B20" s="24" t="s">
        <v>175</v>
      </c>
      <c r="C20" s="23">
        <f>'Electricity prod.'!N17</f>
        <v>56.969480808875716</v>
      </c>
      <c r="D20" s="7"/>
      <c r="E20" s="7"/>
      <c r="F20" s="24">
        <v>13</v>
      </c>
      <c r="G20" s="213">
        <f>SUM(C$25,$C$9,C$38,(Cases!$Y$25*sensitivity!$C$12),(-Cases!$G$25*sensitivity!$C$11))/((1+C$2)^F20)</f>
        <v>1405.4284949182183</v>
      </c>
      <c r="H20" s="213">
        <f t="shared" si="1"/>
        <v>10627.273666911547</v>
      </c>
      <c r="I20" s="213"/>
      <c r="J20" s="23"/>
      <c r="K20" s="7"/>
      <c r="L20" s="24">
        <f>SUM(C$25,$C$9,C$38,(Cases!$Y$25*sensitivity!$D$12),(-Cases!$G$25*sensitivity!$D$11))/((1+C$2)^F20)</f>
        <v>269.04307861981073</v>
      </c>
      <c r="M20" s="176">
        <f t="shared" si="0"/>
        <v>10627.273666911547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SUM(C$25,$C$9,C$38,(Cases!$Y$25*sensitivity!$C$12),(-Cases!$G$25*sensitivity!$C$11))/((1+C$2)^F21)</f>
        <v>1351.3735528059792</v>
      </c>
      <c r="H21" s="213">
        <f t="shared" si="1"/>
        <v>10218.532372030335</v>
      </c>
      <c r="I21" s="213"/>
      <c r="J21" s="23"/>
      <c r="K21" s="7"/>
      <c r="L21" s="24">
        <f>SUM(C$25,$C$9,C$38,(Cases!$Y$25*sensitivity!$D$12),(-Cases!$G$25*sensitivity!$D$11))/((1+C$2)^F21)</f>
        <v>258.69526790366416</v>
      </c>
      <c r="M21" s="176">
        <f t="shared" si="0"/>
        <v>10218.532372030335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3">
      <c r="A22" s="7"/>
      <c r="B22" s="24" t="s">
        <v>177</v>
      </c>
      <c r="C22" s="23">
        <f>C19*C20</f>
        <v>11393.896161775143</v>
      </c>
      <c r="D22" s="7"/>
      <c r="E22" s="7"/>
      <c r="F22" s="24">
        <v>15</v>
      </c>
      <c r="G22" s="213">
        <f>SUM(C$25,$C$9,C$38,(Cases!$Y$25*sensitivity!$C$12),(-Cases!$G$25*sensitivity!$C$11))/((1+C$2)^F22)</f>
        <v>1299.3976469288261</v>
      </c>
      <c r="H22" s="213">
        <f t="shared" si="1"/>
        <v>9825.511896183014</v>
      </c>
      <c r="I22" s="213"/>
      <c r="J22" s="23"/>
      <c r="K22" s="7"/>
      <c r="L22" s="24">
        <f>SUM(C$25,$C$9,C$38,(Cases!$Y$25*sensitivity!$D$12),(-Cases!$G$25*sensitivity!$D$11))/((1+C$2)^F22)</f>
        <v>248.74544990736939</v>
      </c>
      <c r="M22" s="176">
        <f t="shared" si="0"/>
        <v>9825.511896183014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SUM(C$25,$C$9,C$38,(Cases!$Y$25*sensitivity!$C$12),(-Cases!$G$25*sensitivity!$C$11))/((1+C$2)^F23)</f>
        <v>1249.4208143546402</v>
      </c>
      <c r="H23" s="213">
        <f t="shared" si="1"/>
        <v>9447.6075924836659</v>
      </c>
      <c r="I23" s="213"/>
      <c r="J23" s="23"/>
      <c r="K23" s="7"/>
      <c r="L23" s="24">
        <f>SUM(C$25,$C$9,C$38,(Cases!$Y$25*sensitivity!$D$12),(-Cases!$G$25*sensitivity!$D$11))/((1+C$2)^F23)</f>
        <v>239.17831721862439</v>
      </c>
      <c r="M23" s="176">
        <f t="shared" si="0"/>
        <v>9447.6075924836659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SUM(C$25,$C$9,C$38,(Cases!$Y$25*sensitivity!$C$12),(-Cases!$G$25*sensitivity!$C$11))/((1+C$2)^F24)</f>
        <v>1201.3661676486927</v>
      </c>
      <c r="H24" s="213">
        <f t="shared" si="1"/>
        <v>9084.2380696958335</v>
      </c>
      <c r="I24" s="213"/>
      <c r="J24" s="23"/>
      <c r="K24" s="7"/>
      <c r="L24" s="24">
        <f>SUM(C$25,$C$9,C$38,(Cases!$Y$25*sensitivity!$D$12),(-Cases!$G$25*sensitivity!$D$11))/((1+C$2)^F24)</f>
        <v>229.97915117175421</v>
      </c>
      <c r="M24" s="176">
        <f t="shared" si="0"/>
        <v>9084.2380696958335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3">
      <c r="A25" s="7"/>
      <c r="B25" s="24" t="s">
        <v>238</v>
      </c>
      <c r="C25" s="23">
        <f>C24*C5</f>
        <v>353.90383675423504</v>
      </c>
      <c r="D25" s="7"/>
      <c r="E25" s="7"/>
      <c r="F25" s="24">
        <v>18</v>
      </c>
      <c r="G25" s="213">
        <f>SUM(C$25,$C$9,C$38,(Cases!$Y$25*sensitivity!$C$12),(-Cases!$G$25*sensitivity!$C$11))/((1+C$2)^F25)</f>
        <v>1155.1597765852812</v>
      </c>
      <c r="H25" s="213">
        <f t="shared" si="1"/>
        <v>8734.8442977844534</v>
      </c>
      <c r="I25" s="213"/>
      <c r="J25" s="23"/>
      <c r="K25" s="7"/>
      <c r="L25" s="24">
        <f>SUM(C$25,$C$9,C$38,(Cases!$Y$25*sensitivity!$D$12),(-Cases!$G$25*sensitivity!$D$11))/((1+C$2)^F25)</f>
        <v>221.13379920360978</v>
      </c>
      <c r="M25" s="176">
        <f t="shared" si="0"/>
        <v>8734.8442977844534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3">
      <c r="A26" s="7"/>
      <c r="B26" s="24" t="s">
        <v>237</v>
      </c>
      <c r="C26" s="23">
        <f>C24*C7</f>
        <v>0</v>
      </c>
      <c r="D26" s="7"/>
      <c r="E26" s="7"/>
      <c r="F26" s="24">
        <v>19</v>
      </c>
      <c r="G26" s="213">
        <f>SUM(C$25,$C$9,C$38,(Cases!$Y$25*sensitivity!$C$12),(-Cases!$G$25*sensitivity!$C$11))/((1+C$2)^F26)</f>
        <v>1110.7305544089243</v>
      </c>
      <c r="H26" s="213">
        <f t="shared" si="1"/>
        <v>8398.888747869667</v>
      </c>
      <c r="I26" s="213"/>
      <c r="J26" s="23"/>
      <c r="K26" s="7"/>
      <c r="L26" s="24">
        <f>SUM(C$25,$C$9,C$38,(Cases!$Y$25*sensitivity!$D$12),(-Cases!$G$25*sensitivity!$D$11))/((1+C$2)^F26)</f>
        <v>212.62865308039403</v>
      </c>
      <c r="M26" s="176">
        <f t="shared" si="0"/>
        <v>8398.888747869667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SUM(C$25,$C$9,C$38,(Cases!$Y$25*sensitivity!$C$12),(-Cases!$G$25*sensitivity!$C$11))/((1+C$2)^F27)</f>
        <v>1068.0101484701195</v>
      </c>
      <c r="H27" s="26">
        <f t="shared" si="1"/>
        <v>8075.8545652592957</v>
      </c>
      <c r="I27" s="26"/>
      <c r="J27" s="27"/>
      <c r="K27" s="7"/>
      <c r="L27" s="25">
        <f>SUM(C$25,$C$9,C$38,(Cases!$Y$25*sensitivity!$D$12),(-Cases!$G$25*sensitivity!$D$11))/((1+C$2)^F27)</f>
        <v>204.45062796191735</v>
      </c>
      <c r="M27" s="6">
        <f t="shared" si="0"/>
        <v>8075.8545652592957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3">
      <c r="A48" s="7"/>
      <c r="B48" s="24" t="s">
        <v>185</v>
      </c>
      <c r="C48" s="42">
        <f>Cases!H29</f>
        <v>46.607642962901622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3">
      <c r="A50" s="7"/>
      <c r="B50" s="24" t="s">
        <v>222</v>
      </c>
      <c r="C50" s="23">
        <f>C48*C49</f>
        <v>12342.394340175801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3">
      <c r="A53" s="7"/>
      <c r="B53" s="24" t="s">
        <v>223</v>
      </c>
      <c r="C53" s="23">
        <f>C50+C52+C51</f>
        <v>15082.394340175801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3">
      <c r="A54" s="7"/>
      <c r="B54" s="24" t="s">
        <v>214</v>
      </c>
      <c r="C54" s="23">
        <f>C50*K78</f>
        <v>549.2716419697399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63145.355374736857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6508.04603232107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0.74908022627191617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6508.04603232107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195.2413809696321</v>
      </c>
      <c r="M67" s="26">
        <f>(M66/100)*M63</f>
        <v>446.09777965312514</v>
      </c>
      <c r="N67" s="27">
        <f>SUM(K67:M67)</f>
        <v>1578.2813897505216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>
        <v>0.5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  <c r="AI84" s="7"/>
      <c r="AJ84" s="7"/>
    </row>
    <row r="85" spans="1:36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 t="s">
        <v>46</v>
      </c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  <c r="AI85" s="7"/>
      <c r="AJ85" s="7"/>
    </row>
    <row r="86" spans="1:36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>
        <v>880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  <c r="AI86" s="7"/>
      <c r="AJ86" s="7"/>
    </row>
    <row r="87" spans="1:36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  <c r="AI87" s="7"/>
      <c r="AJ87" s="7"/>
    </row>
    <row r="88" spans="1:36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  <c r="AI88" s="7"/>
      <c r="AJ88" s="7"/>
    </row>
    <row r="89" spans="1:36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T88</f>
        <v>8505.8948407295466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  <c r="AI89" s="7"/>
      <c r="AJ89" s="7"/>
    </row>
    <row r="90" spans="1:36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255.4322774993858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  <c r="AI90" s="7"/>
      <c r="AJ90" s="7"/>
    </row>
    <row r="91" spans="1:36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10.846743387201784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  <c r="AI91" s="7"/>
      <c r="AJ91" s="7"/>
    </row>
    <row r="92" spans="1:36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6508.04603232107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  <c r="AI92" s="7"/>
      <c r="AJ92" s="7"/>
    </row>
    <row r="93" spans="1:36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  <c r="AI93" s="7"/>
      <c r="AJ93" s="7"/>
    </row>
    <row r="94" spans="1:36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  <c r="AI94" s="7"/>
      <c r="AJ94" s="7"/>
    </row>
    <row r="95" spans="1:36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  <c r="AI95" s="7"/>
      <c r="AJ95" s="7"/>
    </row>
    <row r="96" spans="1:36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255.4322774993858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  <c r="AI96" s="7"/>
      <c r="AJ96" s="7"/>
    </row>
    <row r="97" spans="1:36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  <c r="AI97" s="7"/>
      <c r="AJ97" s="7"/>
    </row>
    <row r="98" spans="1:36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  <c r="AI98" s="7"/>
      <c r="AJ98" s="7"/>
    </row>
    <row r="99" spans="1:36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  <c r="AI99" s="7"/>
      <c r="AJ99" s="7"/>
    </row>
    <row r="100" spans="1:36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10.846743387201784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  <c r="AI100" s="7"/>
      <c r="AJ100" s="7"/>
    </row>
    <row r="101" spans="1:36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7460-E68D-466F-91C6-B611458CA319}">
  <dimension ref="A1:AH102"/>
  <sheetViews>
    <sheetView workbookViewId="0">
      <selection activeCell="F4" sqref="F4:M4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24" t="s">
        <v>189</v>
      </c>
      <c r="C5" s="76">
        <f>Cases!I30</f>
        <v>17695.191837711751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0.34844463127849257</v>
      </c>
      <c r="K5" s="7"/>
      <c r="L5" s="24"/>
      <c r="M5" s="213"/>
      <c r="N5" s="213"/>
      <c r="O5" s="23">
        <f>SUM(L7:L27)/SUM(M7:M49)</f>
        <v>0.24051951207177943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83795.160726078815</v>
      </c>
      <c r="K6" s="7"/>
      <c r="L6" s="24"/>
      <c r="M6" s="213"/>
      <c r="N6" s="213"/>
      <c r="O6" s="23">
        <f>O5*SUM(M7:M27)</f>
        <v>57840.957680603598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3">
      <c r="A7" s="7"/>
      <c r="B7" s="213"/>
      <c r="C7" s="214"/>
      <c r="D7" s="7"/>
      <c r="E7" s="7"/>
      <c r="F7" s="24">
        <v>2050</v>
      </c>
      <c r="G7" s="214">
        <f>SUM(C22,C33,C37)</f>
        <v>52493.896161775141</v>
      </c>
      <c r="H7" s="213"/>
      <c r="I7" s="213"/>
      <c r="J7" s="76"/>
      <c r="K7" s="7"/>
      <c r="L7" s="24">
        <f>SUM(C22,C33,C37)</f>
        <v>52493.896161775141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3">
      <c r="A8" s="7"/>
      <c r="B8" s="213"/>
      <c r="C8" s="214"/>
      <c r="D8" s="7"/>
      <c r="E8" s="7"/>
      <c r="F8" s="24">
        <v>1</v>
      </c>
      <c r="G8" s="213">
        <f>SUM(C$25,$C$9,C$38,(Cases!$Z$25*sensitivity!$C$12),(-Cases!$G$25*sensitivity!$C$11))/((1+C$2)^F8)</f>
        <v>2214.6171482124523</v>
      </c>
      <c r="H8" s="213">
        <f>C$5/((1+C$2)^F8)</f>
        <v>17014.607536261297</v>
      </c>
      <c r="I8" s="213"/>
      <c r="J8" s="23"/>
      <c r="K8" s="7"/>
      <c r="L8" s="24">
        <f>SUM(C$25,$C$9,C$38,(Cases!$Z$25*sensitivity!$D$12),(-Cases!$G$25*sensitivity!$D$11))/((1+C$2)^F8)</f>
        <v>378.31360160601457</v>
      </c>
      <c r="M8" s="176">
        <f>C$5/((1+C$2)^F8)</f>
        <v>17014.607536261297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3">
      <c r="A9" s="7"/>
      <c r="B9" s="213"/>
      <c r="C9" s="213"/>
      <c r="D9" s="7"/>
      <c r="E9" s="7"/>
      <c r="F9" s="24">
        <v>2</v>
      </c>
      <c r="G9" s="213">
        <f>SUM(C$25,$C$9,C$38,(Cases!$Z$25*sensitivity!$C$12),(-Cases!$G$25*sensitivity!$C$11))/((1+C$2)^F9)</f>
        <v>2129.4395655888961</v>
      </c>
      <c r="H9" s="213">
        <f>C$5/((1+C$2)^F9)</f>
        <v>16360.1995540974</v>
      </c>
      <c r="I9" s="213"/>
      <c r="J9" s="23"/>
      <c r="K9" s="7"/>
      <c r="L9" s="24">
        <f>SUM(C$25,$C$9,C$38,(Cases!$Z$25*sensitivity!$D$12),(-Cases!$G$25*sensitivity!$D$11))/((1+C$2)^F9)</f>
        <v>363.76307846732169</v>
      </c>
      <c r="M9" s="176">
        <f t="shared" ref="M9:M27" si="0">C$5/((1+C$2)^F9)</f>
        <v>16360.1995540974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3">
      <c r="A10" s="7"/>
      <c r="D10" s="7"/>
      <c r="E10" s="7"/>
      <c r="F10" s="24">
        <v>3</v>
      </c>
      <c r="G10" s="213">
        <f>SUM(C$25,$C$9,C$38,(Cases!$Z$25*sensitivity!$C$12),(-Cases!$G$25*sensitivity!$C$11))/((1+C$2)^F10)</f>
        <v>2047.5380438354771</v>
      </c>
      <c r="H10" s="213">
        <f t="shared" ref="H10:H27" si="1">C$5/((1+C$2)^F10)</f>
        <v>15730.96110970904</v>
      </c>
      <c r="I10" s="213"/>
      <c r="J10" s="23"/>
      <c r="K10" s="7"/>
      <c r="L10" s="24">
        <f>SUM(C$25,$C$9,C$38,(Cases!$Z$25*sensitivity!$D$12),(-Cases!$G$25*sensitivity!$D$11))/((1+C$2)^F10)</f>
        <v>349.77219083396318</v>
      </c>
      <c r="M10" s="176">
        <f t="shared" si="0"/>
        <v>15730.96110970904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3">
      <c r="A11" s="7"/>
      <c r="D11" s="7"/>
      <c r="E11" s="7"/>
      <c r="F11" s="24">
        <v>4</v>
      </c>
      <c r="G11" s="213">
        <f>SUM(C$25,$C$9,C$38,(Cases!$Z$25*sensitivity!$C$12),(-Cases!$G$25*sensitivity!$C$11))/((1+C$2)^F11)</f>
        <v>1968.7865806110353</v>
      </c>
      <c r="H11" s="213">
        <f t="shared" si="1"/>
        <v>15125.924143950999</v>
      </c>
      <c r="I11" s="213"/>
      <c r="J11" s="23"/>
      <c r="K11" s="7"/>
      <c r="L11" s="24">
        <f>SUM(C$25,$C$9,C$38,(Cases!$Z$25*sensitivity!$D$12),(-Cases!$G$25*sensitivity!$D$11))/((1+C$2)^F11)</f>
        <v>336.3194142634261</v>
      </c>
      <c r="M11" s="176">
        <f t="shared" si="0"/>
        <v>15125.924143950999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3">
      <c r="A12" s="7"/>
      <c r="B12" s="7"/>
      <c r="C12" s="7"/>
      <c r="D12" s="7"/>
      <c r="E12" s="7"/>
      <c r="F12" s="24">
        <v>5</v>
      </c>
      <c r="G12" s="213">
        <f>SUM(C$25,$C$9,C$38,(Cases!$Z$25*sensitivity!$C$12),(-Cases!$G$25*sensitivity!$C$11))/((1+C$2)^F12)</f>
        <v>1893.0640198183032</v>
      </c>
      <c r="H12" s="213">
        <f t="shared" si="1"/>
        <v>14544.157830722112</v>
      </c>
      <c r="I12" s="213"/>
      <c r="J12" s="23"/>
      <c r="K12" s="7"/>
      <c r="L12" s="24">
        <f>SUM(C$25,$C$9,C$38,(Cases!$Z$25*sensitivity!$D$12),(-Cases!$G$25*sensitivity!$D$11))/((1+C$2)^F12)</f>
        <v>323.3840521763712</v>
      </c>
      <c r="M12" s="176">
        <f t="shared" si="0"/>
        <v>14544.157830722112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3">
      <c r="A13" s="7"/>
      <c r="B13" s="7"/>
      <c r="C13" s="7"/>
      <c r="D13" s="7"/>
      <c r="E13" s="7"/>
      <c r="F13" s="24">
        <v>6</v>
      </c>
      <c r="G13" s="213">
        <f>SUM(C$25,$C$9,C$38,(Cases!$Z$25*sensitivity!$C$12),(-Cases!$G$25*sensitivity!$C$11))/((1+C$2)^F13)</f>
        <v>1820.2538652099067</v>
      </c>
      <c r="H13" s="213">
        <f t="shared" si="1"/>
        <v>13984.767144925108</v>
      </c>
      <c r="I13" s="213"/>
      <c r="J13" s="23"/>
      <c r="K13" s="7"/>
      <c r="L13" s="24">
        <f>SUM(C$25,$C$9,C$38,(Cases!$Z$25*sensitivity!$D$12),(-Cases!$G$25*sensitivity!$D$11))/((1+C$2)^F13)</f>
        <v>310.94620401574156</v>
      </c>
      <c r="M13" s="176">
        <f t="shared" si="0"/>
        <v>13984.767144925108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3">
      <c r="A14" s="7"/>
      <c r="B14" s="7"/>
      <c r="C14" s="7"/>
      <c r="D14" s="7"/>
      <c r="E14" s="7"/>
      <c r="F14" s="24">
        <v>7</v>
      </c>
      <c r="G14" s="213">
        <f>SUM(C$25,$C$9,C$38,(Cases!$Z$25*sensitivity!$C$12),(-Cases!$G$25*sensitivity!$C$11))/((1+C$2)^F14)</f>
        <v>1750.2441011633721</v>
      </c>
      <c r="H14" s="213">
        <f t="shared" si="1"/>
        <v>13446.891485504913</v>
      </c>
      <c r="I14" s="213"/>
      <c r="J14" s="23"/>
      <c r="K14" s="7"/>
      <c r="L14" s="24">
        <f>SUM(C$25,$C$9,C$38,(Cases!$Z$25*sensitivity!$D$12),(-Cases!$G$25*sensitivity!$D$11))/((1+C$2)^F14)</f>
        <v>298.98673463052074</v>
      </c>
      <c r="M14" s="176">
        <f t="shared" si="0"/>
        <v>13446.891485504913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7"/>
      <c r="D15" s="7"/>
      <c r="E15" s="7"/>
      <c r="F15" s="24">
        <v>8</v>
      </c>
      <c r="G15" s="213">
        <f>SUM(C$25,$C$9,C$38,(Cases!$Z$25*sensitivity!$C$12),(-Cases!$G$25*sensitivity!$C$11))/((1+C$2)^F15)</f>
        <v>1682.9270203493959</v>
      </c>
      <c r="H15" s="213">
        <f t="shared" si="1"/>
        <v>12929.703351447029</v>
      </c>
      <c r="I15" s="213"/>
      <c r="J15" s="23"/>
      <c r="K15" s="7"/>
      <c r="L15" s="24">
        <f>SUM(C$25,$C$9,C$38,(Cases!$Z$25*sensitivity!$D$12),(-Cases!$G$25*sensitivity!$D$11))/((1+C$2)^F15)</f>
        <v>287.48724483703916</v>
      </c>
      <c r="M15" s="176">
        <f t="shared" si="0"/>
        <v>12929.703351447029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3">
      <c r="A16" s="7"/>
      <c r="B16" s="7"/>
      <c r="C16" s="7"/>
      <c r="D16" s="7"/>
      <c r="E16" s="7"/>
      <c r="F16" s="24">
        <v>9</v>
      </c>
      <c r="G16" s="213">
        <f>SUM(C$25,$C$9,C$38,(Cases!$Z$25*sensitivity!$C$12),(-Cases!$G$25*sensitivity!$C$11))/((1+C$2)^F16)</f>
        <v>1618.1990580282652</v>
      </c>
      <c r="H16" s="213">
        <f t="shared" si="1"/>
        <v>12432.407068699065</v>
      </c>
      <c r="I16" s="213"/>
      <c r="J16" s="23"/>
      <c r="K16" s="7"/>
      <c r="L16" s="24">
        <f>SUM(C$25,$C$9,C$38,(Cases!$Z$25*sensitivity!$D$12),(-Cases!$G$25*sensitivity!$D$11))/((1+C$2)^F16)</f>
        <v>276.43004311253759</v>
      </c>
      <c r="M16" s="176">
        <f t="shared" si="0"/>
        <v>12432.407068699065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SUM(C$25,$C$9,C$38,(Cases!$Z$25*sensitivity!$C$12),(-Cases!$G$25*sensitivity!$C$11))/((1+C$2)^F17)</f>
        <v>1555.9606327194858</v>
      </c>
      <c r="H17" s="213">
        <f t="shared" si="1"/>
        <v>11954.237566056794</v>
      </c>
      <c r="I17" s="213"/>
      <c r="J17" s="23"/>
      <c r="K17" s="7"/>
      <c r="L17" s="24">
        <f>SUM(C$25,$C$9,C$38,(Cases!$Z$25*sensitivity!$D$12),(-Cases!$G$25*sensitivity!$D$11))/((1+C$2)^F17)</f>
        <v>265.79811837744001</v>
      </c>
      <c r="M17" s="176">
        <f t="shared" si="0"/>
        <v>11954.237566056794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SUM(C$25,$C$9,C$38,(Cases!$Z$25*sensitivity!$C$12),(-Cases!$G$25*sensitivity!$C$11))/((1+C$2)^F18)</f>
        <v>1496.1159929995058</v>
      </c>
      <c r="H18" s="213">
        <f t="shared" si="1"/>
        <v>11494.459198131533</v>
      </c>
      <c r="I18" s="213"/>
      <c r="J18" s="23"/>
      <c r="K18" s="7"/>
      <c r="L18" s="24">
        <f>SUM(C$25,$C$9,C$38,(Cases!$Z$25*sensitivity!$D$12),(-Cases!$G$25*sensitivity!$D$11))/((1+C$2)^F18)</f>
        <v>255.57511382446157</v>
      </c>
      <c r="M18" s="176">
        <f t="shared" si="0"/>
        <v>11494.459198131533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SUM(C$25,$C$9,C$38,(Cases!$Z$25*sensitivity!$C$12),(-Cases!$G$25*sensitivity!$C$11))/((1+C$2)^F19)</f>
        <v>1438.5730701918321</v>
      </c>
      <c r="H19" s="213">
        <f t="shared" si="1"/>
        <v>11052.36461358801</v>
      </c>
      <c r="I19" s="213"/>
      <c r="J19" s="23"/>
      <c r="K19" s="7"/>
      <c r="L19" s="24">
        <f>SUM(C$25,$C$9,C$38,(Cases!$Z$25*sensitivity!$D$12),(-Cases!$G$25*sensitivity!$D$11))/((1+C$2)^F19)</f>
        <v>245.74530175428993</v>
      </c>
      <c r="M19" s="176">
        <f t="shared" si="0"/>
        <v>11052.36461358801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3">
      <c r="A20" s="7"/>
      <c r="B20" s="24" t="s">
        <v>175</v>
      </c>
      <c r="C20" s="23">
        <f>'Electricity prod.'!N17</f>
        <v>56.969480808875716</v>
      </c>
      <c r="D20" s="7"/>
      <c r="E20" s="7"/>
      <c r="F20" s="24">
        <v>13</v>
      </c>
      <c r="G20" s="213">
        <f>SUM(C$25,$C$9,C$38,(Cases!$Z$25*sensitivity!$C$12),(-Cases!$G$25*sensitivity!$C$11))/((1+C$2)^F20)</f>
        <v>1383.2433367229155</v>
      </c>
      <c r="H20" s="213">
        <f t="shared" si="1"/>
        <v>10627.273666911547</v>
      </c>
      <c r="I20" s="213"/>
      <c r="J20" s="23"/>
      <c r="K20" s="7"/>
      <c r="L20" s="24">
        <f>SUM(C$25,$C$9,C$38,(Cases!$Z$25*sensitivity!$D$12),(-Cases!$G$25*sensitivity!$D$11))/((1+C$2)^F20)</f>
        <v>236.2935593791249</v>
      </c>
      <c r="M20" s="176">
        <f t="shared" si="0"/>
        <v>10627.273666911547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SUM(C$25,$C$9,C$38,(Cases!$Z$25*sensitivity!$C$12),(-Cases!$G$25*sensitivity!$C$11))/((1+C$2)^F21)</f>
        <v>1330.0416699258803</v>
      </c>
      <c r="H21" s="213">
        <f t="shared" si="1"/>
        <v>10218.532372030335</v>
      </c>
      <c r="I21" s="213"/>
      <c r="J21" s="23"/>
      <c r="K21" s="7"/>
      <c r="L21" s="24">
        <f>SUM(C$25,$C$9,C$38,(Cases!$Z$25*sensitivity!$D$12),(-Cases!$G$25*sensitivity!$D$11))/((1+C$2)^F21)</f>
        <v>227.20534555685089</v>
      </c>
      <c r="M21" s="176">
        <f t="shared" si="0"/>
        <v>10218.532372030335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3">
      <c r="A22" s="7"/>
      <c r="B22" s="24" t="s">
        <v>177</v>
      </c>
      <c r="C22" s="23">
        <f>C19*C20</f>
        <v>11393.896161775143</v>
      </c>
      <c r="D22" s="7"/>
      <c r="E22" s="7"/>
      <c r="F22" s="24">
        <v>15</v>
      </c>
      <c r="G22" s="213">
        <f>SUM(C$25,$C$9,C$38,(Cases!$Z$25*sensitivity!$C$12),(-Cases!$G$25*sensitivity!$C$11))/((1+C$2)^F22)</f>
        <v>1278.8862210825771</v>
      </c>
      <c r="H22" s="213">
        <f t="shared" si="1"/>
        <v>9825.511896183014</v>
      </c>
      <c r="I22" s="213"/>
      <c r="J22" s="23"/>
      <c r="K22" s="7"/>
      <c r="L22" s="24">
        <f>SUM(C$25,$C$9,C$38,(Cases!$Z$25*sensitivity!$D$12),(-Cases!$G$25*sensitivity!$D$11))/((1+C$2)^F22)</f>
        <v>218.46667842004894</v>
      </c>
      <c r="M22" s="176">
        <f t="shared" si="0"/>
        <v>9825.511896183014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SUM(C$25,$C$9,C$38,(Cases!$Z$25*sensitivity!$C$12),(-Cases!$G$25*sensitivity!$C$11))/((1+C$2)^F23)</f>
        <v>1229.6982895024778</v>
      </c>
      <c r="H23" s="213">
        <f t="shared" si="1"/>
        <v>9447.6075924836659</v>
      </c>
      <c r="I23" s="213"/>
      <c r="J23" s="23"/>
      <c r="K23" s="7"/>
      <c r="L23" s="24">
        <f>SUM(C$25,$C$9,C$38,(Cases!$Z$25*sensitivity!$D$12),(-Cases!$G$25*sensitivity!$D$11))/((1+C$2)^F23)</f>
        <v>210.06411386543164</v>
      </c>
      <c r="M23" s="176">
        <f t="shared" si="0"/>
        <v>9447.6075924836659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SUM(C$25,$C$9,C$38,(Cases!$Z$25*sensitivity!$C$12),(-Cases!$G$25*sensitivity!$C$11))/((1+C$2)^F24)</f>
        <v>1182.4022014446903</v>
      </c>
      <c r="H24" s="213">
        <f t="shared" si="1"/>
        <v>9084.2380696958335</v>
      </c>
      <c r="I24" s="213"/>
      <c r="J24" s="23"/>
      <c r="K24" s="7"/>
      <c r="L24" s="24">
        <f>SUM(C$25,$C$9,C$38,(Cases!$Z$25*sensitivity!$D$12),(-Cases!$G$25*sensitivity!$D$11))/((1+C$2)^F24)</f>
        <v>201.98472487060732</v>
      </c>
      <c r="M24" s="176">
        <f t="shared" si="0"/>
        <v>9084.2380696958335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3">
      <c r="A25" s="7"/>
      <c r="B25" s="24" t="s">
        <v>238</v>
      </c>
      <c r="C25" s="23">
        <f>C24*C5</f>
        <v>353.90383675423504</v>
      </c>
      <c r="D25" s="7"/>
      <c r="E25" s="7"/>
      <c r="F25" s="24">
        <v>18</v>
      </c>
      <c r="G25" s="213">
        <f>SUM(C$25,$C$9,C$38,(Cases!$Z$25*sensitivity!$C$12),(-Cases!$G$25*sensitivity!$C$11))/((1+C$2)^F25)</f>
        <v>1136.9251936968174</v>
      </c>
      <c r="H25" s="213">
        <f t="shared" si="1"/>
        <v>8734.8442977844534</v>
      </c>
      <c r="I25" s="213"/>
      <c r="J25" s="23"/>
      <c r="K25" s="7"/>
      <c r="L25" s="24">
        <f>SUM(C$25,$C$9,C$38,(Cases!$Z$25*sensitivity!$D$12),(-Cases!$G$25*sensitivity!$D$11))/((1+C$2)^F25)</f>
        <v>194.21608160635319</v>
      </c>
      <c r="M25" s="176">
        <f t="shared" si="0"/>
        <v>8734.8442977844534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3">
      <c r="A26" s="7"/>
      <c r="B26" s="24" t="s">
        <v>237</v>
      </c>
      <c r="C26" s="23">
        <f>C24*C7</f>
        <v>0</v>
      </c>
      <c r="D26" s="7"/>
      <c r="E26" s="7"/>
      <c r="F26" s="24">
        <v>19</v>
      </c>
      <c r="G26" s="213">
        <f>SUM(C$25,$C$9,C$38,(Cases!$Z$25*sensitivity!$C$12),(-Cases!$G$25*sensitivity!$C$11))/((1+C$2)^F26)</f>
        <v>1093.1973016315551</v>
      </c>
      <c r="H26" s="213">
        <f t="shared" si="1"/>
        <v>8398.888747869667</v>
      </c>
      <c r="I26" s="213"/>
      <c r="J26" s="23"/>
      <c r="K26" s="7"/>
      <c r="L26" s="24">
        <f>SUM(C$25,$C$9,C$38,(Cases!$Z$25*sensitivity!$D$12),(-Cases!$G$25*sensitivity!$D$11))/((1+C$2)^F26)</f>
        <v>186.74623231380113</v>
      </c>
      <c r="M26" s="176">
        <f t="shared" si="0"/>
        <v>8398.888747869667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SUM(C$25,$C$9,C$38,(Cases!$Z$25*sensitivity!$C$12),(-Cases!$G$25*sensitivity!$C$11))/((1+C$2)^F27)</f>
        <v>1051.151251568803</v>
      </c>
      <c r="H27" s="26">
        <f t="shared" si="1"/>
        <v>8075.8545652592957</v>
      </c>
      <c r="I27" s="26"/>
      <c r="J27" s="27"/>
      <c r="K27" s="7"/>
      <c r="L27" s="25">
        <f>SUM(C$25,$C$9,C$38,(Cases!$Z$25*sensitivity!$D$12),(-Cases!$G$25*sensitivity!$D$11))/((1+C$2)^F27)</f>
        <v>179.56368491711649</v>
      </c>
      <c r="M27" s="6">
        <f t="shared" si="0"/>
        <v>8075.8545652592957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3">
      <c r="A31" s="7"/>
      <c r="B31" s="24" t="s">
        <v>180</v>
      </c>
      <c r="C31" s="23">
        <f>'Electricity prod.'!L25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3">
      <c r="A37" s="7"/>
      <c r="B37" s="24" t="s">
        <v>213</v>
      </c>
      <c r="C37" s="23">
        <f>sensitivity!P5</f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3">
      <c r="A39" s="7"/>
      <c r="B39" s="24" t="s">
        <v>212</v>
      </c>
      <c r="C39" s="23">
        <f>C37*3.8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3">
      <c r="A48" s="7"/>
      <c r="B48" s="24" t="s">
        <v>185</v>
      </c>
      <c r="C48" s="42">
        <f>Cases!I29</f>
        <v>45.643783362993219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3">
      <c r="A50" s="7"/>
      <c r="B50" s="24" t="s">
        <v>222</v>
      </c>
      <c r="C50" s="23">
        <f>C48*C49</f>
        <v>12087.150038718575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3">
      <c r="A53" s="7"/>
      <c r="B53" s="24" t="s">
        <v>223</v>
      </c>
      <c r="C53" s="23">
        <f>C50+C52+C51</f>
        <v>14827.150038718575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3">
      <c r="A54" s="7"/>
      <c r="B54" s="24" t="s">
        <v>214</v>
      </c>
      <c r="C54" s="23">
        <f>C50*K78</f>
        <v>537.91254480425164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62601.821958841363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6373.4577492385843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0.74708159058830181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6373.4577492385843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191.20373247715753</v>
      </c>
      <c r="M67" s="26">
        <f>(M66/100)*M63</f>
        <v>446.09777965312514</v>
      </c>
      <c r="N67" s="27">
        <f>SUM(K67:M67)</f>
        <v>1574.2437412580471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>
        <v>0.5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</row>
    <row r="85" spans="1:34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 t="s">
        <v>46</v>
      </c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</row>
    <row r="86" spans="1:34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>
        <v>880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</row>
    <row r="87" spans="1:34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</row>
    <row r="88" spans="1:34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</row>
    <row r="89" spans="1:34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U88</f>
        <v>8329.9904637462623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</row>
    <row r="90" spans="1:34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250.14986377616407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</row>
    <row r="91" spans="1:34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10.622429582064306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</row>
    <row r="92" spans="1:34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6373.4577492385843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</row>
    <row r="93" spans="1:34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</row>
    <row r="94" spans="1:34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</row>
    <row r="95" spans="1:34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</row>
    <row r="96" spans="1:34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250.14986377616407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</row>
    <row r="97" spans="1:34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</row>
    <row r="98" spans="1:34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</row>
    <row r="99" spans="1:34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</row>
    <row r="100" spans="1:34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10.622429582064306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</row>
    <row r="101" spans="1:3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0811-0F3C-4D80-B726-F149BC0E9EC0}">
  <dimension ref="A1:AH118"/>
  <sheetViews>
    <sheetView workbookViewId="0">
      <selection activeCell="D16" sqref="D16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24" t="s">
        <v>189</v>
      </c>
      <c r="C5" s="76">
        <f>Cases!J30</f>
        <v>17695.191837711751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0.36405754814880842</v>
      </c>
      <c r="K5" s="7"/>
      <c r="L5" s="24"/>
      <c r="M5" s="213"/>
      <c r="N5" s="213"/>
      <c r="O5" s="23">
        <f>SUM(L7:L27)/SUM(M7:M49)</f>
        <v>0.26356715126129371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87549.808555637093</v>
      </c>
      <c r="K6" s="7"/>
      <c r="L6" s="24"/>
      <c r="M6" s="213"/>
      <c r="N6" s="213"/>
      <c r="O6" s="23">
        <f>O5*SUM(M7:M27)</f>
        <v>63383.533048046855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3">
      <c r="A7" s="7"/>
      <c r="B7" s="213"/>
      <c r="C7" s="214"/>
      <c r="D7" s="7"/>
      <c r="E7" s="7"/>
      <c r="F7" s="24">
        <v>2050</v>
      </c>
      <c r="G7" s="214">
        <f>SUM(C22,C33,C37)</f>
        <v>52493.896161775141</v>
      </c>
      <c r="H7" s="213"/>
      <c r="I7" s="213"/>
      <c r="J7" s="76"/>
      <c r="K7" s="7"/>
      <c r="L7" s="24">
        <f>SUM(C22,C33,C37)</f>
        <v>52493.896161775141</v>
      </c>
      <c r="M7" s="176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3">
      <c r="A8" s="7"/>
      <c r="B8" s="213"/>
      <c r="C8" s="214"/>
      <c r="D8" s="7"/>
      <c r="E8" s="7"/>
      <c r="F8" s="24">
        <v>1</v>
      </c>
      <c r="G8" s="213">
        <f>SUM(C$25,$C$9,C$38,(Cases!$AA$25*sensitivity!$C$12),(-Cases!$G$25*sensitivity!$C$11))/((1+C$2)^F8)</f>
        <v>2480.2648012571526</v>
      </c>
      <c r="H8" s="213">
        <f>C$5/((1+C$2)^F8)</f>
        <v>17014.607536261297</v>
      </c>
      <c r="I8" s="213"/>
      <c r="J8" s="23"/>
      <c r="K8" s="7"/>
      <c r="L8" s="24">
        <f>SUM(C$25,$C$9,C$38,(Cases!$AA$25*sensitivity!$D$12),(-Cases!$G$25*sensitivity!$D$11))/((1+C$2)^F8)</f>
        <v>770.46013705295434</v>
      </c>
      <c r="M8" s="176">
        <f>C$5/((1+C$2)^F8)</f>
        <v>17014.607536261297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3">
      <c r="A9" s="7"/>
      <c r="B9" s="213"/>
      <c r="C9" s="213"/>
      <c r="D9" s="7"/>
      <c r="E9" s="7"/>
      <c r="F9" s="24">
        <v>2</v>
      </c>
      <c r="G9" s="213">
        <f>SUM(C$25,$C$9,C$38,(Cases!$AA$25*sensitivity!$C$12),(-Cases!$G$25*sensitivity!$C$11))/((1+C$2)^F9)</f>
        <v>2384.8700012088007</v>
      </c>
      <c r="H9" s="213">
        <f>C$5/((1+C$2)^F9)</f>
        <v>16360.1995540974</v>
      </c>
      <c r="I9" s="213"/>
      <c r="J9" s="23"/>
      <c r="K9" s="7"/>
      <c r="L9" s="24">
        <f>SUM(C$25,$C$9,C$38,(Cases!$AA$25*sensitivity!$D$12),(-Cases!$G$25*sensitivity!$D$11))/((1+C$2)^F9)</f>
        <v>740.82705485860993</v>
      </c>
      <c r="M9" s="176">
        <f t="shared" ref="M9:M27" si="0">C$5/((1+C$2)^F9)</f>
        <v>16360.1995540974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3">
      <c r="A10" s="7"/>
      <c r="D10" s="7"/>
      <c r="E10" s="7"/>
      <c r="F10" s="24">
        <v>3</v>
      </c>
      <c r="G10" s="213">
        <f>SUM(C$25,$C$9,C$38,(Cases!$AA$25*sensitivity!$C$12),(-Cases!$G$25*sensitivity!$C$11))/((1+C$2)^F10)</f>
        <v>2293.1442319315393</v>
      </c>
      <c r="H10" s="213">
        <f t="shared" ref="H10:H27" si="1">C$5/((1+C$2)^F10)</f>
        <v>15730.96110970904</v>
      </c>
      <c r="I10" s="213"/>
      <c r="J10" s="23"/>
      <c r="K10" s="7"/>
      <c r="L10" s="24">
        <f>SUM(C$25,$C$9,C$38,(Cases!$AA$25*sensitivity!$D$12),(-Cases!$G$25*sensitivity!$D$11))/((1+C$2)^F10)</f>
        <v>712.33370659481727</v>
      </c>
      <c r="M10" s="176">
        <f t="shared" si="0"/>
        <v>15730.96110970904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3">
      <c r="A11" s="7"/>
      <c r="D11" s="7"/>
      <c r="E11" s="7"/>
      <c r="F11" s="24">
        <v>4</v>
      </c>
      <c r="G11" s="213">
        <f>SUM(C$25,$C$9,C$38,(Cases!$AA$25*sensitivity!$C$12),(-Cases!$G$25*sensitivity!$C$11))/((1+C$2)^F11)</f>
        <v>2204.9463768572487</v>
      </c>
      <c r="H11" s="213">
        <f t="shared" si="1"/>
        <v>15125.924143950999</v>
      </c>
      <c r="I11" s="213"/>
      <c r="J11" s="23"/>
      <c r="K11" s="7"/>
      <c r="L11" s="24">
        <f>SUM(C$25,$C$9,C$38,(Cases!$AA$25*sensitivity!$D$12),(-Cases!$G$25*sensitivity!$D$11))/((1+C$2)^F11)</f>
        <v>684.93625634117041</v>
      </c>
      <c r="M11" s="176">
        <f t="shared" si="0"/>
        <v>15125.924143950999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3">
      <c r="A12" s="7"/>
      <c r="B12" s="7"/>
      <c r="C12" s="7"/>
      <c r="D12" s="7"/>
      <c r="E12" s="7"/>
      <c r="F12" s="24">
        <v>5</v>
      </c>
      <c r="G12" s="213">
        <f>SUM(C$25,$C$9,C$38,(Cases!$AA$25*sensitivity!$C$12),(-Cases!$G$25*sensitivity!$C$11))/((1+C$2)^F12)</f>
        <v>2120.1407469781238</v>
      </c>
      <c r="H12" s="213">
        <f t="shared" si="1"/>
        <v>14544.157830722112</v>
      </c>
      <c r="I12" s="213"/>
      <c r="J12" s="23"/>
      <c r="K12" s="7"/>
      <c r="L12" s="24">
        <f>SUM(C$25,$C$9,C$38,(Cases!$AA$25*sensitivity!$D$12),(-Cases!$G$25*sensitivity!$D$11))/((1+C$2)^F12)</f>
        <v>658.59255417420218</v>
      </c>
      <c r="M12" s="176">
        <f t="shared" si="0"/>
        <v>14544.157830722112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3">
      <c r="A13" s="7"/>
      <c r="B13" s="7"/>
      <c r="C13" s="7"/>
      <c r="D13" s="7"/>
      <c r="E13" s="7"/>
      <c r="F13" s="24">
        <v>6</v>
      </c>
      <c r="G13" s="213">
        <f>SUM(C$25,$C$9,C$38,(Cases!$AA$25*sensitivity!$C$12),(-Cases!$G$25*sensitivity!$C$11))/((1+C$2)^F13)</f>
        <v>2038.5968720943497</v>
      </c>
      <c r="H13" s="213">
        <f t="shared" si="1"/>
        <v>13984.767144925108</v>
      </c>
      <c r="I13" s="213"/>
      <c r="J13" s="23"/>
      <c r="K13" s="7"/>
      <c r="L13" s="24">
        <f>SUM(C$25,$C$9,C$38,(Cases!$AA$25*sensitivity!$D$12),(-Cases!$G$25*sensitivity!$D$11))/((1+C$2)^F13)</f>
        <v>633.26207132134823</v>
      </c>
      <c r="M13" s="176">
        <f t="shared" si="0"/>
        <v>13984.767144925108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3">
      <c r="A14" s="7"/>
      <c r="B14" s="7"/>
      <c r="C14" s="7"/>
      <c r="D14" s="7"/>
      <c r="E14" s="7"/>
      <c r="F14" s="24">
        <v>7</v>
      </c>
      <c r="G14" s="213">
        <f>SUM(C$25,$C$9,C$38,(Cases!$AA$25*sensitivity!$C$12),(-Cases!$G$25*sensitivity!$C$11))/((1+C$2)^F14)</f>
        <v>1960.189300090721</v>
      </c>
      <c r="H14" s="213">
        <f t="shared" si="1"/>
        <v>13446.891485504913</v>
      </c>
      <c r="I14" s="213"/>
      <c r="J14" s="23"/>
      <c r="K14" s="7"/>
      <c r="L14" s="24">
        <f>SUM(C$25,$C$9,C$38,(Cases!$AA$25*sensitivity!$D$12),(-Cases!$G$25*sensitivity!$D$11))/((1+C$2)^F14)</f>
        <v>608.90583780898874</v>
      </c>
      <c r="M14" s="176">
        <f t="shared" si="0"/>
        <v>13446.891485504913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7"/>
      <c r="D15" s="7"/>
      <c r="E15" s="7"/>
      <c r="F15" s="24">
        <v>8</v>
      </c>
      <c r="G15" s="213">
        <f>SUM(C$25,$C$9,C$38,(Cases!$AA$25*sensitivity!$C$12),(-Cases!$G$25*sensitivity!$C$11))/((1+C$2)^F15)</f>
        <v>1884.7974039333853</v>
      </c>
      <c r="H15" s="213">
        <f t="shared" si="1"/>
        <v>12929.703351447029</v>
      </c>
      <c r="I15" s="213"/>
      <c r="J15" s="23"/>
      <c r="K15" s="7"/>
      <c r="L15" s="24">
        <f>SUM(C$25,$C$9,C$38,(Cases!$AA$25*sensitivity!$D$12),(-Cases!$G$25*sensitivity!$D$11))/((1+C$2)^F15)</f>
        <v>585.48638250864292</v>
      </c>
      <c r="M15" s="176">
        <f t="shared" si="0"/>
        <v>12929.703351447029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3">
      <c r="A16" s="7"/>
      <c r="B16" s="7"/>
      <c r="C16" s="7"/>
      <c r="D16" s="7"/>
      <c r="E16" s="7"/>
      <c r="F16" s="24">
        <v>9</v>
      </c>
      <c r="G16" s="213">
        <f>SUM(C$25,$C$9,C$38,(Cases!$AA$25*sensitivity!$C$12),(-Cases!$G$25*sensitivity!$C$11))/((1+C$2)^F16)</f>
        <v>1812.3051960897933</v>
      </c>
      <c r="H16" s="213">
        <f t="shared" si="1"/>
        <v>12432.407068699065</v>
      </c>
      <c r="I16" s="213"/>
      <c r="J16" s="23"/>
      <c r="K16" s="7"/>
      <c r="L16" s="24">
        <f>SUM(C$25,$C$9,C$38,(Cases!$AA$25*sensitivity!$D$12),(-Cases!$G$25*sensitivity!$D$11))/((1+C$2)^F16)</f>
        <v>562.96767548907974</v>
      </c>
      <c r="M16" s="176">
        <f t="shared" si="0"/>
        <v>12432.407068699065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" thickBot="1" x14ac:dyDescent="0.35">
      <c r="A17" s="7"/>
      <c r="B17" s="7"/>
      <c r="C17" s="7"/>
      <c r="D17" s="7"/>
      <c r="E17" s="7"/>
      <c r="F17" s="24">
        <v>10</v>
      </c>
      <c r="G17" s="213">
        <f>SUM(C$25,$C$9,C$38,(Cases!$AA$25*sensitivity!$C$12),(-Cases!$G$25*sensitivity!$C$11))/((1+C$2)^F17)</f>
        <v>1742.6011500863399</v>
      </c>
      <c r="H17" s="213">
        <f t="shared" si="1"/>
        <v>11954.237566056794</v>
      </c>
      <c r="I17" s="213"/>
      <c r="J17" s="23"/>
      <c r="K17" s="7"/>
      <c r="L17" s="24">
        <f>SUM(C$25,$C$9,C$38,(Cases!$AA$25*sensitivity!$D$12),(-Cases!$G$25*sensitivity!$D$11))/((1+C$2)^F17)</f>
        <v>541.31507258565352</v>
      </c>
      <c r="M17" s="176">
        <f t="shared" si="0"/>
        <v>11954.237566056794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SUM(C$25,$C$9,C$38,(Cases!$AA$25*sensitivity!$C$12),(-Cases!$G$25*sensitivity!$C$11))/((1+C$2)^F18)</f>
        <v>1675.5780289291731</v>
      </c>
      <c r="H18" s="213">
        <f t="shared" si="1"/>
        <v>11494.459198131533</v>
      </c>
      <c r="I18" s="213"/>
      <c r="J18" s="23"/>
      <c r="K18" s="7"/>
      <c r="L18" s="24">
        <f>SUM(C$25,$C$9,C$38,(Cases!$AA$25*sensitivity!$D$12),(-Cases!$G$25*sensitivity!$D$11))/((1+C$2)^F18)</f>
        <v>520.49526210159001</v>
      </c>
      <c r="M18" s="176">
        <f t="shared" si="0"/>
        <v>11494.459198131533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SUM(C$25,$C$9,C$38,(Cases!$AA$25*sensitivity!$C$12),(-Cases!$G$25*sensitivity!$C$11))/((1+C$2)^F19)</f>
        <v>1611.1327201242045</v>
      </c>
      <c r="H19" s="213">
        <f t="shared" si="1"/>
        <v>11052.36461358801</v>
      </c>
      <c r="I19" s="213"/>
      <c r="J19" s="23"/>
      <c r="K19" s="7"/>
      <c r="L19" s="24">
        <f>SUM(C$25,$C$9,C$38,(Cases!$AA$25*sensitivity!$D$12),(-Cases!$G$25*sensitivity!$D$11))/((1+C$2)^F19)</f>
        <v>500.47621355922104</v>
      </c>
      <c r="M19" s="176">
        <f t="shared" si="0"/>
        <v>11052.36461358801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3">
      <c r="A20" s="7"/>
      <c r="B20" s="24" t="s">
        <v>175</v>
      </c>
      <c r="C20" s="23">
        <f>'Electricity prod.'!N17</f>
        <v>56.969480808875716</v>
      </c>
      <c r="D20" s="7"/>
      <c r="E20" s="7"/>
      <c r="F20" s="24">
        <v>13</v>
      </c>
      <c r="G20" s="213">
        <f>SUM(C$25,$C$9,C$38,(Cases!$AA$25*sensitivity!$C$12),(-Cases!$G$25*sensitivity!$C$11))/((1+C$2)^F20)</f>
        <v>1549.1660770425042</v>
      </c>
      <c r="H20" s="213">
        <f t="shared" si="1"/>
        <v>10627.273666911547</v>
      </c>
      <c r="I20" s="213"/>
      <c r="J20" s="23"/>
      <c r="K20" s="7"/>
      <c r="L20" s="24">
        <f>SUM(C$25,$C$9,C$38,(Cases!$AA$25*sensitivity!$D$12),(-Cases!$G$25*sensitivity!$D$11))/((1+C$2)^F20)</f>
        <v>481.22712842232795</v>
      </c>
      <c r="M20" s="176">
        <f t="shared" si="0"/>
        <v>10627.273666911547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3">
      <c r="A21" s="7"/>
      <c r="B21" s="24" t="s">
        <v>176</v>
      </c>
      <c r="C21" s="23">
        <f>'Electricity prod.'!M17</f>
        <v>219.73942597709205</v>
      </c>
      <c r="D21" s="7"/>
      <c r="E21" s="7"/>
      <c r="F21" s="24">
        <v>14</v>
      </c>
      <c r="G21" s="213">
        <f>SUM(C$25,$C$9,C$38,(Cases!$AA$25*sensitivity!$C$12),(-Cases!$G$25*sensitivity!$C$11))/((1+C$2)^F21)</f>
        <v>1489.5827663870234</v>
      </c>
      <c r="H21" s="213">
        <f t="shared" si="1"/>
        <v>10218.532372030335</v>
      </c>
      <c r="I21" s="213"/>
      <c r="J21" s="23"/>
      <c r="K21" s="7"/>
      <c r="L21" s="24">
        <f>SUM(C$25,$C$9,C$38,(Cases!$AA$25*sensitivity!$D$12),(-Cases!$G$25*sensitivity!$D$11))/((1+C$2)^F21)</f>
        <v>462.71839271377684</v>
      </c>
      <c r="M21" s="176">
        <f t="shared" si="0"/>
        <v>10218.532372030335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3">
      <c r="A22" s="7"/>
      <c r="B22" s="24" t="s">
        <v>177</v>
      </c>
      <c r="C22" s="23">
        <f>C19*C20</f>
        <v>11393.896161775143</v>
      </c>
      <c r="D22" s="7"/>
      <c r="E22" s="7"/>
      <c r="F22" s="24">
        <v>15</v>
      </c>
      <c r="G22" s="213">
        <f>SUM(C$25,$C$9,C$38,(Cases!$AA$25*sensitivity!$C$12),(-Cases!$G$25*sensitivity!$C$11))/((1+C$2)^F22)</f>
        <v>1432.291121525984</v>
      </c>
      <c r="H22" s="213">
        <f t="shared" si="1"/>
        <v>9825.511896183014</v>
      </c>
      <c r="I22" s="213"/>
      <c r="J22" s="23"/>
      <c r="K22" s="7"/>
      <c r="L22" s="24">
        <f>SUM(C$25,$C$9,C$38,(Cases!$AA$25*sensitivity!$D$12),(-Cases!$G$25*sensitivity!$D$11))/((1+C$2)^F22)</f>
        <v>444.92153145555466</v>
      </c>
      <c r="M22" s="176">
        <f t="shared" si="0"/>
        <v>9825.511896183014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SUM(C$25,$C$9,C$38,(Cases!$AA$25*sensitivity!$C$12),(-Cases!$G$25*sensitivity!$C$11))/((1+C$2)^F23)</f>
        <v>1377.2030014672921</v>
      </c>
      <c r="H23" s="213">
        <f t="shared" si="1"/>
        <v>9447.6075924836659</v>
      </c>
      <c r="I23" s="213"/>
      <c r="J23" s="23"/>
      <c r="K23" s="7"/>
      <c r="L23" s="24">
        <f>SUM(C$25,$C$9,C$38,(Cases!$AA$25*sensitivity!$D$12),(-Cases!$G$25*sensitivity!$D$11))/((1+C$2)^F23)</f>
        <v>427.80916486111022</v>
      </c>
      <c r="M23" s="176">
        <f t="shared" si="0"/>
        <v>9447.6075924836659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SUM(C$25,$C$9,C$38,(Cases!$AA$25*sensitivity!$C$12),(-Cases!$G$25*sensitivity!$C$11))/((1+C$2)^F24)</f>
        <v>1324.2336552570116</v>
      </c>
      <c r="H24" s="213">
        <f t="shared" si="1"/>
        <v>9084.2380696958335</v>
      </c>
      <c r="I24" s="213"/>
      <c r="J24" s="23"/>
      <c r="K24" s="7"/>
      <c r="L24" s="24">
        <f>SUM(C$25,$C$9,C$38,(Cases!$AA$25*sensitivity!$D$12),(-Cases!$G$25*sensitivity!$D$11))/((1+C$2)^F24)</f>
        <v>411.35496621260597</v>
      </c>
      <c r="M24" s="176">
        <f t="shared" si="0"/>
        <v>9084.2380696958335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3">
      <c r="A25" s="7"/>
      <c r="B25" s="24" t="s">
        <v>238</v>
      </c>
      <c r="C25" s="23">
        <f>C24*C5</f>
        <v>353.90383675423504</v>
      </c>
      <c r="D25" s="7"/>
      <c r="E25" s="7"/>
      <c r="F25" s="24">
        <v>18</v>
      </c>
      <c r="G25" s="213">
        <f>SUM(C$25,$C$9,C$38,(Cases!$AA$25*sensitivity!$C$12),(-Cases!$G$25*sensitivity!$C$11))/((1+C$2)^F25)</f>
        <v>1273.3015915932801</v>
      </c>
      <c r="H25" s="213">
        <f t="shared" si="1"/>
        <v>8734.8442977844534</v>
      </c>
      <c r="I25" s="213"/>
      <c r="J25" s="23"/>
      <c r="K25" s="7"/>
      <c r="L25" s="24">
        <f>SUM(C$25,$C$9,C$38,(Cases!$AA$25*sensitivity!$D$12),(-Cases!$G$25*sensitivity!$D$11))/((1+C$2)^F25)</f>
        <v>395.5336213582749</v>
      </c>
      <c r="M25" s="176">
        <f t="shared" si="0"/>
        <v>8734.8442977844534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3">
      <c r="A26" s="7"/>
      <c r="B26" s="24" t="s">
        <v>237</v>
      </c>
      <c r="C26" s="23">
        <f>C24*C7</f>
        <v>0</v>
      </c>
      <c r="D26" s="7"/>
      <c r="E26" s="7"/>
      <c r="F26" s="24">
        <v>19</v>
      </c>
      <c r="G26" s="213">
        <f>SUM(C$25,$C$9,C$38,(Cases!$AA$25*sensitivity!$C$12),(-Cases!$G$25*sensitivity!$C$11))/((1+C$2)^F26)</f>
        <v>1224.3284534550771</v>
      </c>
      <c r="H26" s="213">
        <f t="shared" si="1"/>
        <v>8398.888747869667</v>
      </c>
      <c r="I26" s="213"/>
      <c r="J26" s="23"/>
      <c r="K26" s="7"/>
      <c r="L26" s="24">
        <f>SUM(C$25,$C$9,C$38,(Cases!$AA$25*sensitivity!$D$12),(-Cases!$G$25*sensitivity!$D$11))/((1+C$2)^F26)</f>
        <v>380.32078976757202</v>
      </c>
      <c r="M26" s="176">
        <f t="shared" si="0"/>
        <v>8398.888747869667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5" thickBot="1" x14ac:dyDescent="0.35">
      <c r="A27" s="7"/>
      <c r="B27" s="25" t="s">
        <v>236</v>
      </c>
      <c r="C27" s="27">
        <v>0</v>
      </c>
      <c r="D27" s="7"/>
      <c r="E27" s="7"/>
      <c r="F27" s="25">
        <v>20</v>
      </c>
      <c r="G27" s="26">
        <f>SUM(C$25,$C$9,C$38,(Cases!$AA$25*sensitivity!$C$12),(-Cases!$G$25*sensitivity!$C$11))/((1+C$2)^F27)</f>
        <v>1177.2388975529589</v>
      </c>
      <c r="H27" s="26">
        <f t="shared" si="1"/>
        <v>8075.8545652592957</v>
      </c>
      <c r="I27" s="26"/>
      <c r="J27" s="27"/>
      <c r="K27" s="7"/>
      <c r="L27" s="25">
        <f>SUM(C$25,$C$9,C$38,(Cases!$AA$25*sensitivity!$D$12),(-Cases!$G$25*sensitivity!$D$11))/((1+C$2)^F27)</f>
        <v>365.6930670842039</v>
      </c>
      <c r="M27" s="6">
        <f t="shared" si="0"/>
        <v>8075.8545652592957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3">
      <c r="A30" s="7"/>
      <c r="B30" s="28" t="s">
        <v>179</v>
      </c>
      <c r="C30" s="22">
        <f>C19</f>
        <v>200</v>
      </c>
      <c r="D30" s="7"/>
      <c r="E30" s="7"/>
      <c r="F30" s="7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3">
      <c r="A31" s="7"/>
      <c r="B31" s="24" t="s">
        <v>180</v>
      </c>
      <c r="C31" s="23">
        <f>'Electricity prod.'!L25</f>
        <v>25.5</v>
      </c>
      <c r="D31" s="7"/>
      <c r="E31" s="7"/>
      <c r="F31" s="7">
        <v>24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3">
      <c r="A32" s="7"/>
      <c r="B32" s="24" t="s">
        <v>181</v>
      </c>
      <c r="C32" s="23">
        <f>'rooftopfacade area'!D22</f>
        <v>67.666666666666657</v>
      </c>
      <c r="D32" s="7"/>
      <c r="E32" s="7"/>
      <c r="F32" s="7">
        <v>25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3">
      <c r="A33" s="7"/>
      <c r="B33" s="24" t="s">
        <v>182</v>
      </c>
      <c r="C33" s="23">
        <f>C31*C30</f>
        <v>5100</v>
      </c>
      <c r="D33" s="7"/>
      <c r="E33" s="7"/>
      <c r="F33" s="7">
        <v>26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>
        <v>27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5" thickBot="1" x14ac:dyDescent="0.35">
      <c r="A35" s="7"/>
      <c r="B35" s="7"/>
      <c r="C35" s="7"/>
      <c r="D35" s="7"/>
      <c r="E35" s="7"/>
      <c r="F35" s="7">
        <v>28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7"/>
      <c r="B36" s="28" t="s">
        <v>171</v>
      </c>
      <c r="C36" s="22"/>
      <c r="D36" s="7"/>
      <c r="E36" s="7"/>
      <c r="F36" s="7">
        <v>29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3">
      <c r="A37" s="7"/>
      <c r="B37" s="24" t="s">
        <v>213</v>
      </c>
      <c r="C37" s="23">
        <f>sensitivity!P5</f>
        <v>36000</v>
      </c>
      <c r="D37" s="7"/>
      <c r="E37" s="7"/>
      <c r="F37" s="7">
        <v>30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3">
      <c r="A38" s="7"/>
      <c r="B38" s="24" t="s">
        <v>211</v>
      </c>
      <c r="C38" s="23">
        <v>200</v>
      </c>
      <c r="D38" s="7"/>
      <c r="E38" s="7"/>
      <c r="F38" s="7">
        <v>31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3">
      <c r="A39" s="7"/>
      <c r="B39" s="24" t="s">
        <v>212</v>
      </c>
      <c r="C39" s="23">
        <f>C37*3.8</f>
        <v>136800</v>
      </c>
      <c r="D39" s="7"/>
      <c r="E39" s="7"/>
      <c r="F39" s="7">
        <v>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" thickBot="1" x14ac:dyDescent="0.35">
      <c r="A40" s="7"/>
      <c r="B40" s="25" t="s">
        <v>239</v>
      </c>
      <c r="C40" s="27">
        <v>20</v>
      </c>
      <c r="D40" s="7"/>
      <c r="E40" s="7"/>
      <c r="F40" s="7">
        <v>33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3">
      <c r="A41" s="7"/>
      <c r="B41" s="7"/>
      <c r="C41" s="7"/>
      <c r="D41" s="7"/>
      <c r="E41" s="7"/>
      <c r="F41" s="7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3">
      <c r="A42" s="7"/>
      <c r="B42" s="7" t="s">
        <v>172</v>
      </c>
      <c r="C42" s="7"/>
      <c r="D42" s="7"/>
      <c r="E42" s="7"/>
      <c r="F42" s="7">
        <v>35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3">
      <c r="A43" s="7"/>
      <c r="B43" s="7"/>
      <c r="C43" s="7"/>
      <c r="D43" s="7"/>
      <c r="E43" s="7"/>
      <c r="F43" s="7">
        <v>36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3">
      <c r="A44" s="7"/>
      <c r="B44" s="7" t="s">
        <v>173</v>
      </c>
      <c r="C44" s="7"/>
      <c r="D44" s="7"/>
      <c r="E44" s="7"/>
      <c r="F44" s="7">
        <v>37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3">
      <c r="A45" s="7"/>
      <c r="B45" s="7"/>
      <c r="C45" s="7"/>
      <c r="D45" s="7"/>
      <c r="E45" s="7"/>
      <c r="F45" s="7">
        <v>38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5" thickBot="1" x14ac:dyDescent="0.35">
      <c r="A46" s="7"/>
      <c r="B46" s="44" t="s">
        <v>186</v>
      </c>
      <c r="C46" s="7"/>
      <c r="D46" s="7"/>
      <c r="E46" s="7"/>
      <c r="F46" s="7">
        <v>39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3">
      <c r="A47" s="7"/>
      <c r="B47" s="38" t="s">
        <v>184</v>
      </c>
      <c r="C47" s="22"/>
      <c r="D47" s="7"/>
      <c r="E47" s="7"/>
      <c r="F47" s="7">
        <v>40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3">
      <c r="A48" s="7"/>
      <c r="B48" s="24" t="s">
        <v>185</v>
      </c>
      <c r="C48" s="42">
        <f>Cases!J29</f>
        <v>52.852486798518051</v>
      </c>
      <c r="D48" s="7"/>
      <c r="E48" s="7"/>
      <c r="F48" s="7">
        <v>41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3">
      <c r="A49" s="7"/>
      <c r="B49" s="24" t="s">
        <v>187</v>
      </c>
      <c r="C49" s="23">
        <f>N79</f>
        <v>264.81481481481484</v>
      </c>
      <c r="D49" s="7"/>
      <c r="E49" s="7"/>
      <c r="F49" s="7">
        <v>42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3">
      <c r="A50" s="7"/>
      <c r="B50" s="24" t="s">
        <v>222</v>
      </c>
      <c r="C50" s="23">
        <f>C48*C49</f>
        <v>13996.121504052004</v>
      </c>
      <c r="D50" s="7"/>
      <c r="E50" s="7"/>
      <c r="F50" s="7">
        <v>43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3">
      <c r="A51" s="7"/>
      <c r="B51" s="24" t="s">
        <v>273</v>
      </c>
      <c r="C51" s="23">
        <v>2000</v>
      </c>
      <c r="D51" s="7"/>
      <c r="E51" s="7"/>
      <c r="F51" s="7">
        <v>44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3">
      <c r="A52" s="7"/>
      <c r="B52" s="24" t="s">
        <v>221</v>
      </c>
      <c r="C52" s="23">
        <f>N80</f>
        <v>740</v>
      </c>
      <c r="D52" s="7"/>
      <c r="E52" s="7"/>
      <c r="F52" s="7">
        <v>45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3">
      <c r="A53" s="7"/>
      <c r="B53" s="24" t="s">
        <v>223</v>
      </c>
      <c r="C53" s="23">
        <f>C50+C52+C51</f>
        <v>16736.121504052004</v>
      </c>
      <c r="D53" s="7"/>
      <c r="E53" s="7"/>
      <c r="F53" s="7">
        <v>46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3">
      <c r="A54" s="7"/>
      <c r="B54" s="24" t="s">
        <v>214</v>
      </c>
      <c r="C54" s="23">
        <f>C50*K78</f>
        <v>622.86720289874722</v>
      </c>
      <c r="D54" s="7"/>
      <c r="E54" s="7"/>
      <c r="F54" s="7">
        <v>47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5" thickBot="1" x14ac:dyDescent="0.35">
      <c r="A55" s="7"/>
      <c r="B55" s="25" t="s">
        <v>224</v>
      </c>
      <c r="C55" s="27">
        <v>15</v>
      </c>
      <c r="D55" s="7"/>
      <c r="E55" s="7"/>
      <c r="F55" s="7">
        <v>48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66666.906959665939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7380.0431676234903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6.2*(1/3)</f>
        <v>2.0666666666666664</v>
      </c>
      <c r="I60" s="7"/>
      <c r="J60" s="24"/>
      <c r="K60" s="7"/>
      <c r="L60" s="7"/>
      <c r="M60" s="7"/>
      <c r="N60" s="23"/>
      <c r="O60" s="7"/>
      <c r="P60" s="25">
        <f>P58/J6</f>
        <v>0.76147404614025782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5721.5169910307404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13382.933389593754</v>
      </c>
      <c r="I63" s="7"/>
      <c r="J63" s="30" t="s">
        <v>263</v>
      </c>
      <c r="K63" s="7">
        <f>C67*$K$57</f>
        <v>18738.844582555288</v>
      </c>
      <c r="L63" s="7">
        <f>L57*F59</f>
        <v>7380.0431676234903</v>
      </c>
      <c r="M63" s="7">
        <f>H63*$M$57</f>
        <v>4460.9777965312514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3">
      <c r="A64" s="7"/>
      <c r="B64" s="24"/>
      <c r="C64" s="43">
        <f>C59*C62^C60</f>
        <v>4939.6552336830173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4014.8800168781263</v>
      </c>
      <c r="I65" s="7"/>
      <c r="J65" s="30" t="s">
        <v>264</v>
      </c>
      <c r="K65" s="7">
        <f>(K64/100)*K63</f>
        <v>5621.6533747665862</v>
      </c>
      <c r="L65" s="41">
        <f>F61</f>
        <v>2500</v>
      </c>
      <c r="M65" s="7">
        <f>(M64/100)*M63</f>
        <v>1338.2933389593754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3">
      <c r="A66" s="7"/>
      <c r="B66" s="24" t="s">
        <v>229</v>
      </c>
      <c r="C66" s="43">
        <f>C64*C62</f>
        <v>23875.000296134582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5" thickBot="1" x14ac:dyDescent="0.35">
      <c r="A67" s="7"/>
      <c r="B67" s="24" t="s">
        <v>230</v>
      </c>
      <c r="C67" s="44">
        <f>G100*C65</f>
        <v>28108.266873832934</v>
      </c>
      <c r="D67" s="7"/>
      <c r="E67" s="7" t="s">
        <v>242</v>
      </c>
      <c r="F67" s="7">
        <v>3</v>
      </c>
      <c r="G67" s="7" t="s">
        <v>265</v>
      </c>
      <c r="H67" s="45">
        <f>(H66/100)*H63</f>
        <v>1338.2933389593754</v>
      </c>
      <c r="I67" s="7"/>
      <c r="J67" s="47" t="s">
        <v>265</v>
      </c>
      <c r="K67" s="26">
        <f>(K66/100)*K63</f>
        <v>936.94222912776445</v>
      </c>
      <c r="L67" s="26">
        <f>(L66/100)*L63</f>
        <v>221.40129502870471</v>
      </c>
      <c r="M67" s="26">
        <f>(M66/100)*M63</f>
        <v>446.09777965312514</v>
      </c>
      <c r="N67" s="27">
        <f>SUM(K67:M67)</f>
        <v>1604.4413038095943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3">
      <c r="A69" s="7"/>
      <c r="B69" s="24"/>
      <c r="C69" s="44">
        <f>(C68/100)*C67</f>
        <v>8432.4800621498798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5" thickBot="1" x14ac:dyDescent="0.35">
      <c r="A71" s="7"/>
      <c r="B71" s="25" t="s">
        <v>202</v>
      </c>
      <c r="C71" s="48">
        <f>(C70/100)*C67</f>
        <v>1405.4133436916468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>
        <v>0.5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2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2"/>
      <c r="AG84" s="7"/>
      <c r="AH84" s="7"/>
    </row>
    <row r="85" spans="1:34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 t="s">
        <v>46</v>
      </c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23"/>
      <c r="AG85" s="7"/>
      <c r="AH85" s="7"/>
    </row>
    <row r="86" spans="1:34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>
        <v>880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23"/>
      <c r="AG86" s="7"/>
      <c r="AH86" s="7"/>
    </row>
    <row r="87" spans="1:34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23"/>
      <c r="AG87" s="7"/>
      <c r="AH87" s="7"/>
    </row>
    <row r="88" spans="1:34" x14ac:dyDescent="0.3">
      <c r="A88" s="7"/>
      <c r="B88" s="7"/>
      <c r="C88" s="24">
        <v>2006</v>
      </c>
      <c r="D88" s="7">
        <v>2.21</v>
      </c>
      <c r="E88" s="7">
        <f t="shared" ref="E88:E100" si="3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23"/>
      <c r="AG88" s="7"/>
      <c r="AH88" s="7"/>
    </row>
    <row r="89" spans="1:34" x14ac:dyDescent="0.3">
      <c r="A89" s="7"/>
      <c r="B89" s="7"/>
      <c r="C89" s="24">
        <v>2007</v>
      </c>
      <c r="D89" s="7">
        <v>2.16</v>
      </c>
      <c r="E89" s="7">
        <f t="shared" si="3"/>
        <v>2.1600000000000001E-2</v>
      </c>
      <c r="F89" s="7">
        <f t="shared" ref="F89:F100" si="4">F88+F88*E89</f>
        <v>24.331003171776</v>
      </c>
      <c r="G89" s="7"/>
      <c r="H89" s="23"/>
      <c r="I89" s="7"/>
      <c r="J89" s="7"/>
      <c r="K89" s="33" t="s">
        <v>261</v>
      </c>
      <c r="L89" s="81">
        <f>V88</f>
        <v>9645.578840729544</v>
      </c>
      <c r="M89" s="35" t="s">
        <v>167</v>
      </c>
      <c r="N89" s="7"/>
      <c r="O89" s="7">
        <f>O88/$M86</f>
        <v>9580.1704293571711</v>
      </c>
      <c r="P89" s="7">
        <f t="shared" ref="P89:AE89" si="5">P88/$M86</f>
        <v>11367.654637214893</v>
      </c>
      <c r="Q89" s="7">
        <f t="shared" si="5"/>
        <v>11128.654125009347</v>
      </c>
      <c r="R89" s="7">
        <f t="shared" si="5"/>
        <v>12916.138332867064</v>
      </c>
      <c r="S89" s="7">
        <f t="shared" si="5"/>
        <v>9769.4381300900332</v>
      </c>
      <c r="T89" s="7">
        <f t="shared" si="5"/>
        <v>11556.922337947752</v>
      </c>
      <c r="U89" s="7">
        <f t="shared" si="5"/>
        <v>11317.921825742204</v>
      </c>
      <c r="V89" s="7">
        <f t="shared" si="5"/>
        <v>13105.406033599922</v>
      </c>
      <c r="W89" s="7"/>
      <c r="X89" s="7">
        <f t="shared" si="5"/>
        <v>40288.521709622051</v>
      </c>
      <c r="Y89" s="7">
        <f t="shared" si="5"/>
        <v>47589.20955455074</v>
      </c>
      <c r="Z89" s="7">
        <f t="shared" si="5"/>
        <v>46020.889236795971</v>
      </c>
      <c r="AA89" s="7">
        <f t="shared" si="5"/>
        <v>53321.577081724659</v>
      </c>
      <c r="AB89" s="7">
        <f t="shared" si="5"/>
        <v>40795.086481955143</v>
      </c>
      <c r="AC89" s="7">
        <f t="shared" si="5"/>
        <v>48095.774326883831</v>
      </c>
      <c r="AD89" s="7">
        <f t="shared" si="5"/>
        <v>46527.454009129062</v>
      </c>
      <c r="AE89" s="7">
        <f t="shared" si="5"/>
        <v>53828.141854057751</v>
      </c>
      <c r="AF89" s="23"/>
      <c r="AG89" s="7"/>
      <c r="AH89" s="7"/>
    </row>
    <row r="90" spans="1:34" x14ac:dyDescent="0.3">
      <c r="A90" s="7"/>
      <c r="B90" s="7"/>
      <c r="C90" s="24">
        <v>2008</v>
      </c>
      <c r="D90" s="7">
        <v>3.35</v>
      </c>
      <c r="E90" s="7">
        <f t="shared" si="3"/>
        <v>3.3500000000000002E-2</v>
      </c>
      <c r="F90" s="7">
        <f t="shared" si="4"/>
        <v>25.146091778030495</v>
      </c>
      <c r="G90" s="7"/>
      <c r="H90" s="23"/>
      <c r="I90" s="7"/>
      <c r="J90" s="7"/>
      <c r="K90" s="33"/>
      <c r="L90" s="34">
        <f>L89/L93</f>
        <v>289.65702224413047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23"/>
      <c r="AG90" s="7"/>
      <c r="AH90" s="7"/>
    </row>
    <row r="91" spans="1:34" x14ac:dyDescent="0.3">
      <c r="A91" s="7"/>
      <c r="B91" s="7"/>
      <c r="C91" s="24">
        <v>2009</v>
      </c>
      <c r="D91" s="7">
        <v>0.32</v>
      </c>
      <c r="E91" s="7">
        <f t="shared" si="3"/>
        <v>3.2000000000000002E-3</v>
      </c>
      <c r="F91" s="7">
        <f t="shared" si="4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12.30007194603915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23"/>
      <c r="AG91" s="7"/>
      <c r="AH91" s="7"/>
    </row>
    <row r="92" spans="1:34" ht="15" thickBot="1" x14ac:dyDescent="0.35">
      <c r="A92" s="7"/>
      <c r="B92" s="7"/>
      <c r="C92" s="24">
        <v>2010</v>
      </c>
      <c r="D92" s="7">
        <v>1.61</v>
      </c>
      <c r="E92" s="7">
        <f t="shared" si="3"/>
        <v>1.61E-2</v>
      </c>
      <c r="F92" s="7">
        <f t="shared" si="4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7380.0431676234903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23"/>
      <c r="AG92" s="7"/>
      <c r="AH92" s="7"/>
    </row>
    <row r="93" spans="1:34" x14ac:dyDescent="0.3">
      <c r="A93" s="7"/>
      <c r="B93" s="7"/>
      <c r="C93" s="24">
        <v>2011</v>
      </c>
      <c r="D93" s="7">
        <v>2.72</v>
      </c>
      <c r="E93" s="7">
        <f t="shared" si="3"/>
        <v>2.7200000000000002E-2</v>
      </c>
      <c r="F93" s="7">
        <f t="shared" si="4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23"/>
      <c r="AG93" s="7"/>
      <c r="AH93" s="7"/>
    </row>
    <row r="94" spans="1:34" ht="15" thickBot="1" x14ac:dyDescent="0.35">
      <c r="A94" s="7"/>
      <c r="B94" s="7"/>
      <c r="C94" s="24">
        <v>2012</v>
      </c>
      <c r="D94" s="7">
        <v>2.5</v>
      </c>
      <c r="E94" s="7">
        <f t="shared" si="3"/>
        <v>2.5000000000000001E-2</v>
      </c>
      <c r="F94" s="7">
        <f t="shared" si="4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23"/>
      <c r="AG94" s="7"/>
      <c r="AH94" s="7"/>
    </row>
    <row r="95" spans="1:34" x14ac:dyDescent="0.3">
      <c r="A95" s="7"/>
      <c r="B95" s="7"/>
      <c r="C95" s="24">
        <v>2013</v>
      </c>
      <c r="D95" s="7">
        <v>1.35</v>
      </c>
      <c r="E95" s="7">
        <f t="shared" si="3"/>
        <v>1.3500000000000002E-2</v>
      </c>
      <c r="F95" s="7">
        <f>F94+F94*E95</f>
        <v>27.35250463520806</v>
      </c>
      <c r="G95" s="7">
        <f>C66</f>
        <v>23875.000296134582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23"/>
      <c r="AG95" s="7"/>
      <c r="AH95" s="7"/>
    </row>
    <row r="96" spans="1:34" x14ac:dyDescent="0.3">
      <c r="A96" s="7"/>
      <c r="B96" s="7"/>
      <c r="C96" s="24">
        <v>2014</v>
      </c>
      <c r="D96" s="7">
        <v>0.43</v>
      </c>
      <c r="E96" s="7">
        <f t="shared" si="3"/>
        <v>4.3E-3</v>
      </c>
      <c r="F96" s="7">
        <f t="shared" si="4"/>
        <v>27.470120405139454</v>
      </c>
      <c r="G96" s="7">
        <f>G95+G95*E96</f>
        <v>23977.66279740796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289.65702224413047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23"/>
      <c r="AG96" s="7"/>
      <c r="AH96" s="7"/>
    </row>
    <row r="97" spans="1:34" x14ac:dyDescent="0.3">
      <c r="A97" s="7"/>
      <c r="B97" s="7"/>
      <c r="C97" s="24">
        <v>2015</v>
      </c>
      <c r="D97" s="7">
        <v>0.03</v>
      </c>
      <c r="E97" s="7">
        <f t="shared" si="3"/>
        <v>2.9999999999999997E-4</v>
      </c>
      <c r="F97" s="7">
        <f t="shared" si="4"/>
        <v>27.478361441260997</v>
      </c>
      <c r="G97" s="7">
        <f t="shared" ref="G97:G99" si="6">G96+G96*E97</f>
        <v>23984.856096247182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23"/>
      <c r="AG97" s="7"/>
      <c r="AH97" s="7"/>
    </row>
    <row r="98" spans="1:34" x14ac:dyDescent="0.3">
      <c r="A98" s="7"/>
      <c r="B98" s="7"/>
      <c r="C98" s="24">
        <v>2016</v>
      </c>
      <c r="D98" s="7">
        <v>0.24</v>
      </c>
      <c r="E98" s="7">
        <f t="shared" si="3"/>
        <v>2.3999999999999998E-3</v>
      </c>
      <c r="F98" s="7">
        <f t="shared" si="4"/>
        <v>27.544309508720023</v>
      </c>
      <c r="G98" s="7">
        <f t="shared" si="6"/>
        <v>24042.419750878176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23"/>
      <c r="AG98" s="7"/>
      <c r="AH98" s="7"/>
    </row>
    <row r="99" spans="1:34" x14ac:dyDescent="0.3">
      <c r="A99" s="7"/>
      <c r="B99" s="7"/>
      <c r="C99" s="24">
        <v>2017</v>
      </c>
      <c r="D99" s="7">
        <v>1.54</v>
      </c>
      <c r="E99" s="7">
        <f t="shared" si="3"/>
        <v>1.54E-2</v>
      </c>
      <c r="F99" s="7">
        <f t="shared" si="4"/>
        <v>27.96849187515431</v>
      </c>
      <c r="G99" s="7">
        <f t="shared" si="6"/>
        <v>24412.673015041699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23"/>
      <c r="AG99" s="7"/>
      <c r="AH99" s="7"/>
    </row>
    <row r="100" spans="1:34" ht="15" thickBot="1" x14ac:dyDescent="0.35">
      <c r="A100" s="7"/>
      <c r="B100" s="7"/>
      <c r="C100" s="25">
        <v>2018</v>
      </c>
      <c r="D100" s="26">
        <v>1.73</v>
      </c>
      <c r="E100" s="26">
        <f t="shared" si="3"/>
        <v>1.7299999999999999E-2</v>
      </c>
      <c r="F100" s="26">
        <f t="shared" si="4"/>
        <v>28.452346784594479</v>
      </c>
      <c r="G100" s="26">
        <f>G99+G99*E100</f>
        <v>24835.012258201921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12.30007194603915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7"/>
      <c r="AH100" s="7"/>
    </row>
    <row r="101" spans="1:3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3ABB-73A2-4F93-B995-45650D3F5D69}">
  <dimension ref="A1:P25"/>
  <sheetViews>
    <sheetView workbookViewId="0">
      <selection activeCell="I5" sqref="I5"/>
    </sheetView>
  </sheetViews>
  <sheetFormatPr defaultRowHeight="14.4" x14ac:dyDescent="0.3"/>
  <cols>
    <col min="5" max="5" width="9.5546875" bestFit="1" customWidth="1"/>
  </cols>
  <sheetData>
    <row r="1" spans="1:16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3">
      <c r="A2" s="7"/>
      <c r="B2" s="128">
        <v>16</v>
      </c>
      <c r="C2" s="120">
        <v>22.5</v>
      </c>
      <c r="D2" s="120"/>
      <c r="E2" s="120"/>
      <c r="F2" s="121"/>
      <c r="G2" s="29"/>
      <c r="H2" s="128" t="s">
        <v>53</v>
      </c>
      <c r="I2" s="120"/>
      <c r="J2" s="120" t="s">
        <v>146</v>
      </c>
      <c r="K2" s="120"/>
      <c r="L2" s="120"/>
      <c r="M2" s="120"/>
      <c r="N2" s="120" t="s">
        <v>279</v>
      </c>
      <c r="O2" s="121">
        <v>100</v>
      </c>
      <c r="P2" s="7"/>
    </row>
    <row r="3" spans="1:16" ht="15" thickBot="1" x14ac:dyDescent="0.35">
      <c r="A3" s="7"/>
      <c r="B3" s="127">
        <v>0.53</v>
      </c>
      <c r="C3" s="118">
        <v>0.56000000000000005</v>
      </c>
      <c r="D3" s="118"/>
      <c r="E3" s="118"/>
      <c r="F3" s="119"/>
      <c r="G3" s="7"/>
      <c r="H3" s="129">
        <v>4.8179999999999996</v>
      </c>
      <c r="I3" s="122"/>
      <c r="J3" s="122">
        <f>H3-H3*0.09</f>
        <v>4.3843799999999993</v>
      </c>
      <c r="K3" s="122"/>
      <c r="L3" s="122"/>
      <c r="M3" s="122"/>
      <c r="N3" s="122"/>
      <c r="O3" s="123"/>
      <c r="P3" s="7"/>
    </row>
    <row r="4" spans="1:16" x14ac:dyDescent="0.3">
      <c r="A4" s="7"/>
      <c r="B4" s="127">
        <f>B2-B2*B3</f>
        <v>7.52</v>
      </c>
      <c r="C4" s="148">
        <f>C2-C2*C3</f>
        <v>9.8999999999999986</v>
      </c>
      <c r="D4" s="118"/>
      <c r="E4" s="118"/>
      <c r="F4" s="119"/>
      <c r="G4" s="7"/>
      <c r="H4" s="7"/>
      <c r="I4" s="7"/>
      <c r="J4" s="7"/>
      <c r="K4" s="7"/>
      <c r="L4" s="7"/>
      <c r="M4" s="7"/>
      <c r="N4" s="7"/>
      <c r="O4" s="23"/>
      <c r="P4" s="7"/>
    </row>
    <row r="5" spans="1:16" x14ac:dyDescent="0.3">
      <c r="A5" s="7"/>
      <c r="B5" s="127"/>
      <c r="C5" s="118"/>
      <c r="D5" s="118"/>
      <c r="E5" s="118">
        <f>B4*200</f>
        <v>1504</v>
      </c>
      <c r="F5" s="119">
        <f>C4*200</f>
        <v>1979.9999999999998</v>
      </c>
      <c r="G5" s="7"/>
      <c r="H5" s="7"/>
      <c r="I5" s="7"/>
      <c r="J5" s="7"/>
      <c r="K5" s="7"/>
      <c r="L5" s="7"/>
      <c r="M5" s="7"/>
      <c r="N5" s="7"/>
      <c r="O5" s="23"/>
      <c r="P5" s="7"/>
    </row>
    <row r="6" spans="1:16" x14ac:dyDescent="0.3">
      <c r="A6" s="7"/>
      <c r="B6" s="127">
        <v>18.2</v>
      </c>
      <c r="C6" s="118">
        <v>20.9</v>
      </c>
      <c r="D6" s="118"/>
      <c r="E6" s="118"/>
      <c r="F6" s="119"/>
      <c r="G6" s="7"/>
      <c r="H6" s="7"/>
      <c r="I6" s="7"/>
      <c r="J6" s="7"/>
      <c r="K6" s="7"/>
      <c r="L6" s="7"/>
      <c r="M6" s="7"/>
      <c r="N6" s="7"/>
      <c r="O6" s="23"/>
      <c r="P6" s="7"/>
    </row>
    <row r="7" spans="1:16" x14ac:dyDescent="0.3">
      <c r="A7" s="7"/>
      <c r="B7" s="127">
        <v>0.34</v>
      </c>
      <c r="C7" s="118">
        <v>0.39</v>
      </c>
      <c r="D7" s="118"/>
      <c r="E7" s="118"/>
      <c r="F7" s="119"/>
      <c r="G7" s="7"/>
      <c r="H7" s="7"/>
      <c r="I7" s="7"/>
      <c r="J7" s="7"/>
      <c r="K7" s="7"/>
      <c r="L7" s="7"/>
      <c r="M7" s="7"/>
      <c r="N7" s="7"/>
      <c r="O7" s="23"/>
      <c r="P7" s="7"/>
    </row>
    <row r="8" spans="1:16" x14ac:dyDescent="0.3">
      <c r="A8" s="7"/>
      <c r="B8" s="127">
        <f>B6-B7*B6</f>
        <v>12.011999999999999</v>
      </c>
      <c r="C8" s="118">
        <f>C6-C7*C6</f>
        <v>12.748999999999999</v>
      </c>
      <c r="D8" s="118"/>
      <c r="E8" s="118"/>
      <c r="F8" s="119"/>
      <c r="G8" s="7"/>
      <c r="H8" s="7"/>
      <c r="I8" s="7"/>
      <c r="J8" s="7"/>
      <c r="K8" s="7"/>
      <c r="L8" s="7"/>
      <c r="M8" s="7"/>
      <c r="N8" s="7"/>
      <c r="O8" s="23"/>
      <c r="P8" s="7"/>
    </row>
    <row r="9" spans="1:16" ht="15" thickBot="1" x14ac:dyDescent="0.35">
      <c r="A9" s="7"/>
      <c r="B9" s="129"/>
      <c r="C9" s="122"/>
      <c r="D9" s="122"/>
      <c r="E9" s="122">
        <f>B8*900</f>
        <v>10810.8</v>
      </c>
      <c r="F9" s="123">
        <f>C8*900</f>
        <v>11474.099999999999</v>
      </c>
      <c r="G9" s="7"/>
      <c r="H9" s="7"/>
      <c r="I9" s="7"/>
      <c r="J9" s="7"/>
      <c r="K9" s="7"/>
      <c r="L9" s="7"/>
      <c r="M9" s="7"/>
      <c r="N9" s="7"/>
      <c r="O9" s="23"/>
      <c r="P9" s="7"/>
    </row>
    <row r="10" spans="1:16" ht="15" thickBot="1" x14ac:dyDescent="0.35">
      <c r="A10" s="7"/>
      <c r="B10" s="2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3"/>
      <c r="P10" s="7"/>
    </row>
    <row r="11" spans="1:16" x14ac:dyDescent="0.3">
      <c r="A11" s="7"/>
      <c r="B11" s="182" t="s">
        <v>97</v>
      </c>
      <c r="C11" s="183"/>
      <c r="D11" s="183"/>
      <c r="E11" s="183"/>
      <c r="F11" s="183"/>
      <c r="G11" s="183"/>
      <c r="H11" s="184"/>
      <c r="I11" s="7"/>
      <c r="J11" s="128"/>
      <c r="K11" s="120" t="s">
        <v>165</v>
      </c>
      <c r="L11" s="120"/>
      <c r="M11" s="120"/>
      <c r="N11" s="121"/>
      <c r="O11" s="23"/>
      <c r="P11" s="7"/>
    </row>
    <row r="12" spans="1:16" x14ac:dyDescent="0.3">
      <c r="A12" s="7"/>
      <c r="B12" s="33"/>
      <c r="C12" s="34" t="s">
        <v>12</v>
      </c>
      <c r="D12" s="34"/>
      <c r="E12" s="34" t="s">
        <v>13</v>
      </c>
      <c r="F12" s="34" t="s">
        <v>14</v>
      </c>
      <c r="G12" s="34" t="s">
        <v>15</v>
      </c>
      <c r="H12" s="35" t="s">
        <v>16</v>
      </c>
      <c r="I12" s="7"/>
      <c r="J12" s="127"/>
      <c r="K12" s="118" t="s">
        <v>13</v>
      </c>
      <c r="L12" s="118" t="s">
        <v>14</v>
      </c>
      <c r="M12" s="118" t="s">
        <v>15</v>
      </c>
      <c r="N12" s="119" t="s">
        <v>16</v>
      </c>
      <c r="O12" s="23"/>
      <c r="P12" s="7"/>
    </row>
    <row r="13" spans="1:16" x14ac:dyDescent="0.3">
      <c r="A13" s="7"/>
      <c r="B13" s="33" t="s">
        <v>0</v>
      </c>
      <c r="C13" s="82">
        <v>19.8</v>
      </c>
      <c r="D13" s="83">
        <f>C13/$O$2</f>
        <v>0.19800000000000001</v>
      </c>
      <c r="E13" s="82">
        <f>(E$5*$D13)/$H$3</f>
        <v>61.808219178082204</v>
      </c>
      <c r="F13" s="82">
        <f t="shared" ref="F13:F24" si="0">(F$5*$D13)/$J$3</f>
        <v>89.417431883185316</v>
      </c>
      <c r="G13" s="82">
        <f t="shared" ref="G13:G24" si="1">(E$9*$D13)/$H$3</f>
        <v>444.27945205479455</v>
      </c>
      <c r="H13" s="84">
        <f t="shared" ref="H13:H24" si="2">(F$9*$D13)/$J$3</f>
        <v>518.17401776305894</v>
      </c>
      <c r="I13" s="7"/>
      <c r="J13" s="127" t="s">
        <v>0</v>
      </c>
      <c r="K13" s="118">
        <f t="shared" ref="K13:K24" si="3">E$5*$D13</f>
        <v>297.79200000000003</v>
      </c>
      <c r="L13" s="118">
        <f t="shared" ref="L13:L24" si="4">F$5*$D13</f>
        <v>392.03999999999996</v>
      </c>
      <c r="M13" s="118">
        <f t="shared" ref="M13:M24" si="5">E$9*$D13</f>
        <v>2140.5383999999999</v>
      </c>
      <c r="N13" s="119">
        <f t="shared" ref="N13:N24" si="6">F$9*$D13</f>
        <v>2271.8717999999999</v>
      </c>
      <c r="O13" s="133"/>
      <c r="P13" s="7"/>
    </row>
    <row r="14" spans="1:16" x14ac:dyDescent="0.3">
      <c r="A14" s="7"/>
      <c r="B14" s="33" t="s">
        <v>1</v>
      </c>
      <c r="C14" s="82">
        <v>16.5</v>
      </c>
      <c r="D14" s="83">
        <f t="shared" ref="D14:D24" si="7">C14/$O$2</f>
        <v>0.16500000000000001</v>
      </c>
      <c r="E14" s="82">
        <f t="shared" ref="E14:E24" si="8">(E$5*D14)/H$3</f>
        <v>51.5068493150685</v>
      </c>
      <c r="F14" s="82">
        <f t="shared" si="0"/>
        <v>74.514526569321106</v>
      </c>
      <c r="G14" s="82">
        <f t="shared" si="1"/>
        <v>370.23287671232879</v>
      </c>
      <c r="H14" s="84">
        <f t="shared" si="2"/>
        <v>431.81168146921573</v>
      </c>
      <c r="I14" s="7"/>
      <c r="J14" s="127" t="s">
        <v>1</v>
      </c>
      <c r="K14" s="118">
        <f t="shared" si="3"/>
        <v>248.16000000000003</v>
      </c>
      <c r="L14" s="118">
        <f t="shared" si="4"/>
        <v>326.7</v>
      </c>
      <c r="M14" s="118">
        <f t="shared" si="5"/>
        <v>1783.7819999999999</v>
      </c>
      <c r="N14" s="119">
        <f t="shared" si="6"/>
        <v>1893.2264999999998</v>
      </c>
      <c r="O14" s="133"/>
      <c r="P14" s="7"/>
    </row>
    <row r="15" spans="1:16" x14ac:dyDescent="0.3">
      <c r="A15" s="7"/>
      <c r="B15" s="33" t="s">
        <v>2</v>
      </c>
      <c r="C15" s="82">
        <v>14.2</v>
      </c>
      <c r="D15" s="83">
        <f t="shared" si="7"/>
        <v>0.14199999999999999</v>
      </c>
      <c r="E15" s="82">
        <f t="shared" si="8"/>
        <v>44.327106683271069</v>
      </c>
      <c r="F15" s="82">
        <f t="shared" si="0"/>
        <v>64.127653168749063</v>
      </c>
      <c r="G15" s="82">
        <f t="shared" si="1"/>
        <v>318.62465753424652</v>
      </c>
      <c r="H15" s="84">
        <f t="shared" si="2"/>
        <v>371.61975011290076</v>
      </c>
      <c r="I15" s="7"/>
      <c r="J15" s="127" t="s">
        <v>2</v>
      </c>
      <c r="K15" s="118">
        <f t="shared" si="3"/>
        <v>213.56799999999998</v>
      </c>
      <c r="L15" s="118">
        <f t="shared" si="4"/>
        <v>281.15999999999997</v>
      </c>
      <c r="M15" s="118">
        <f t="shared" si="5"/>
        <v>1535.1335999999997</v>
      </c>
      <c r="N15" s="119">
        <f t="shared" si="6"/>
        <v>1629.3221999999996</v>
      </c>
      <c r="O15" s="133"/>
      <c r="P15" s="7"/>
    </row>
    <row r="16" spans="1:16" x14ac:dyDescent="0.3">
      <c r="A16" s="7"/>
      <c r="B16" s="33" t="s">
        <v>3</v>
      </c>
      <c r="C16" s="82">
        <v>3.2</v>
      </c>
      <c r="D16" s="83">
        <f t="shared" si="7"/>
        <v>3.2000000000000001E-2</v>
      </c>
      <c r="E16" s="82">
        <f t="shared" si="8"/>
        <v>9.9892071398920717</v>
      </c>
      <c r="F16" s="82">
        <f t="shared" si="0"/>
        <v>14.451302122534999</v>
      </c>
      <c r="G16" s="82">
        <f t="shared" si="1"/>
        <v>71.802739726027397</v>
      </c>
      <c r="H16" s="84">
        <f t="shared" si="2"/>
        <v>83.745295800090318</v>
      </c>
      <c r="I16" s="7"/>
      <c r="J16" s="127" t="s">
        <v>3</v>
      </c>
      <c r="K16" s="118">
        <f t="shared" si="3"/>
        <v>48.128</v>
      </c>
      <c r="L16" s="118">
        <f t="shared" si="4"/>
        <v>63.359999999999992</v>
      </c>
      <c r="M16" s="118">
        <f t="shared" si="5"/>
        <v>345.94559999999996</v>
      </c>
      <c r="N16" s="119">
        <f t="shared" si="6"/>
        <v>367.17119999999994</v>
      </c>
      <c r="O16" s="133"/>
      <c r="P16" s="7"/>
    </row>
    <row r="17" spans="1:16" x14ac:dyDescent="0.3">
      <c r="A17" s="7"/>
      <c r="B17" s="33" t="s">
        <v>4</v>
      </c>
      <c r="C17" s="82">
        <v>0</v>
      </c>
      <c r="D17" s="83">
        <f t="shared" si="7"/>
        <v>0</v>
      </c>
      <c r="E17" s="82">
        <f t="shared" si="8"/>
        <v>0</v>
      </c>
      <c r="F17" s="82">
        <f t="shared" si="0"/>
        <v>0</v>
      </c>
      <c r="G17" s="82">
        <f t="shared" si="1"/>
        <v>0</v>
      </c>
      <c r="H17" s="84">
        <f t="shared" si="2"/>
        <v>0</v>
      </c>
      <c r="I17" s="7"/>
      <c r="J17" s="127" t="s">
        <v>4</v>
      </c>
      <c r="K17" s="118">
        <f t="shared" si="3"/>
        <v>0</v>
      </c>
      <c r="L17" s="118">
        <f t="shared" si="4"/>
        <v>0</v>
      </c>
      <c r="M17" s="118">
        <f t="shared" si="5"/>
        <v>0</v>
      </c>
      <c r="N17" s="119">
        <f t="shared" si="6"/>
        <v>0</v>
      </c>
      <c r="O17" s="133"/>
      <c r="P17" s="7"/>
    </row>
    <row r="18" spans="1:16" x14ac:dyDescent="0.3">
      <c r="A18" s="7"/>
      <c r="B18" s="33" t="s">
        <v>5</v>
      </c>
      <c r="C18" s="82">
        <v>0</v>
      </c>
      <c r="D18" s="83">
        <f t="shared" si="7"/>
        <v>0</v>
      </c>
      <c r="E18" s="82">
        <f t="shared" si="8"/>
        <v>0</v>
      </c>
      <c r="F18" s="82">
        <f t="shared" si="0"/>
        <v>0</v>
      </c>
      <c r="G18" s="82">
        <f t="shared" si="1"/>
        <v>0</v>
      </c>
      <c r="H18" s="84">
        <f t="shared" si="2"/>
        <v>0</v>
      </c>
      <c r="I18" s="7"/>
      <c r="J18" s="127" t="s">
        <v>5</v>
      </c>
      <c r="K18" s="118">
        <f t="shared" si="3"/>
        <v>0</v>
      </c>
      <c r="L18" s="118">
        <f t="shared" si="4"/>
        <v>0</v>
      </c>
      <c r="M18" s="118">
        <f t="shared" si="5"/>
        <v>0</v>
      </c>
      <c r="N18" s="119">
        <f t="shared" si="6"/>
        <v>0</v>
      </c>
      <c r="O18" s="23"/>
      <c r="P18" s="7"/>
    </row>
    <row r="19" spans="1:16" x14ac:dyDescent="0.3">
      <c r="A19" s="7"/>
      <c r="B19" s="33" t="s">
        <v>6</v>
      </c>
      <c r="C19" s="82">
        <v>0</v>
      </c>
      <c r="D19" s="83">
        <f t="shared" si="7"/>
        <v>0</v>
      </c>
      <c r="E19" s="82">
        <f t="shared" si="8"/>
        <v>0</v>
      </c>
      <c r="F19" s="82">
        <f t="shared" si="0"/>
        <v>0</v>
      </c>
      <c r="G19" s="82">
        <f t="shared" si="1"/>
        <v>0</v>
      </c>
      <c r="H19" s="84">
        <f t="shared" si="2"/>
        <v>0</v>
      </c>
      <c r="I19" s="7"/>
      <c r="J19" s="127" t="s">
        <v>6</v>
      </c>
      <c r="K19" s="118">
        <f t="shared" si="3"/>
        <v>0</v>
      </c>
      <c r="L19" s="118">
        <f t="shared" si="4"/>
        <v>0</v>
      </c>
      <c r="M19" s="118">
        <f t="shared" si="5"/>
        <v>0</v>
      </c>
      <c r="N19" s="119">
        <f t="shared" si="6"/>
        <v>0</v>
      </c>
      <c r="O19" s="23"/>
      <c r="P19" s="7"/>
    </row>
    <row r="20" spans="1:16" x14ac:dyDescent="0.3">
      <c r="A20" s="7"/>
      <c r="B20" s="33" t="s">
        <v>7</v>
      </c>
      <c r="C20" s="82">
        <v>0</v>
      </c>
      <c r="D20" s="83">
        <f t="shared" si="7"/>
        <v>0</v>
      </c>
      <c r="E20" s="82">
        <f t="shared" si="8"/>
        <v>0</v>
      </c>
      <c r="F20" s="82">
        <f t="shared" si="0"/>
        <v>0</v>
      </c>
      <c r="G20" s="82">
        <f t="shared" si="1"/>
        <v>0</v>
      </c>
      <c r="H20" s="84">
        <f t="shared" si="2"/>
        <v>0</v>
      </c>
      <c r="I20" s="7"/>
      <c r="J20" s="127" t="s">
        <v>7</v>
      </c>
      <c r="K20" s="118">
        <f t="shared" si="3"/>
        <v>0</v>
      </c>
      <c r="L20" s="118">
        <f t="shared" si="4"/>
        <v>0</v>
      </c>
      <c r="M20" s="118">
        <f t="shared" si="5"/>
        <v>0</v>
      </c>
      <c r="N20" s="119">
        <f t="shared" si="6"/>
        <v>0</v>
      </c>
      <c r="O20" s="23"/>
      <c r="P20" s="7"/>
    </row>
    <row r="21" spans="1:16" x14ac:dyDescent="0.3">
      <c r="A21" s="7"/>
      <c r="B21" s="33" t="s">
        <v>8</v>
      </c>
      <c r="C21" s="82">
        <v>1.5</v>
      </c>
      <c r="D21" s="83">
        <f t="shared" si="7"/>
        <v>1.4999999999999999E-2</v>
      </c>
      <c r="E21" s="82">
        <f t="shared" si="8"/>
        <v>4.6824408468244085</v>
      </c>
      <c r="F21" s="82">
        <f t="shared" si="0"/>
        <v>6.7740478699382809</v>
      </c>
      <c r="G21" s="82">
        <f t="shared" si="1"/>
        <v>33.657534246575338</v>
      </c>
      <c r="H21" s="84">
        <f t="shared" si="2"/>
        <v>39.255607406292341</v>
      </c>
      <c r="I21" s="7"/>
      <c r="J21" s="127" t="s">
        <v>8</v>
      </c>
      <c r="K21" s="118">
        <f t="shared" si="3"/>
        <v>22.56</v>
      </c>
      <c r="L21" s="118">
        <f t="shared" si="4"/>
        <v>29.699999999999996</v>
      </c>
      <c r="M21" s="118">
        <f t="shared" si="5"/>
        <v>162.16199999999998</v>
      </c>
      <c r="N21" s="119">
        <f t="shared" si="6"/>
        <v>172.11149999999998</v>
      </c>
      <c r="O21" s="23"/>
      <c r="P21" s="7"/>
    </row>
    <row r="22" spans="1:16" x14ac:dyDescent="0.3">
      <c r="A22" s="7"/>
      <c r="B22" s="33" t="s">
        <v>9</v>
      </c>
      <c r="C22" s="82">
        <v>9</v>
      </c>
      <c r="D22" s="83">
        <f t="shared" si="7"/>
        <v>0.09</v>
      </c>
      <c r="E22" s="82">
        <f t="shared" si="8"/>
        <v>28.094645080946449</v>
      </c>
      <c r="F22" s="82">
        <f t="shared" si="0"/>
        <v>40.644287219629682</v>
      </c>
      <c r="G22" s="82">
        <f t="shared" si="1"/>
        <v>201.94520547945206</v>
      </c>
      <c r="H22" s="84">
        <f t="shared" si="2"/>
        <v>235.53364443775405</v>
      </c>
      <c r="I22" s="7"/>
      <c r="J22" s="127" t="s">
        <v>9</v>
      </c>
      <c r="K22" s="118">
        <f t="shared" si="3"/>
        <v>135.35999999999999</v>
      </c>
      <c r="L22" s="118">
        <f t="shared" si="4"/>
        <v>178.19999999999996</v>
      </c>
      <c r="M22" s="118">
        <f t="shared" si="5"/>
        <v>972.97199999999987</v>
      </c>
      <c r="N22" s="119">
        <f t="shared" si="6"/>
        <v>1032.6689999999999</v>
      </c>
      <c r="O22" s="23"/>
      <c r="P22" s="7"/>
    </row>
    <row r="23" spans="1:16" x14ac:dyDescent="0.3">
      <c r="A23" s="7"/>
      <c r="B23" s="33" t="s">
        <v>10</v>
      </c>
      <c r="C23" s="82">
        <v>13.8</v>
      </c>
      <c r="D23" s="83">
        <f t="shared" si="7"/>
        <v>0.13800000000000001</v>
      </c>
      <c r="E23" s="82">
        <f t="shared" si="8"/>
        <v>43.078455790784567</v>
      </c>
      <c r="F23" s="82">
        <f t="shared" si="0"/>
        <v>62.321240403432199</v>
      </c>
      <c r="G23" s="82">
        <f t="shared" si="1"/>
        <v>309.64931506849319</v>
      </c>
      <c r="H23" s="84">
        <f t="shared" si="2"/>
        <v>361.15158813788958</v>
      </c>
      <c r="I23" s="7"/>
      <c r="J23" s="127" t="s">
        <v>10</v>
      </c>
      <c r="K23" s="118">
        <f t="shared" si="3"/>
        <v>207.55200000000002</v>
      </c>
      <c r="L23" s="118">
        <f t="shared" si="4"/>
        <v>273.24</v>
      </c>
      <c r="M23" s="118">
        <f t="shared" si="5"/>
        <v>1491.8904</v>
      </c>
      <c r="N23" s="119">
        <f t="shared" si="6"/>
        <v>1583.4258</v>
      </c>
      <c r="O23" s="23"/>
      <c r="P23" s="7"/>
    </row>
    <row r="24" spans="1:16" x14ac:dyDescent="0.3">
      <c r="A24" s="7"/>
      <c r="B24" s="33" t="s">
        <v>11</v>
      </c>
      <c r="C24" s="82">
        <v>21.9</v>
      </c>
      <c r="D24" s="83">
        <f t="shared" si="7"/>
        <v>0.21899999999999997</v>
      </c>
      <c r="E24" s="82">
        <f t="shared" si="8"/>
        <v>68.36363636363636</v>
      </c>
      <c r="F24" s="82">
        <f t="shared" si="0"/>
        <v>98.901098901098891</v>
      </c>
      <c r="G24" s="82">
        <f t="shared" si="1"/>
        <v>491.39999999999992</v>
      </c>
      <c r="H24" s="84">
        <f t="shared" si="2"/>
        <v>573.13186813186803</v>
      </c>
      <c r="I24" s="7"/>
      <c r="J24" s="127" t="s">
        <v>11</v>
      </c>
      <c r="K24" s="118">
        <f t="shared" si="3"/>
        <v>329.37599999999998</v>
      </c>
      <c r="L24" s="118">
        <f t="shared" si="4"/>
        <v>433.61999999999989</v>
      </c>
      <c r="M24" s="118">
        <f t="shared" si="5"/>
        <v>2367.5651999999995</v>
      </c>
      <c r="N24" s="119">
        <f t="shared" si="6"/>
        <v>2512.8278999999993</v>
      </c>
      <c r="O24" s="23"/>
      <c r="P24" s="7"/>
    </row>
    <row r="25" spans="1:16" ht="15" thickBot="1" x14ac:dyDescent="0.35">
      <c r="A25" s="7"/>
      <c r="B25" s="36"/>
      <c r="C25" s="37"/>
      <c r="D25" s="37"/>
      <c r="E25" s="85">
        <f>SUM(E13:E24)</f>
        <v>311.85056039850565</v>
      </c>
      <c r="F25" s="85">
        <f>SUM(F13:F24)</f>
        <v>451.15158813788946</v>
      </c>
      <c r="G25" s="85">
        <f>SUM(G13:G24)</f>
        <v>2241.5917808219178</v>
      </c>
      <c r="H25" s="86">
        <f>SUM(H13:H24)</f>
        <v>2614.4234532590699</v>
      </c>
      <c r="I25" s="26"/>
      <c r="J25" s="129"/>
      <c r="K25" s="122">
        <f>SUM(K13:K24)</f>
        <v>1502.4959999999999</v>
      </c>
      <c r="L25" s="122">
        <f t="shared" ref="L25:N25" si="9">SUM(L13:L24)</f>
        <v>1978.02</v>
      </c>
      <c r="M25" s="122">
        <f t="shared" si="9"/>
        <v>10799.989199999998</v>
      </c>
      <c r="N25" s="123">
        <f t="shared" si="9"/>
        <v>11462.625899999999</v>
      </c>
      <c r="O25" s="27"/>
      <c r="P25" s="7"/>
    </row>
  </sheetData>
  <mergeCells count="1">
    <mergeCell ref="B11:H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87D6-1FA7-4DAF-9FC2-9100BC59010A}">
  <dimension ref="A1:AI109"/>
  <sheetViews>
    <sheetView workbookViewId="0">
      <selection activeCell="C8" sqref="C8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5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s="7"/>
      <c r="B5" s="24" t="s">
        <v>190</v>
      </c>
      <c r="C5" s="40">
        <f>'Electricity prod.'!E16</f>
        <v>63572.856914962016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0.34596531029717648</v>
      </c>
      <c r="K5" s="7"/>
      <c r="L5" s="24"/>
      <c r="M5" s="213" t="s">
        <v>293</v>
      </c>
      <c r="N5" s="213"/>
      <c r="O5" s="23">
        <f>SUM(L7:L27)/SUM(M7:M49)</f>
        <v>0.2376084114841282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298905.68069981731</v>
      </c>
      <c r="K6" s="7"/>
      <c r="L6" s="24"/>
      <c r="M6" s="213">
        <f>SUM(H8:H27)</f>
        <v>863975.87215626915</v>
      </c>
      <c r="N6" s="213"/>
      <c r="O6" s="23">
        <f>O5*SUM(M7:M27)</f>
        <v>205287.93454366535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7"/>
      <c r="B7" s="213"/>
      <c r="C7" s="213"/>
      <c r="D7" s="7"/>
      <c r="E7" s="7"/>
      <c r="F7" s="24">
        <v>2050</v>
      </c>
      <c r="G7" s="214">
        <f>SUM(C23,C34,C39)</f>
        <v>194281.21852875175</v>
      </c>
      <c r="H7" s="213"/>
      <c r="I7" s="213"/>
      <c r="J7" s="23"/>
      <c r="K7" s="7"/>
      <c r="L7" s="77">
        <f>SUM(C23,C34,C39)</f>
        <v>194281.21852875175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3">
      <c r="A8" s="7"/>
      <c r="B8" s="213"/>
      <c r="C8" s="213"/>
      <c r="D8" s="7"/>
      <c r="E8" s="7"/>
      <c r="F8" s="24">
        <v>1</v>
      </c>
      <c r="G8" s="213">
        <f>SUM(C$26,C$38,(Cases!$AC$25*sensitivity!$C$12),(-Cases!$L$25*sensitivity!$C$11))/((1+C$2)^F8)</f>
        <v>7402.3567824407946</v>
      </c>
      <c r="H8" s="213">
        <f>C$5/((1+C$2)^F8)</f>
        <v>61127.747033617321</v>
      </c>
      <c r="I8" s="213"/>
      <c r="J8" s="23"/>
      <c r="K8" s="7"/>
      <c r="L8" s="24">
        <f>SUM(C$26,C$38,(Cases!$AC$25*sensitivity!$D$12),(-Cases!$L$25*sensitivity!$D$11))/((1+C$2)^F8)</f>
        <v>778.74368244951813</v>
      </c>
      <c r="M8" s="213">
        <f>C$5/((1+C$2)^F8)</f>
        <v>61127.747033617321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3">
      <c r="A9" s="7"/>
      <c r="B9" s="213"/>
      <c r="C9" s="213"/>
      <c r="D9" s="7"/>
      <c r="E9" s="7"/>
      <c r="F9" s="24">
        <v>2</v>
      </c>
      <c r="G9" s="213">
        <f>SUM(C$26,C$38,(Cases!$AC$25*sensitivity!$C$12),(-Cases!$L$25*sensitivity!$C$11))/((1+C$2)^F9)</f>
        <v>7117.6507523469172</v>
      </c>
      <c r="H9" s="213">
        <f>C$5/((1+C$2)^F9)</f>
        <v>58776.679840016652</v>
      </c>
      <c r="I9" s="213"/>
      <c r="J9" s="23"/>
      <c r="K9" s="7"/>
      <c r="L9" s="24">
        <f>SUM(C$26,C$38,(Cases!$AC$25*sensitivity!$D$12),(-Cases!$L$25*sensitivity!$D$11))/((1+C$2)^F9)</f>
        <v>748.79200235530584</v>
      </c>
      <c r="M9" s="213">
        <f>C$5/((1+C$2)^F9)</f>
        <v>58776.679840016652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3">
      <c r="A10" s="7"/>
      <c r="B10" s="176"/>
      <c r="C10" s="176"/>
      <c r="D10" s="7"/>
      <c r="E10" s="7"/>
      <c r="F10" s="24">
        <v>3</v>
      </c>
      <c r="G10" s="213">
        <f>SUM(C$26,C$38,(Cases!$AC$25*sensitivity!$C$12),(-Cases!$L$25*sensitivity!$C$11))/((1+C$2)^F10)</f>
        <v>6843.8949541797283</v>
      </c>
      <c r="H10" s="213">
        <f>C$5/((1+C$2)^F10)</f>
        <v>56516.038307708317</v>
      </c>
      <c r="I10" s="213"/>
      <c r="J10" s="23"/>
      <c r="K10" s="7"/>
      <c r="L10" s="24">
        <f>SUM(C$26,C$38,(Cases!$AC$25*sensitivity!$D$12),(-Cases!$L$25*sensitivity!$D$11))/((1+C$2)^F10)</f>
        <v>719.99230995702487</v>
      </c>
      <c r="M10" s="213">
        <f>C$5/((1+C$2)^F10)</f>
        <v>56516.038307708317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x14ac:dyDescent="0.3">
      <c r="A11" s="7"/>
      <c r="B11" s="176"/>
      <c r="C11" s="176"/>
      <c r="D11" s="7"/>
      <c r="E11" s="7"/>
      <c r="F11" s="24">
        <v>4</v>
      </c>
      <c r="G11" s="213">
        <f>SUM(C$26,C$38,(Cases!$AC$25*sensitivity!$C$12),(-Cases!$L$25*sensitivity!$C$11))/((1+C$2)^F11)</f>
        <v>6580.6682251728153</v>
      </c>
      <c r="H11" s="213">
        <f>C$5/((1+C$2)^F11)</f>
        <v>54342.344526642606</v>
      </c>
      <c r="I11" s="213"/>
      <c r="J11" s="23"/>
      <c r="K11" s="7"/>
      <c r="L11" s="24">
        <f>SUM(C$26,C$38,(Cases!$AC$25*sensitivity!$D$12),(-Cases!$L$25*sensitivity!$D$11))/((1+C$2)^F11)</f>
        <v>692.3002980356008</v>
      </c>
      <c r="M11" s="213">
        <f>C$5/((1+C$2)^F11)</f>
        <v>54342.344526642606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3">
      <c r="A12" s="7"/>
      <c r="B12" s="213"/>
      <c r="C12" s="213"/>
      <c r="D12" s="7"/>
      <c r="E12" s="7"/>
      <c r="F12" s="24">
        <v>5</v>
      </c>
      <c r="G12" s="213">
        <f>SUM(C$26,C$38,(Cases!$AC$25*sensitivity!$C$12),(-Cases!$L$25*sensitivity!$C$11))/((1+C$2)^F12)</f>
        <v>6327.565601127706</v>
      </c>
      <c r="H12" s="213">
        <f>C$5/((1+C$2)^F12)</f>
        <v>52252.254352540964</v>
      </c>
      <c r="I12" s="213"/>
      <c r="J12" s="23"/>
      <c r="K12" s="7"/>
      <c r="L12" s="24">
        <f>SUM(C$26,C$38,(Cases!$AC$25*sensitivity!$D$12),(-Cases!$L$25*sensitivity!$D$11))/((1+C$2)^F12)</f>
        <v>665.67336349576988</v>
      </c>
      <c r="M12" s="213">
        <f>C$5/((1+C$2)^F12)</f>
        <v>52252.254352540964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3">
      <c r="A13" s="7"/>
      <c r="B13" s="213"/>
      <c r="C13" s="213"/>
      <c r="D13" s="7"/>
      <c r="E13" s="7"/>
      <c r="F13" s="24">
        <v>6</v>
      </c>
      <c r="G13" s="213">
        <f>SUM(C$26,C$38,(Cases!$AC$25*sensitivity!$C$12),(-Cases!$L$25*sensitivity!$C$11))/((1+C$2)^F13)</f>
        <v>6084.197693392025</v>
      </c>
      <c r="H13" s="213">
        <f>C$5/((1+C$2)^F13)</f>
        <v>50242.55226205862</v>
      </c>
      <c r="I13" s="213"/>
      <c r="J13" s="23"/>
      <c r="K13" s="7"/>
      <c r="L13" s="24">
        <f>SUM(C$26,C$38,(Cases!$AC$25*sensitivity!$D$12),(-Cases!$L$25*sensitivity!$D$11))/((1+C$2)^F13)</f>
        <v>640.07054182285572</v>
      </c>
      <c r="M13" s="213">
        <f>C$5/((1+C$2)^F13)</f>
        <v>50242.55226205862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3">
      <c r="A14" s="7"/>
      <c r="B14" s="213"/>
      <c r="C14" s="213"/>
      <c r="D14" s="7"/>
      <c r="E14" s="7"/>
      <c r="F14" s="24">
        <v>7</v>
      </c>
      <c r="G14" s="213">
        <f>SUM(C$26,C$38,(Cases!$AC$25*sensitivity!$C$12),(-Cases!$L$25*sensitivity!$C$11))/((1+C$2)^F14)</f>
        <v>5850.1900898000249</v>
      </c>
      <c r="H14" s="213">
        <f>C$5/((1+C$2)^F14)</f>
        <v>48310.146405825602</v>
      </c>
      <c r="I14" s="213"/>
      <c r="J14" s="23"/>
      <c r="K14" s="7"/>
      <c r="L14" s="24">
        <f>SUM(C$26,C$38,(Cases!$AC$25*sensitivity!$D$12),(-Cases!$L$25*sensitivity!$D$11))/((1+C$2)^F14)</f>
        <v>615.45244406043821</v>
      </c>
      <c r="M14" s="213">
        <f>C$5/((1+C$2)^F14)</f>
        <v>48310.146405825602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3">
      <c r="A15" s="7"/>
      <c r="D15" s="7"/>
      <c r="E15" s="7"/>
      <c r="F15" s="24">
        <v>8</v>
      </c>
      <c r="G15" s="213">
        <f>SUM(C$26,C$38,(Cases!$AC$25*sensitivity!$C$12),(-Cases!$L$25*sensitivity!$C$11))/((1+C$2)^F15)</f>
        <v>5625.1827786538688</v>
      </c>
      <c r="H15" s="213">
        <f>C$5/((1+C$2)^F15)</f>
        <v>46452.063851755374</v>
      </c>
      <c r="I15" s="213"/>
      <c r="J15" s="23"/>
      <c r="K15" s="7"/>
      <c r="L15" s="24">
        <f>SUM(C$26,C$38,(Cases!$AC$25*sensitivity!$D$12),(-Cases!$L$25*sensitivity!$D$11))/((1+C$2)^F15)</f>
        <v>591.7811962119597</v>
      </c>
      <c r="M15" s="213">
        <f>C$5/((1+C$2)^F15)</f>
        <v>46452.063851755374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3">
      <c r="A16" s="7"/>
      <c r="B16" s="7"/>
      <c r="C16" s="7"/>
      <c r="D16" s="7"/>
      <c r="E16" s="7"/>
      <c r="F16" s="24">
        <v>9</v>
      </c>
      <c r="G16" s="213">
        <f>SUM(C$26,C$38,(Cases!$AC$25*sensitivity!$C$12),(-Cases!$L$25*sensitivity!$C$11))/((1+C$2)^F16)</f>
        <v>5408.8295948594887</v>
      </c>
      <c r="H16" s="213">
        <f>C$5/((1+C$2)^F16)</f>
        <v>44665.44601130324</v>
      </c>
      <c r="I16" s="213"/>
      <c r="J16" s="23"/>
      <c r="K16" s="7"/>
      <c r="L16" s="24">
        <f>SUM(C$26,C$38,(Cases!$AC$25*sensitivity!$D$12),(-Cases!$L$25*sensitivity!$D$11))/((1+C$2)^F16)</f>
        <v>569.02038097303807</v>
      </c>
      <c r="M16" s="213">
        <f>C$5/((1+C$2)^F16)</f>
        <v>44665.44601130324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SUM(C$26,C$38,(Cases!$AC$25*sensitivity!$C$12),(-Cases!$L$25*sensitivity!$C$11))/((1+C$2)^F17)</f>
        <v>5200.7976873648931</v>
      </c>
      <c r="H17" s="213">
        <f>C$5/((1+C$2)^F17)</f>
        <v>42947.544241637734</v>
      </c>
      <c r="I17" s="213"/>
      <c r="J17" s="23"/>
      <c r="K17" s="7"/>
      <c r="L17" s="24">
        <f>SUM(C$26,C$38,(Cases!$AC$25*sensitivity!$D$12),(-Cases!$L$25*sensitivity!$D$11))/((1+C$2)^F17)</f>
        <v>547.13498170484434</v>
      </c>
      <c r="M17" s="213">
        <f>C$5/((1+C$2)^F17)</f>
        <v>42947.544241637734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SUM(C$26,C$38,(Cases!$AC$25*sensitivity!$C$12),(-Cases!$L$25*sensitivity!$C$11))/((1+C$2)^F18)</f>
        <v>5000.7670070816284</v>
      </c>
      <c r="H18" s="213">
        <f>C$5/((1+C$2)^F18)</f>
        <v>41295.715616959365</v>
      </c>
      <c r="I18" s="213"/>
      <c r="J18" s="23"/>
      <c r="K18" s="7"/>
      <c r="L18" s="24">
        <f>SUM(C$26,C$38,(Cases!$AC$25*sensitivity!$D$12),(-Cases!$L$25*sensitivity!$D$11))/((1+C$2)^F18)</f>
        <v>526.09132856235033</v>
      </c>
      <c r="M18" s="213">
        <f>C$5/((1+C$2)^F18)</f>
        <v>41295.715616959365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SUM(C$26,C$38,(Cases!$AC$25*sensitivity!$C$12),(-Cases!$L$25*sensitivity!$C$11))/((1+C$2)^F19)</f>
        <v>4808.4298145015646</v>
      </c>
      <c r="H19" s="213">
        <f>C$5/((1+C$2)^F19)</f>
        <v>39707.418862460916</v>
      </c>
      <c r="I19" s="213"/>
      <c r="J19" s="23"/>
      <c r="K19" s="7"/>
      <c r="L19" s="24">
        <f>SUM(C$26,C$38,(Cases!$AC$25*sensitivity!$D$12),(-Cases!$L$25*sensitivity!$D$11))/((1+C$2)^F19)</f>
        <v>505.85704669456754</v>
      </c>
      <c r="M19" s="213">
        <f>C$5/((1+C$2)^F19)</f>
        <v>39707.418862460916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SUM(C$26,C$38,(Cases!$AC$25*sensitivity!$C$12),(-Cases!$L$25*sensitivity!$C$11))/((1+C$2)^F20)</f>
        <v>4623.4902062515048</v>
      </c>
      <c r="H20" s="213">
        <f>C$5/((1+C$2)^F20)</f>
        <v>38180.210444673961</v>
      </c>
      <c r="I20" s="213"/>
      <c r="J20" s="23"/>
      <c r="K20" s="7"/>
      <c r="L20" s="24">
        <f>SUM(C$26,C$38,(Cases!$AC$25*sensitivity!$D$12),(-Cases!$L$25*sensitivity!$D$11))/((1+C$2)^F20)</f>
        <v>486.40100643708416</v>
      </c>
      <c r="M20" s="213">
        <f>C$5/((1+C$2)^F20)</f>
        <v>38180.210444673961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3">
      <c r="A21" s="7"/>
      <c r="B21" s="24" t="s">
        <v>176</v>
      </c>
      <c r="C21" s="42">
        <f>'Electricity prod.'!M17</f>
        <v>219.73942597709205</v>
      </c>
      <c r="D21" s="7"/>
      <c r="E21" s="7"/>
      <c r="F21" s="24">
        <v>14</v>
      </c>
      <c r="G21" s="213">
        <f>SUM(C$26,C$38,(Cases!$AC$25*sensitivity!$C$12),(-Cases!$L$25*sensitivity!$C$11))/((1+C$2)^F21)</f>
        <v>4445.6636598572159</v>
      </c>
      <c r="H21" s="213">
        <f>C$5/((1+C$2)^F21)</f>
        <v>36711.740812186501</v>
      </c>
      <c r="I21" s="213"/>
      <c r="J21" s="23"/>
      <c r="K21" s="7"/>
      <c r="L21" s="24">
        <f>SUM(C$26,C$38,(Cases!$AC$25*sensitivity!$D$12),(-Cases!$L$25*sensitivity!$D$11))/((1+C$2)^F21)</f>
        <v>467.69327542027327</v>
      </c>
      <c r="M21" s="213">
        <f>C$5/((1+C$2)^F21)</f>
        <v>36711.740812186501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SUM(C$26,C$38,(Cases!$AC$25*sensitivity!$C$12),(-Cases!$L$25*sensitivity!$C$11))/((1+C$2)^F22)</f>
        <v>4274.676596016554</v>
      </c>
      <c r="H22" s="213">
        <f>C$5/((1+C$2)^F22)</f>
        <v>35299.750780948554</v>
      </c>
      <c r="I22" s="213"/>
      <c r="J22" s="23"/>
      <c r="K22" s="7"/>
      <c r="L22" s="24">
        <f>SUM(C$26,C$38,(Cases!$AC$25*sensitivity!$D$12),(-Cases!$L$25*sensitivity!$D$11))/((1+C$2)^F22)</f>
        <v>449.70507251949351</v>
      </c>
      <c r="M22" s="213">
        <f>C$5/((1+C$2)^F22)</f>
        <v>35299.750780948554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SUM(C$26,C$38,(Cases!$AC$25*sensitivity!$C$12),(-Cases!$L$25*sensitivity!$C$11))/((1+C$2)^F23)</f>
        <v>4110.2659577082241</v>
      </c>
      <c r="H23" s="213">
        <f>C$5/((1+C$2)^F23)</f>
        <v>33942.068058604375</v>
      </c>
      <c r="I23" s="213"/>
      <c r="J23" s="23"/>
      <c r="K23" s="7"/>
      <c r="L23" s="24">
        <f>SUM(C$26,C$38,(Cases!$AC$25*sensitivity!$D$12),(-Cases!$L$25*sensitivity!$D$11))/((1+C$2)^F23)</f>
        <v>432.40872357643599</v>
      </c>
      <c r="M23" s="213">
        <f>C$5/((1+C$2)^F23)</f>
        <v>33942.068058604375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SUM(C$26,C$38,(Cases!$AC$25*sensitivity!$C$12),(-Cases!$L$25*sensitivity!$C$11))/((1+C$2)^F24)</f>
        <v>3952.178805488677</v>
      </c>
      <c r="H24" s="213">
        <f>C$5/((1+C$2)^F24)</f>
        <v>32636.603902504208</v>
      </c>
      <c r="I24" s="213"/>
      <c r="J24" s="23"/>
      <c r="K24" s="7"/>
      <c r="L24" s="24">
        <f>SUM(C$26,C$38,(Cases!$AC$25*sensitivity!$D$12),(-Cases!$L$25*sensitivity!$D$11))/((1+C$2)^F24)</f>
        <v>415.77761882349614</v>
      </c>
      <c r="M24" s="213">
        <f>C$5/((1+C$2)^F24)</f>
        <v>32636.603902504208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3">
      <c r="A25" s="7"/>
      <c r="B25" s="24"/>
      <c r="C25" s="23"/>
      <c r="D25" s="7"/>
      <c r="E25" s="7"/>
      <c r="F25" s="24">
        <v>18</v>
      </c>
      <c r="G25" s="213">
        <f>SUM(C$26,C$38,(Cases!$AC$25*sensitivity!$C$12),(-Cases!$L$25*sensitivity!$C$11))/((1+C$2)^F25)</f>
        <v>3800.1719283544967</v>
      </c>
      <c r="H25" s="213">
        <f>C$5/((1+C$2)^F25)</f>
        <v>31381.349906254043</v>
      </c>
      <c r="I25" s="213"/>
      <c r="J25" s="23"/>
      <c r="K25" s="7"/>
      <c r="L25" s="24">
        <f>SUM(C$26,C$38,(Cases!$AC$25*sensitivity!$D$12),(-Cases!$L$25*sensitivity!$D$11))/((1+C$2)^F25)</f>
        <v>399.78617194566931</v>
      </c>
      <c r="M25" s="213">
        <f>C$5/((1+C$2)^F25)</f>
        <v>31381.349906254043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3">
      <c r="A26" s="7"/>
      <c r="B26" s="24" t="s">
        <v>237</v>
      </c>
      <c r="C26" s="23">
        <f>C24*C5</f>
        <v>1271.4571382992403</v>
      </c>
      <c r="D26" s="7"/>
      <c r="E26" s="7"/>
      <c r="F26" s="24">
        <v>19</v>
      </c>
      <c r="G26" s="213">
        <f>SUM(C$26,C$38,(Cases!$AC$25*sensitivity!$C$12),(-Cases!$L$25*sensitivity!$C$11))/((1+C$2)^F26)</f>
        <v>3654.0114695716316</v>
      </c>
      <c r="H26" s="213">
        <f>C$5/((1+C$2)^F26)</f>
        <v>30174.374909859656</v>
      </c>
      <c r="I26" s="213"/>
      <c r="J26" s="23"/>
      <c r="K26" s="7"/>
      <c r="L26" s="24">
        <f>SUM(C$26,C$38,(Cases!$AC$25*sensitivity!$D$12),(-Cases!$L$25*sensitivity!$D$11))/((1+C$2)^F26)</f>
        <v>384.40978071698976</v>
      </c>
      <c r="M26" s="213">
        <f>C$5/((1+C$2)^F26)</f>
        <v>30174.374909859656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SUM(C$26,C$38,(Cases!$AC$25*sensitivity!$C$12),(-Cases!$L$25*sensitivity!$C$11))/((1+C$2)^F27)</f>
        <v>3513.4725668957994</v>
      </c>
      <c r="H27" s="26">
        <f>C$5/((1+C$2)^F27)</f>
        <v>29013.822028711209</v>
      </c>
      <c r="I27" s="26"/>
      <c r="J27" s="27"/>
      <c r="K27" s="7"/>
      <c r="L27" s="25">
        <f>SUM(C$26,C$38,(Cases!$AC$25*sensitivity!$D$12),(-Cases!$L$25*sensitivity!$D$11))/((1+C$2)^F27)</f>
        <v>369.6247891509517</v>
      </c>
      <c r="M27" s="26">
        <f>C$5/((1+C$2)^F27)</f>
        <v>29013.822028711209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3">
      <c r="A48" s="7"/>
      <c r="B48" s="24" t="s">
        <v>185</v>
      </c>
      <c r="C48" s="42">
        <f>Cases!L29</f>
        <v>162.47864097688677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3">
      <c r="A50" s="7"/>
      <c r="B50" s="24" t="s">
        <v>222</v>
      </c>
      <c r="C50" s="23">
        <f>C48*C49</f>
        <v>43026.751221657054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3">
      <c r="A53" s="7"/>
      <c r="B53" s="24" t="s">
        <v>223</v>
      </c>
      <c r="C53" s="23">
        <f>C50+C52+2000</f>
        <v>45766.751221657054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3">
      <c r="A54" s="7"/>
      <c r="B54" s="24" t="s">
        <v>214</v>
      </c>
      <c r="C54" s="23">
        <f>C50*K78</f>
        <v>1914.812769773037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148818.18760567674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22687.662527543453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0.49787674579236491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22687.662527543453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680.62987582630353</v>
      </c>
      <c r="M67" s="26">
        <f>(M66/100)*M63</f>
        <v>789.18304842961788</v>
      </c>
      <c r="N67" s="27">
        <f>SUM(K67:M67)</f>
        <v>3017.1977170484606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  <c r="AG84" s="7"/>
      <c r="AH84" s="7"/>
      <c r="AI84" s="7"/>
    </row>
    <row r="85" spans="1:35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  <c r="AG85" s="7"/>
      <c r="AH85" s="7"/>
      <c r="AI85" s="7"/>
    </row>
    <row r="86" spans="1:35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  <c r="AG86" s="7"/>
      <c r="AH86" s="7"/>
      <c r="AI86" s="7"/>
    </row>
    <row r="87" spans="1:35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  <c r="AG87" s="7"/>
      <c r="AH87" s="7"/>
      <c r="AI87" s="7"/>
    </row>
    <row r="88" spans="1:35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  <c r="AG88" s="7"/>
      <c r="AH88" s="7"/>
      <c r="AI88" s="7"/>
    </row>
    <row r="89" spans="1:35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X88</f>
        <v>29652.351978281833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  <c r="AG89" s="7"/>
      <c r="AH89" s="7"/>
      <c r="AI89" s="7"/>
    </row>
    <row r="90" spans="1:35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890.46102036882394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37.812770879239089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22687.662527543453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890.46102036882394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37.812770879239089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  <c r="AG100" s="7"/>
      <c r="AH100" s="7"/>
      <c r="AI100" s="7"/>
    </row>
    <row r="101" spans="1:3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EB29-29A3-4524-B046-5613C15C8938}">
  <dimension ref="A1:AF103"/>
  <sheetViews>
    <sheetView workbookViewId="0">
      <selection activeCell="B25" sqref="B25:C25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3">
      <c r="A5" s="7"/>
      <c r="B5" s="24" t="s">
        <v>190</v>
      </c>
      <c r="C5" s="40">
        <f>Cases!M30</f>
        <v>63572.856914962016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0.36371493439888342</v>
      </c>
      <c r="K5" s="7"/>
      <c r="L5" s="24"/>
      <c r="M5" s="213" t="s">
        <v>293</v>
      </c>
      <c r="N5" s="213"/>
      <c r="O5" s="23">
        <f>SUM(L7:L27)/SUM(M7:M49)</f>
        <v>0.26381023753902899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314240.92766353552</v>
      </c>
      <c r="K6" s="7"/>
      <c r="L6" s="24"/>
      <c r="M6" s="213">
        <f>SUM(H8:H27)</f>
        <v>863975.87215626915</v>
      </c>
      <c r="N6" s="213"/>
      <c r="O6" s="23">
        <f>O5*SUM(M7:M27)</f>
        <v>227925.68006153509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7"/>
      <c r="D7" s="7"/>
      <c r="E7" s="7"/>
      <c r="F7" s="24">
        <v>2050</v>
      </c>
      <c r="G7" s="214">
        <f>SUM(C23,C34,C39)</f>
        <v>194281.21852875175</v>
      </c>
      <c r="H7" s="213"/>
      <c r="I7" s="213"/>
      <c r="J7" s="23"/>
      <c r="K7" s="7"/>
      <c r="L7" s="77">
        <f>SUM(C23,C34,C39)</f>
        <v>194281.21852875175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3">
      <c r="A8" s="7"/>
      <c r="B8" s="213"/>
      <c r="C8" s="213"/>
      <c r="D8" s="7"/>
      <c r="E8" s="7"/>
      <c r="F8" s="24">
        <v>1</v>
      </c>
      <c r="G8" s="213">
        <f>SUM(C$26,C$38,(Cases!$AD$25*sensitivity!$C$12),(-Cases!$L$25*sensitivity!$C$11))/((1+C$2)^F8)</f>
        <v>8487.3513144717326</v>
      </c>
      <c r="H8" s="213">
        <f>C$5/((1+C$2)^F8)</f>
        <v>61127.747033617321</v>
      </c>
      <c r="I8" s="213"/>
      <c r="J8" s="23"/>
      <c r="K8" s="7"/>
      <c r="L8" s="24">
        <f>SUM(C$26,C$38,(Cases!$AD$25*sensitivity!$D$12),(-Cases!$L$25*sensitivity!$D$11))/((1+C$2)^F8)</f>
        <v>2380.4022773523316</v>
      </c>
      <c r="M8" s="213">
        <f>C$5/((1+C$2)^F8)</f>
        <v>61127.747033617321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"/>
      <c r="B9" s="213"/>
      <c r="C9" s="213"/>
      <c r="D9" s="7"/>
      <c r="E9" s="7"/>
      <c r="F9" s="24">
        <v>2</v>
      </c>
      <c r="G9" s="213">
        <f>SUM(C$26,C$38,(Cases!$AD$25*sensitivity!$C$12),(-Cases!$L$25*sensitivity!$C$11))/((1+C$2)^F9)</f>
        <v>8160.9147254535883</v>
      </c>
      <c r="H9" s="213">
        <f>C$5/((1+C$2)^F9)</f>
        <v>58776.679840016652</v>
      </c>
      <c r="I9" s="213"/>
      <c r="J9" s="23"/>
      <c r="K9" s="7"/>
      <c r="L9" s="24">
        <f>SUM(C$26,C$38,(Cases!$AD$25*sensitivity!$D$12),(-Cases!$L$25*sensitivity!$D$11))/((1+C$2)^F9)</f>
        <v>2288.848343608011</v>
      </c>
      <c r="M9" s="213">
        <f>C$5/((1+C$2)^F9)</f>
        <v>58776.679840016652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7"/>
      <c r="B10" s="176"/>
      <c r="C10" s="176"/>
      <c r="D10" s="7"/>
      <c r="E10" s="7"/>
      <c r="F10" s="24">
        <v>3</v>
      </c>
      <c r="G10" s="213">
        <f>SUM(C$26,C$38,(Cases!$AD$25*sensitivity!$C$12),(-Cases!$L$25*sensitivity!$C$11))/((1+C$2)^F10)</f>
        <v>7847.0333898592198</v>
      </c>
      <c r="H10" s="213">
        <f>C$5/((1+C$2)^F10)</f>
        <v>56516.038307708317</v>
      </c>
      <c r="I10" s="213"/>
      <c r="J10" s="23"/>
      <c r="K10" s="7"/>
      <c r="L10" s="24">
        <f>SUM(C$26,C$38,(Cases!$AD$25*sensitivity!$D$12),(-Cases!$L$25*sensitivity!$D$11))/((1+C$2)^F10)</f>
        <v>2200.8157150077031</v>
      </c>
      <c r="M10" s="213">
        <f>C$5/((1+C$2)^F10)</f>
        <v>56516.038307708317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3">
      <c r="A11" s="7"/>
      <c r="B11" s="176"/>
      <c r="C11" s="176"/>
      <c r="D11" s="7"/>
      <c r="E11" s="7"/>
      <c r="F11" s="24">
        <v>4</v>
      </c>
      <c r="G11" s="213">
        <f>SUM(C$26,C$38,(Cases!$AD$25*sensitivity!$C$12),(-Cases!$L$25*sensitivity!$C$11))/((1+C$2)^F11)</f>
        <v>7545.224413326172</v>
      </c>
      <c r="H11" s="213">
        <f>C$5/((1+C$2)^F11)</f>
        <v>54342.344526642606</v>
      </c>
      <c r="I11" s="213"/>
      <c r="J11" s="23"/>
      <c r="K11" s="7"/>
      <c r="L11" s="24">
        <f>SUM(C$26,C$38,(Cases!$AD$25*sensitivity!$D$12),(-Cases!$L$25*sensitivity!$D$11))/((1+C$2)^F11)</f>
        <v>2116.1689567381759</v>
      </c>
      <c r="M11" s="213">
        <f>C$5/((1+C$2)^F11)</f>
        <v>54342.344526642606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3">
      <c r="A12" s="7"/>
      <c r="B12" s="213"/>
      <c r="C12" s="213"/>
      <c r="D12" s="7"/>
      <c r="E12" s="7"/>
      <c r="F12" s="24">
        <v>5</v>
      </c>
      <c r="G12" s="213">
        <f>SUM(C$26,C$38,(Cases!$AD$25*sensitivity!$C$12),(-Cases!$L$25*sensitivity!$C$11))/((1+C$2)^F12)</f>
        <v>7255.0234743520878</v>
      </c>
      <c r="H12" s="213">
        <f>C$5/((1+C$2)^F12)</f>
        <v>52252.254352540964</v>
      </c>
      <c r="I12" s="213"/>
      <c r="J12" s="23"/>
      <c r="K12" s="7"/>
      <c r="L12" s="24">
        <f>SUM(C$26,C$38,(Cases!$AD$25*sensitivity!$D$12),(-Cases!$L$25*sensitivity!$D$11))/((1+C$2)^F12)</f>
        <v>2034.7778430174765</v>
      </c>
      <c r="M12" s="213">
        <f>C$5/((1+C$2)^F12)</f>
        <v>52252.254352540964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3">
      <c r="A13" s="7"/>
      <c r="B13" s="213"/>
      <c r="C13" s="213"/>
      <c r="D13" s="7"/>
      <c r="E13" s="7"/>
      <c r="F13" s="24">
        <v>6</v>
      </c>
      <c r="G13" s="213">
        <f>SUM(C$26,C$38,(Cases!$AD$25*sensitivity!$C$12),(-Cases!$L$25*sensitivity!$C$11))/((1+C$2)^F13)</f>
        <v>6975.9841099539308</v>
      </c>
      <c r="H13" s="213">
        <f>C$5/((1+C$2)^F13)</f>
        <v>50242.55226205862</v>
      </c>
      <c r="I13" s="213"/>
      <c r="J13" s="23"/>
      <c r="K13" s="7"/>
      <c r="L13" s="24">
        <f>SUM(C$26,C$38,(Cases!$AD$25*sensitivity!$D$12),(-Cases!$L$25*sensitivity!$D$11))/((1+C$2)^F13)</f>
        <v>1956.5171567475734</v>
      </c>
      <c r="M13" s="213">
        <f>C$5/((1+C$2)^F13)</f>
        <v>50242.55226205862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7"/>
      <c r="B14" s="213"/>
      <c r="C14" s="213"/>
      <c r="D14" s="7"/>
      <c r="E14" s="7"/>
      <c r="F14" s="24">
        <v>7</v>
      </c>
      <c r="G14" s="213">
        <f>SUM(C$26,C$38,(Cases!$AD$25*sensitivity!$C$12),(-Cases!$L$25*sensitivity!$C$11))/((1+C$2)^F14)</f>
        <v>6707.677028801857</v>
      </c>
      <c r="H14" s="213">
        <f>C$5/((1+C$2)^F14)</f>
        <v>48310.146405825602</v>
      </c>
      <c r="I14" s="213"/>
      <c r="J14" s="23"/>
      <c r="K14" s="7"/>
      <c r="L14" s="24">
        <f>SUM(C$26,C$38,(Cases!$AD$25*sensitivity!$D$12),(-Cases!$L$25*sensitivity!$D$11))/((1+C$2)^F14)</f>
        <v>1881.2664968726669</v>
      </c>
      <c r="M14" s="213">
        <f>C$5/((1+C$2)^F14)</f>
        <v>48310.146405825602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3">
      <c r="A15" s="7"/>
      <c r="D15" s="7"/>
      <c r="E15" s="7"/>
      <c r="F15" s="24">
        <v>8</v>
      </c>
      <c r="G15" s="213">
        <f>SUM(C$26,C$38,(Cases!$AD$25*sensitivity!$C$12),(-Cases!$L$25*sensitivity!$C$11))/((1+C$2)^F15)</f>
        <v>6449.6894507710158</v>
      </c>
      <c r="H15" s="213">
        <f>C$5/((1+C$2)^F15)</f>
        <v>46452.063851755374</v>
      </c>
      <c r="I15" s="213"/>
      <c r="J15" s="23"/>
      <c r="K15" s="7"/>
      <c r="L15" s="24">
        <f>SUM(C$26,C$38,(Cases!$AD$25*sensitivity!$D$12),(-Cases!$L$25*sensitivity!$D$11))/((1+C$2)^F15)</f>
        <v>1808.9100931467949</v>
      </c>
      <c r="M15" s="213">
        <f>C$5/((1+C$2)^F15)</f>
        <v>46452.063851755374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3">
      <c r="A16" s="7"/>
      <c r="B16" s="7"/>
      <c r="C16" s="7"/>
      <c r="D16" s="7"/>
      <c r="E16" s="7"/>
      <c r="F16" s="24">
        <v>9</v>
      </c>
      <c r="G16" s="213">
        <f>SUM(C$26,C$38,(Cases!$AD$25*sensitivity!$C$12),(-Cases!$L$25*sensitivity!$C$11))/((1+C$2)^F16)</f>
        <v>6201.6244718952066</v>
      </c>
      <c r="H16" s="213">
        <f>C$5/((1+C$2)^F16)</f>
        <v>44665.44601130324</v>
      </c>
      <c r="I16" s="213"/>
      <c r="J16" s="23"/>
      <c r="K16" s="7"/>
      <c r="L16" s="24">
        <f>SUM(C$26,C$38,(Cases!$AD$25*sensitivity!$D$12),(-Cases!$L$25*sensitivity!$D$11))/((1+C$2)^F16)</f>
        <v>1739.3366280257642</v>
      </c>
      <c r="M16" s="213">
        <f>C$5/((1+C$2)^F16)</f>
        <v>44665.44601130324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SUM(C$26,C$38,(Cases!$AD$25*sensitivity!$C$12),(-Cases!$L$25*sensitivity!$C$11))/((1+C$2)^F17)</f>
        <v>5963.100453745391</v>
      </c>
      <c r="H17" s="213">
        <f>C$5/((1+C$2)^F17)</f>
        <v>42947.544241637734</v>
      </c>
      <c r="I17" s="213"/>
      <c r="J17" s="23"/>
      <c r="K17" s="7"/>
      <c r="L17" s="24">
        <f>SUM(C$26,C$38,(Cases!$AD$25*sensitivity!$D$12),(-Cases!$L$25*sensitivity!$D$11))/((1+C$2)^F17)</f>
        <v>1672.4390654093886</v>
      </c>
      <c r="M17" s="213">
        <f>C$5/((1+C$2)^F17)</f>
        <v>42947.544241637734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SUM(C$26,C$38,(Cases!$AD$25*sensitivity!$C$12),(-Cases!$L$25*sensitivity!$C$11))/((1+C$2)^F18)</f>
        <v>5733.7504362936452</v>
      </c>
      <c r="H18" s="213">
        <f>C$5/((1+C$2)^F18)</f>
        <v>41295.715616959365</v>
      </c>
      <c r="I18" s="213"/>
      <c r="J18" s="23"/>
      <c r="K18" s="7"/>
      <c r="L18" s="24">
        <f>SUM(C$26,C$38,(Cases!$AD$25*sensitivity!$D$12),(-Cases!$L$25*sensitivity!$D$11))/((1+C$2)^F18)</f>
        <v>1608.114485970566</v>
      </c>
      <c r="M18" s="213">
        <f>C$5/((1+C$2)^F18)</f>
        <v>41295.715616959365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SUM(C$26,C$38,(Cases!$AD$25*sensitivity!$C$12),(-Cases!$L$25*sensitivity!$C$11))/((1+C$2)^F19)</f>
        <v>5513.221573359273</v>
      </c>
      <c r="H19" s="213">
        <f>C$5/((1+C$2)^F19)</f>
        <v>39707.418862460916</v>
      </c>
      <c r="I19" s="213"/>
      <c r="J19" s="23"/>
      <c r="K19" s="7"/>
      <c r="L19" s="24">
        <f>SUM(C$26,C$38,(Cases!$AD$25*sensitivity!$D$12),(-Cases!$L$25*sensitivity!$D$11))/((1+C$2)^F19)</f>
        <v>1546.2639288178516</v>
      </c>
      <c r="M19" s="213">
        <f>C$5/((1+C$2)^F19)</f>
        <v>39707.418862460916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SUM(C$26,C$38,(Cases!$AD$25*sensitivity!$C$12),(-Cases!$L$25*sensitivity!$C$11))/((1+C$2)^F20)</f>
        <v>5301.1745897685323</v>
      </c>
      <c r="H20" s="213">
        <f>C$5/((1+C$2)^F20)</f>
        <v>38180.210444673961</v>
      </c>
      <c r="I20" s="213"/>
      <c r="J20" s="23"/>
      <c r="K20" s="7"/>
      <c r="L20" s="24">
        <f>SUM(C$26,C$38,(Cases!$AD$25*sensitivity!$D$12),(-Cases!$L$25*sensitivity!$D$11))/((1+C$2)^F20)</f>
        <v>1486.7922392479343</v>
      </c>
      <c r="M20" s="213">
        <f>C$5/((1+C$2)^F20)</f>
        <v>38180.210444673961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3">
      <c r="A21" s="7"/>
      <c r="B21" s="24" t="s">
        <v>176</v>
      </c>
      <c r="C21" s="42">
        <f>'Electricity prod.'!M17</f>
        <v>219.73942597709205</v>
      </c>
      <c r="D21" s="7"/>
      <c r="E21" s="7"/>
      <c r="F21" s="24">
        <v>14</v>
      </c>
      <c r="G21" s="213">
        <f>SUM(C$26,C$38,(Cases!$AD$25*sensitivity!$C$12),(-Cases!$L$25*sensitivity!$C$11))/((1+C$2)^F21)</f>
        <v>5097.2832593928197</v>
      </c>
      <c r="H21" s="213">
        <f>C$5/((1+C$2)^F21)</f>
        <v>36711.740812186501</v>
      </c>
      <c r="I21" s="213"/>
      <c r="J21" s="23"/>
      <c r="K21" s="7"/>
      <c r="L21" s="24">
        <f>SUM(C$26,C$38,(Cases!$AD$25*sensitivity!$D$12),(-Cases!$L$25*sensitivity!$D$11))/((1+C$2)^F21)</f>
        <v>1429.6079223537829</v>
      </c>
      <c r="M21" s="213">
        <f>C$5/((1+C$2)^F21)</f>
        <v>36711.740812186501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SUM(C$26,C$38,(Cases!$AD$25*sensitivity!$C$12),(-Cases!$L$25*sensitivity!$C$11))/((1+C$2)^F22)</f>
        <v>4901.2339032623267</v>
      </c>
      <c r="H22" s="213">
        <f>C$5/((1+C$2)^F22)</f>
        <v>35299.750780948554</v>
      </c>
      <c r="I22" s="213"/>
      <c r="J22" s="23"/>
      <c r="K22" s="7"/>
      <c r="L22" s="24">
        <f>SUM(C$26,C$38,(Cases!$AD$25*sensitivity!$D$12),(-Cases!$L$25*sensitivity!$D$11))/((1+C$2)^F22)</f>
        <v>1374.6230022632528</v>
      </c>
      <c r="M22" s="213">
        <f>C$5/((1+C$2)^F22)</f>
        <v>35299.750780948554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SUM(C$26,C$38,(Cases!$AD$25*sensitivity!$C$12),(-Cases!$L$25*sensitivity!$C$11))/((1+C$2)^F23)</f>
        <v>4712.724906983005</v>
      </c>
      <c r="H23" s="213">
        <f>C$5/((1+C$2)^F23)</f>
        <v>33942.068058604375</v>
      </c>
      <c r="I23" s="213"/>
      <c r="J23" s="23"/>
      <c r="K23" s="7"/>
      <c r="L23" s="24">
        <f>SUM(C$26,C$38,(Cases!$AD$25*sensitivity!$D$12),(-Cases!$L$25*sensitivity!$D$11))/((1+C$2)^F23)</f>
        <v>1321.7528867915892</v>
      </c>
      <c r="M23" s="213">
        <f>C$5/((1+C$2)^F23)</f>
        <v>33942.068058604375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SUM(C$26,C$38,(Cases!$AD$25*sensitivity!$C$12),(-Cases!$L$25*sensitivity!$C$11))/((1+C$2)^F24)</f>
        <v>4531.4662567144278</v>
      </c>
      <c r="H24" s="213">
        <f>C$5/((1+C$2)^F24)</f>
        <v>32636.603902504208</v>
      </c>
      <c r="I24" s="213"/>
      <c r="J24" s="23"/>
      <c r="K24" s="7"/>
      <c r="L24" s="24">
        <f>SUM(C$26,C$38,(Cases!$AD$25*sensitivity!$D$12),(-Cases!$L$25*sensitivity!$D$11))/((1+C$2)^F24)</f>
        <v>1270.9162372996047</v>
      </c>
      <c r="M24" s="213">
        <f>C$5/((1+C$2)^F24)</f>
        <v>32636.603902504208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3">
      <c r="A25" s="7"/>
      <c r="B25" s="24"/>
      <c r="C25" s="23"/>
      <c r="D25" s="7"/>
      <c r="E25" s="7"/>
      <c r="F25" s="24">
        <v>18</v>
      </c>
      <c r="G25" s="213">
        <f>SUM(C$26,C$38,(Cases!$AD$25*sensitivity!$C$12),(-Cases!$L$25*sensitivity!$C$11))/((1+C$2)^F25)</f>
        <v>4357.1790929946419</v>
      </c>
      <c r="H25" s="213">
        <f>C$5/((1+C$2)^F25)</f>
        <v>31381.349906254043</v>
      </c>
      <c r="I25" s="213"/>
      <c r="J25" s="23"/>
      <c r="K25" s="7"/>
      <c r="L25" s="24">
        <f>SUM(C$26,C$38,(Cases!$AD$25*sensitivity!$D$12),(-Cases!$L$25*sensitivity!$D$11))/((1+C$2)^F25)</f>
        <v>1222.0348435573121</v>
      </c>
      <c r="M25" s="213">
        <f>C$5/((1+C$2)^F25)</f>
        <v>31381.349906254043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3">
      <c r="A26" s="7"/>
      <c r="B26" s="24" t="s">
        <v>237</v>
      </c>
      <c r="C26" s="23">
        <f>C24*C5</f>
        <v>1271.4571382992403</v>
      </c>
      <c r="D26" s="7"/>
      <c r="E26" s="7"/>
      <c r="F26" s="24">
        <v>19</v>
      </c>
      <c r="G26" s="213">
        <f>SUM(C$26,C$38,(Cases!$AD$25*sensitivity!$C$12),(-Cases!$L$25*sensitivity!$C$11))/((1+C$2)^F26)</f>
        <v>4189.5952817256175</v>
      </c>
      <c r="H26" s="213">
        <f>C$5/((1+C$2)^F26)</f>
        <v>30174.374909859656</v>
      </c>
      <c r="I26" s="213"/>
      <c r="J26" s="23"/>
      <c r="K26" s="7"/>
      <c r="L26" s="24">
        <f>SUM(C$26,C$38,(Cases!$AD$25*sensitivity!$D$12),(-Cases!$L$25*sensitivity!$D$11))/((1+C$2)^F26)</f>
        <v>1175.0335034204925</v>
      </c>
      <c r="M26" s="213">
        <f>C$5/((1+C$2)^F26)</f>
        <v>30174.374909859656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SUM(C$26,C$38,(Cases!$AD$25*sensitivity!$C$12),(-Cases!$L$25*sensitivity!$C$11))/((1+C$2)^F27)</f>
        <v>4028.4570016592475</v>
      </c>
      <c r="H27" s="26">
        <f>C$5/((1+C$2)^F27)</f>
        <v>29013.822028711209</v>
      </c>
      <c r="I27" s="26"/>
      <c r="J27" s="27"/>
      <c r="K27" s="7"/>
      <c r="L27" s="25">
        <f>SUM(C$26,C$38,(Cases!$AD$25*sensitivity!$D$12),(-Cases!$L$25*sensitivity!$D$11))/((1+C$2)^F27)</f>
        <v>1129.8399071350889</v>
      </c>
      <c r="M27" s="26">
        <f>C$5/((1+C$2)^F27)</f>
        <v>29013.822028711209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24" t="s">
        <v>185</v>
      </c>
      <c r="C48" s="42">
        <f>Cases!M29</f>
        <v>191.92141497068135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24" t="s">
        <v>222</v>
      </c>
      <c r="C50" s="23">
        <f>C48*C49</f>
        <v>50823.633964458219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24" t="s">
        <v>223</v>
      </c>
      <c r="C53" s="23">
        <f>C50+C52+C51</f>
        <v>53563.633964458219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24" t="s">
        <v>214</v>
      </c>
      <c r="C54" s="23">
        <f>C50*K78</f>
        <v>2261.7962211479121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165421.36458685438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26798.89657178296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0.52641572126459157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26798.89657178296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803.96689715348873</v>
      </c>
      <c r="M67" s="26">
        <f>(M66/100)*M63</f>
        <v>789.18304842961788</v>
      </c>
      <c r="N67" s="27">
        <f>SUM(K67:M67)</f>
        <v>3140.5347383756457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</row>
    <row r="85" spans="1:32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</row>
    <row r="86" spans="1:32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</row>
    <row r="87" spans="1:32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</row>
    <row r="88" spans="1:32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</row>
    <row r="89" spans="1:32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Y88</f>
        <v>35025.658232149348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</row>
    <row r="90" spans="1:32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1051.8215685330135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44.664827619638267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26798.89657178296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1051.8215685330135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44.664827619638267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</row>
    <row r="101" spans="1:3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7DF2-FEC1-4A3E-8FEA-91592416C64E}">
  <dimension ref="A1:AF105"/>
  <sheetViews>
    <sheetView workbookViewId="0">
      <selection activeCell="B25" sqref="B25:C25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3">
      <c r="A5" s="7"/>
      <c r="B5" s="24" t="s">
        <v>190</v>
      </c>
      <c r="C5" s="40">
        <f>Cases!N30</f>
        <v>63572.856914962016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0.35990199283741764</v>
      </c>
      <c r="K5" s="7"/>
      <c r="L5" s="24"/>
      <c r="M5" s="213" t="s">
        <v>293</v>
      </c>
      <c r="N5" s="213"/>
      <c r="O5" s="23">
        <f>SUM(L7:L27)/SUM(M7:M49)</f>
        <v>0.2581816095197223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310946.63815248723</v>
      </c>
      <c r="K6" s="7"/>
      <c r="L6" s="24"/>
      <c r="M6" s="213">
        <f>SUM(H8:H27)</f>
        <v>863975.87215626915</v>
      </c>
      <c r="N6" s="213"/>
      <c r="O6" s="23">
        <f>O5*SUM(M7:M27)</f>
        <v>223062.68125951139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7"/>
      <c r="D7" s="7"/>
      <c r="E7" s="7"/>
      <c r="F7" s="24">
        <v>2050</v>
      </c>
      <c r="G7" s="214">
        <f>SUM(C23,C34,C39)</f>
        <v>194281.21852875175</v>
      </c>
      <c r="H7" s="213"/>
      <c r="I7" s="213"/>
      <c r="J7" s="23"/>
      <c r="K7" s="7"/>
      <c r="L7" s="77">
        <f>SUM(C23,C34,C39)</f>
        <v>194281.21852875175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3">
      <c r="A8" s="7"/>
      <c r="B8" s="213"/>
      <c r="C8" s="213"/>
      <c r="D8" s="7"/>
      <c r="E8" s="7"/>
      <c r="F8" s="24">
        <v>1</v>
      </c>
      <c r="G8" s="213">
        <f>SUM(C$26,C$38,(Cases!$AE$25*sensitivity!$C$12),(-Cases!$L$25*sensitivity!$C$11))/((1+C$2)^F8)</f>
        <v>8254.274787248487</v>
      </c>
      <c r="H8" s="213">
        <f>C$5/((1+C$2)^F8)</f>
        <v>61127.747033617321</v>
      </c>
      <c r="I8" s="213"/>
      <c r="J8" s="23"/>
      <c r="K8" s="7"/>
      <c r="L8" s="24">
        <f>SUM(C$26,C$38,(Cases!$AE$25*sensitivity!$D$12),(-Cases!$L$25*sensitivity!$D$11))/((1+C$2)^F8)</f>
        <v>2036.3369276418255</v>
      </c>
      <c r="M8" s="213">
        <f>C$5/((1+C$2)^F8)</f>
        <v>61127.747033617321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"/>
      <c r="B9" s="213"/>
      <c r="C9" s="213"/>
      <c r="D9" s="7"/>
      <c r="E9" s="7"/>
      <c r="F9" s="24">
        <v>2</v>
      </c>
      <c r="G9" s="213">
        <f>SUM(C$26,C$38,(Cases!$AE$25*sensitivity!$C$12),(-Cases!$L$25*sensitivity!$C$11))/((1+C$2)^F9)</f>
        <v>7936.8026800466223</v>
      </c>
      <c r="H9" s="213">
        <f>C$5/((1+C$2)^F9)</f>
        <v>58776.679840016652</v>
      </c>
      <c r="I9" s="213"/>
      <c r="J9" s="23"/>
      <c r="K9" s="7"/>
      <c r="L9" s="24">
        <f>SUM(C$26,C$38,(Cases!$AE$25*sensitivity!$D$12),(-Cases!$L$25*sensitivity!$D$11))/((1+C$2)^F9)</f>
        <v>1958.0162765786781</v>
      </c>
      <c r="M9" s="213">
        <f>C$5/((1+C$2)^F9)</f>
        <v>58776.679840016652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7"/>
      <c r="B10" s="176"/>
      <c r="C10" s="176"/>
      <c r="D10" s="7"/>
      <c r="E10" s="7"/>
      <c r="F10" s="24">
        <v>3</v>
      </c>
      <c r="G10" s="213">
        <f>SUM(C$26,C$38,(Cases!$AE$25*sensitivity!$C$12),(-Cases!$L$25*sensitivity!$C$11))/((1+C$2)^F10)</f>
        <v>7631.5410385063678</v>
      </c>
      <c r="H10" s="213">
        <f>C$5/((1+C$2)^F10)</f>
        <v>56516.038307708317</v>
      </c>
      <c r="I10" s="213"/>
      <c r="J10" s="23"/>
      <c r="K10" s="7"/>
      <c r="L10" s="24">
        <f>SUM(C$26,C$38,(Cases!$AE$25*sensitivity!$D$12),(-Cases!$L$25*sensitivity!$D$11))/((1+C$2)^F10)</f>
        <v>1882.707958248729</v>
      </c>
      <c r="M10" s="213">
        <f>C$5/((1+C$2)^F10)</f>
        <v>56516.038307708317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3">
      <c r="A11" s="7"/>
      <c r="B11" s="176"/>
      <c r="C11" s="176"/>
      <c r="D11" s="7"/>
      <c r="E11" s="7"/>
      <c r="F11" s="24">
        <v>4</v>
      </c>
      <c r="G11" s="213">
        <f>SUM(C$26,C$38,(Cases!$AE$25*sensitivity!$C$12),(-Cases!$L$25*sensitivity!$C$11))/((1+C$2)^F11)</f>
        <v>7338.0202293330449</v>
      </c>
      <c r="H11" s="213">
        <f>C$5/((1+C$2)^F11)</f>
        <v>54342.344526642606</v>
      </c>
      <c r="I11" s="213"/>
      <c r="J11" s="23"/>
      <c r="K11" s="7"/>
      <c r="L11" s="24">
        <f>SUM(C$26,C$38,(Cases!$AE$25*sensitivity!$D$12),(-Cases!$L$25*sensitivity!$D$11))/((1+C$2)^F11)</f>
        <v>1810.2961137007007</v>
      </c>
      <c r="M11" s="213">
        <f>C$5/((1+C$2)^F11)</f>
        <v>54342.344526642606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3">
      <c r="A12" s="7"/>
      <c r="B12" s="213"/>
      <c r="C12" s="213"/>
      <c r="D12" s="7"/>
      <c r="E12" s="7"/>
      <c r="F12" s="24">
        <v>5</v>
      </c>
      <c r="G12" s="213">
        <f>SUM(C$26,C$38,(Cases!$AE$25*sensitivity!$C$12),(-Cases!$L$25*sensitivity!$C$11))/((1+C$2)^F12)</f>
        <v>7055.7886820510039</v>
      </c>
      <c r="H12" s="213">
        <f>C$5/((1+C$2)^F12)</f>
        <v>52252.254352540964</v>
      </c>
      <c r="I12" s="213"/>
      <c r="J12" s="23"/>
      <c r="K12" s="7"/>
      <c r="L12" s="24">
        <f>SUM(C$26,C$38,(Cases!$AE$25*sensitivity!$D$12),(-Cases!$L$25*sensitivity!$D$11))/((1+C$2)^F12)</f>
        <v>1740.6693400968275</v>
      </c>
      <c r="M12" s="213">
        <f>C$5/((1+C$2)^F12)</f>
        <v>52252.254352540964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3">
      <c r="A13" s="7"/>
      <c r="B13" s="213"/>
      <c r="C13" s="213"/>
      <c r="D13" s="7"/>
      <c r="E13" s="7"/>
      <c r="F13" s="24">
        <v>6</v>
      </c>
      <c r="G13" s="213">
        <f>SUM(C$26,C$38,(Cases!$AE$25*sensitivity!$C$12),(-Cases!$L$25*sensitivity!$C$11))/((1+C$2)^F13)</f>
        <v>6784.412194279811</v>
      </c>
      <c r="H13" s="213">
        <f>C$5/((1+C$2)^F13)</f>
        <v>50242.55226205862</v>
      </c>
      <c r="I13" s="213"/>
      <c r="J13" s="23"/>
      <c r="K13" s="7"/>
      <c r="L13" s="24">
        <f>SUM(C$26,C$38,(Cases!$AE$25*sensitivity!$D$12),(-Cases!$L$25*sensitivity!$D$11))/((1+C$2)^F13)</f>
        <v>1673.7205193238726</v>
      </c>
      <c r="M13" s="213">
        <f>C$5/((1+C$2)^F13)</f>
        <v>50242.55226205862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7"/>
      <c r="B14" s="213"/>
      <c r="C14" s="213"/>
      <c r="D14" s="7"/>
      <c r="E14" s="7"/>
      <c r="F14" s="24">
        <v>7</v>
      </c>
      <c r="G14" s="213">
        <f>SUM(C$26,C$38,(Cases!$AE$25*sensitivity!$C$12),(-Cases!$L$25*sensitivity!$C$11))/((1+C$2)^F14)</f>
        <v>6523.4732637305888</v>
      </c>
      <c r="H14" s="213">
        <f>C$5/((1+C$2)^F14)</f>
        <v>48310.146405825602</v>
      </c>
      <c r="I14" s="213"/>
      <c r="J14" s="23"/>
      <c r="K14" s="7"/>
      <c r="L14" s="24">
        <f>SUM(C$26,C$38,(Cases!$AE$25*sensitivity!$D$12),(-Cases!$L$25*sensitivity!$D$11))/((1+C$2)^F14)</f>
        <v>1609.3466531960316</v>
      </c>
      <c r="M14" s="213">
        <f>C$5/((1+C$2)^F14)</f>
        <v>48310.146405825602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3">
      <c r="A15" s="7"/>
      <c r="D15" s="7"/>
      <c r="E15" s="7"/>
      <c r="F15" s="24">
        <v>8</v>
      </c>
      <c r="G15" s="213">
        <f>SUM(C$26,C$38,(Cases!$AE$25*sensitivity!$C$12),(-Cases!$L$25*sensitivity!$C$11))/((1+C$2)^F15)</f>
        <v>6272.5704458947957</v>
      </c>
      <c r="H15" s="213">
        <f>C$5/((1+C$2)^F15)</f>
        <v>46452.063851755374</v>
      </c>
      <c r="I15" s="213"/>
      <c r="J15" s="23"/>
      <c r="K15" s="7"/>
      <c r="L15" s="24">
        <f>SUM(C$26,C$38,(Cases!$AE$25*sensitivity!$D$12),(-Cases!$L$25*sensitivity!$D$11))/((1+C$2)^F15)</f>
        <v>1547.448704996184</v>
      </c>
      <c r="M15" s="213">
        <f>C$5/((1+C$2)^F15)</f>
        <v>46452.063851755374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3">
      <c r="A16" s="7"/>
      <c r="B16" s="7"/>
      <c r="C16" s="7"/>
      <c r="D16" s="7"/>
      <c r="E16" s="7"/>
      <c r="F16" s="24">
        <v>9</v>
      </c>
      <c r="G16" s="213">
        <f>SUM(C$26,C$38,(Cases!$AE$25*sensitivity!$C$12),(-Cases!$L$25*sensitivity!$C$11))/((1+C$2)^F16)</f>
        <v>6031.3177364373032</v>
      </c>
      <c r="H16" s="213">
        <f>C$5/((1+C$2)^F16)</f>
        <v>44665.44601130324</v>
      </c>
      <c r="I16" s="213"/>
      <c r="J16" s="23"/>
      <c r="K16" s="7"/>
      <c r="L16" s="24">
        <f>SUM(C$26,C$38,(Cases!$AE$25*sensitivity!$D$12),(-Cases!$L$25*sensitivity!$D$11))/((1+C$2)^F16)</f>
        <v>1487.9314471117152</v>
      </c>
      <c r="M16" s="213">
        <f>C$5/((1+C$2)^F16)</f>
        <v>44665.44601130324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SUM(C$26,C$38,(Cases!$AE$25*sensitivity!$C$12),(-Cases!$L$25*sensitivity!$C$11))/((1+C$2)^F17)</f>
        <v>5799.3439773435603</v>
      </c>
      <c r="H17" s="213">
        <f>C$5/((1+C$2)^F17)</f>
        <v>42947.544241637734</v>
      </c>
      <c r="I17" s="213"/>
      <c r="J17" s="23"/>
      <c r="K17" s="7"/>
      <c r="L17" s="24">
        <f>SUM(C$26,C$38,(Cases!$AE$25*sensitivity!$D$12),(-Cases!$L$25*sensitivity!$D$11))/((1+C$2)^F17)</f>
        <v>1430.7033145304954</v>
      </c>
      <c r="M17" s="213">
        <f>C$5/((1+C$2)^F17)</f>
        <v>42947.544241637734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SUM(C$26,C$38,(Cases!$AE$25*sensitivity!$C$12),(-Cases!$L$25*sensitivity!$C$11))/((1+C$2)^F18)</f>
        <v>5576.2922859072705</v>
      </c>
      <c r="H18" s="213">
        <f>C$5/((1+C$2)^F18)</f>
        <v>41295.715616959365</v>
      </c>
      <c r="I18" s="213"/>
      <c r="J18" s="23"/>
      <c r="K18" s="7"/>
      <c r="L18" s="24">
        <f>SUM(C$26,C$38,(Cases!$AE$25*sensitivity!$D$12),(-Cases!$L$25*sensitivity!$D$11))/((1+C$2)^F18)</f>
        <v>1375.6762639716303</v>
      </c>
      <c r="M18" s="213">
        <f>C$5/((1+C$2)^F18)</f>
        <v>41295.715616959365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SUM(C$26,C$38,(Cases!$AE$25*sensitivity!$C$12),(-Cases!$L$25*sensitivity!$C$11))/((1+C$2)^F19)</f>
        <v>5361.819505680066</v>
      </c>
      <c r="H19" s="213">
        <f>C$5/((1+C$2)^F19)</f>
        <v>39707.418862460916</v>
      </c>
      <c r="I19" s="213"/>
      <c r="J19" s="23"/>
      <c r="K19" s="7"/>
      <c r="L19" s="24">
        <f>SUM(C$26,C$38,(Cases!$AE$25*sensitivity!$D$12),(-Cases!$L$25*sensitivity!$D$11))/((1+C$2)^F19)</f>
        <v>1322.7656384342595</v>
      </c>
      <c r="M19" s="213">
        <f>C$5/((1+C$2)^F19)</f>
        <v>39707.418862460916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SUM(C$26,C$38,(Cases!$AE$25*sensitivity!$C$12),(-Cases!$L$25*sensitivity!$C$11))/((1+C$2)^F20)</f>
        <v>5155.5956785385251</v>
      </c>
      <c r="H20" s="213">
        <f>C$5/((1+C$2)^F20)</f>
        <v>38180.210444673961</v>
      </c>
      <c r="I20" s="213"/>
      <c r="J20" s="23"/>
      <c r="K20" s="7"/>
      <c r="L20" s="24">
        <f>SUM(C$26,C$38,(Cases!$AE$25*sensitivity!$D$12),(-Cases!$L$25*sensitivity!$D$11))/((1+C$2)^F20)</f>
        <v>1271.8900369560188</v>
      </c>
      <c r="M20" s="213">
        <f>C$5/((1+C$2)^F20)</f>
        <v>38180.210444673961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3">
      <c r="A21" s="7"/>
      <c r="B21" s="24" t="s">
        <v>176</v>
      </c>
      <c r="C21" s="42">
        <f>'Electricity prod.'!M17</f>
        <v>219.73942597709205</v>
      </c>
      <c r="D21" s="7"/>
      <c r="E21" s="7"/>
      <c r="F21" s="24">
        <v>14</v>
      </c>
      <c r="G21" s="213">
        <f>SUM(C$26,C$38,(Cases!$AE$25*sensitivity!$C$12),(-Cases!$L$25*sensitivity!$C$11))/((1+C$2)^F21)</f>
        <v>4957.3035370562739</v>
      </c>
      <c r="H21" s="213">
        <f>C$5/((1+C$2)^F21)</f>
        <v>36711.740812186501</v>
      </c>
      <c r="I21" s="213"/>
      <c r="J21" s="23"/>
      <c r="K21" s="7"/>
      <c r="L21" s="24">
        <f>SUM(C$26,C$38,(Cases!$AE$25*sensitivity!$D$12),(-Cases!$L$25*sensitivity!$D$11))/((1+C$2)^F21)</f>
        <v>1222.9711893807873</v>
      </c>
      <c r="M21" s="213">
        <f>C$5/((1+C$2)^F21)</f>
        <v>36711.740812186501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SUM(C$26,C$38,(Cases!$AE$25*sensitivity!$C$12),(-Cases!$L$25*sensitivity!$C$11))/((1+C$2)^F22)</f>
        <v>4766.638016400264</v>
      </c>
      <c r="H22" s="213">
        <f>C$5/((1+C$2)^F22)</f>
        <v>35299.750780948554</v>
      </c>
      <c r="I22" s="213"/>
      <c r="J22" s="23"/>
      <c r="K22" s="7"/>
      <c r="L22" s="24">
        <f>SUM(C$26,C$38,(Cases!$AE$25*sensitivity!$D$12),(-Cases!$L$25*sensitivity!$D$11))/((1+C$2)^F22)</f>
        <v>1175.9338359430647</v>
      </c>
      <c r="M22" s="213">
        <f>C$5/((1+C$2)^F22)</f>
        <v>35299.750780948554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SUM(C$26,C$38,(Cases!$AE$25*sensitivity!$C$12),(-Cases!$L$25*sensitivity!$C$11))/((1+C$2)^F23)</f>
        <v>4583.3057850002533</v>
      </c>
      <c r="H23" s="213">
        <f>C$5/((1+C$2)^F23)</f>
        <v>33942.068058604375</v>
      </c>
      <c r="I23" s="213"/>
      <c r="J23" s="23"/>
      <c r="K23" s="7"/>
      <c r="L23" s="24">
        <f>SUM(C$26,C$38,(Cases!$AE$25*sensitivity!$D$12),(-Cases!$L$25*sensitivity!$D$11))/((1+C$2)^F23)</f>
        <v>1130.705611483716</v>
      </c>
      <c r="M23" s="213">
        <f>C$5/((1+C$2)^F23)</f>
        <v>33942.068058604375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SUM(C$26,C$38,(Cases!$AE$25*sensitivity!$C$12),(-Cases!$L$25*sensitivity!$C$11))/((1+C$2)^F24)</f>
        <v>4407.0247932694738</v>
      </c>
      <c r="H24" s="213">
        <f>C$5/((1+C$2)^F24)</f>
        <v>32636.603902504208</v>
      </c>
      <c r="I24" s="213"/>
      <c r="J24" s="23"/>
      <c r="K24" s="7"/>
      <c r="L24" s="24">
        <f>SUM(C$26,C$38,(Cases!$AE$25*sensitivity!$D$12),(-Cases!$L$25*sensitivity!$D$11))/((1+C$2)^F24)</f>
        <v>1087.2169341189576</v>
      </c>
      <c r="M24" s="213">
        <f>C$5/((1+C$2)^F24)</f>
        <v>32636.603902504208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3">
      <c r="A25" s="7"/>
      <c r="B25" s="24"/>
      <c r="C25" s="23"/>
      <c r="D25" s="7"/>
      <c r="E25" s="7"/>
      <c r="F25" s="24">
        <v>18</v>
      </c>
      <c r="G25" s="213">
        <f>SUM(C$26,C$38,(Cases!$AE$25*sensitivity!$C$12),(-Cases!$L$25*sensitivity!$C$11))/((1+C$2)^F25)</f>
        <v>4237.523839682186</v>
      </c>
      <c r="H25" s="213">
        <f>C$5/((1+C$2)^F25)</f>
        <v>31381.349906254043</v>
      </c>
      <c r="I25" s="213"/>
      <c r="J25" s="23"/>
      <c r="K25" s="7"/>
      <c r="L25" s="24">
        <f>SUM(C$26,C$38,(Cases!$AE$25*sensitivity!$D$12),(-Cases!$L$25*sensitivity!$D$11))/((1+C$2)^F25)</f>
        <v>1045.4008981913053</v>
      </c>
      <c r="M25" s="213">
        <f>C$5/((1+C$2)^F25)</f>
        <v>31381.349906254043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3">
      <c r="A26" s="7"/>
      <c r="B26" s="24" t="s">
        <v>237</v>
      </c>
      <c r="C26" s="23">
        <f>C24*C5</f>
        <v>1271.4571382992403</v>
      </c>
      <c r="D26" s="7"/>
      <c r="E26" s="7"/>
      <c r="F26" s="24">
        <v>19</v>
      </c>
      <c r="G26" s="213">
        <f>SUM(C$26,C$38,(Cases!$AE$25*sensitivity!$C$12),(-Cases!$L$25*sensitivity!$C$11))/((1+C$2)^F26)</f>
        <v>4074.5421535405635</v>
      </c>
      <c r="H26" s="213">
        <f>C$5/((1+C$2)^F26)</f>
        <v>30174.374909859656</v>
      </c>
      <c r="I26" s="213"/>
      <c r="J26" s="23"/>
      <c r="K26" s="7"/>
      <c r="L26" s="24">
        <f>SUM(C$26,C$38,(Cases!$AE$25*sensitivity!$D$12),(-Cases!$L$25*sensitivity!$D$11))/((1+C$2)^F26)</f>
        <v>1005.1931713377935</v>
      </c>
      <c r="M26" s="213">
        <f>C$5/((1+C$2)^F26)</f>
        <v>30174.374909859656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SUM(C$26,C$38,(Cases!$AE$25*sensitivity!$C$12),(-Cases!$L$25*sensitivity!$C$11))/((1+C$2)^F27)</f>
        <v>3917.8289937890031</v>
      </c>
      <c r="H27" s="26">
        <f>C$5/((1+C$2)^F27)</f>
        <v>29013.822028711209</v>
      </c>
      <c r="I27" s="26"/>
      <c r="J27" s="27"/>
      <c r="K27" s="7"/>
      <c r="L27" s="25">
        <f>SUM(C$26,C$38,(Cases!$AE$25*sensitivity!$D$12),(-Cases!$L$25*sensitivity!$D$11))/((1+C$2)^F27)</f>
        <v>966.53189551710921</v>
      </c>
      <c r="M27" s="26">
        <f>C$5/((1+C$2)^F27)</f>
        <v>29013.822028711209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24" t="s">
        <v>185</v>
      </c>
      <c r="C48" s="42">
        <f>Cases!N29</f>
        <v>185.59657248373611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24" t="s">
        <v>222</v>
      </c>
      <c r="C50" s="23">
        <f>C48*C49</f>
        <v>49148.721972544939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24" t="s">
        <v>223</v>
      </c>
      <c r="C53" s="23">
        <f>C50+C52+C51</f>
        <v>51888.721972544939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24" t="s">
        <v>214</v>
      </c>
      <c r="C54" s="23">
        <f>C50*K78</f>
        <v>2187.2578751352285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161854.70068450074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25915.728845730304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0.52052243319359415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25915.728845730304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777.47186537190908</v>
      </c>
      <c r="M67" s="26">
        <f>(M66/100)*M63</f>
        <v>789.18304842961788</v>
      </c>
      <c r="N67" s="27">
        <f>SUM(K67:M67)</f>
        <v>3114.039706594066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</row>
    <row r="85" spans="1:32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</row>
    <row r="86" spans="1:32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</row>
    <row r="87" spans="1:32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</row>
    <row r="88" spans="1:32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</row>
    <row r="89" spans="1:32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Z88</f>
        <v>33871.374478281839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</row>
    <row r="90" spans="1:32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1017.1583927411965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43.192881409550509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25915.728845730304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1017.1583927411965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43.192881409550509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</row>
    <row r="101" spans="1:3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7679-DC84-4178-A18B-5A7E10446791}">
  <dimension ref="A1:AF105"/>
  <sheetViews>
    <sheetView workbookViewId="0">
      <selection activeCell="C13" sqref="C13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3">
      <c r="A5" s="7"/>
      <c r="B5" s="24" t="s">
        <v>190</v>
      </c>
      <c r="C5" s="40">
        <f>Cases!O30</f>
        <v>63572.856914962016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0.37765161693912458</v>
      </c>
      <c r="K5" s="7"/>
      <c r="L5" s="24"/>
      <c r="M5" s="213" t="s">
        <v>293</v>
      </c>
      <c r="N5" s="213"/>
      <c r="O5" s="23">
        <f>SUM(L7:L27)/SUM(M7:M49)</f>
        <v>0.28438343557462314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326281.88511620543</v>
      </c>
      <c r="K6" s="7"/>
      <c r="L6" s="24"/>
      <c r="M6" s="213">
        <f>SUM(H8:H27)</f>
        <v>863975.87215626915</v>
      </c>
      <c r="N6" s="213"/>
      <c r="O6" s="23">
        <f>O5*SUM(M7:M27)</f>
        <v>245700.42677738122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">
      <c r="A7" s="7"/>
      <c r="D7" s="7"/>
      <c r="E7" s="7"/>
      <c r="F7" s="24">
        <v>2050</v>
      </c>
      <c r="G7" s="214">
        <f>SUM(C23,C34,C39)</f>
        <v>194281.21852875175</v>
      </c>
      <c r="H7" s="213"/>
      <c r="I7" s="213"/>
      <c r="J7" s="23"/>
      <c r="K7" s="7"/>
      <c r="L7" s="77">
        <f>SUM(C23,C34,C39)</f>
        <v>194281.21852875175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3">
      <c r="A8" s="7"/>
      <c r="B8" s="213"/>
      <c r="C8" s="213"/>
      <c r="D8" s="7"/>
      <c r="E8" s="7"/>
      <c r="F8" s="24">
        <v>1</v>
      </c>
      <c r="G8" s="213">
        <f>SUM(C$26,C$38,(Cases!$AF$25*sensitivity!$C$12),(-Cases!$L$25*sensitivity!$C$11))/((1+C$2)^F8)</f>
        <v>9339.2693192794268</v>
      </c>
      <c r="H8" s="213">
        <f>C$5/((1+C$2)^F8)</f>
        <v>61127.747033617321</v>
      </c>
      <c r="I8" s="213"/>
      <c r="J8" s="23"/>
      <c r="K8" s="7"/>
      <c r="L8" s="24">
        <f>SUM(C$26,C$38,(Cases!$AF$25*sensitivity!$D$12),(-Cases!$L$25*sensitivity!$D$11))/((1+C$2)^F8)</f>
        <v>3637.9955225446424</v>
      </c>
      <c r="M8" s="213">
        <f>C$5/((1+C$2)^F8)</f>
        <v>61127.747033617321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"/>
      <c r="B9" s="213"/>
      <c r="C9" s="213"/>
      <c r="D9" s="7"/>
      <c r="E9" s="7"/>
      <c r="F9" s="24">
        <v>2</v>
      </c>
      <c r="G9" s="213">
        <f>SUM(C$26,C$38,(Cases!$AF$25*sensitivity!$C$12),(-Cases!$L$25*sensitivity!$C$11))/((1+C$2)^F9)</f>
        <v>8980.0666531532952</v>
      </c>
      <c r="H9" s="213">
        <f>C$5/((1+C$2)^F9)</f>
        <v>58776.679840016652</v>
      </c>
      <c r="I9" s="213"/>
      <c r="J9" s="23"/>
      <c r="K9" s="7"/>
      <c r="L9" s="24">
        <f>SUM(C$26,C$38,(Cases!$AF$25*sensitivity!$D$12),(-Cases!$L$25*sensitivity!$D$11))/((1+C$2)^F9)</f>
        <v>3498.0726178313867</v>
      </c>
      <c r="M9" s="213">
        <f>C$5/((1+C$2)^F9)</f>
        <v>58776.679840016652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3">
      <c r="A10" s="7"/>
      <c r="B10" s="176"/>
      <c r="C10" s="176"/>
      <c r="D10" s="7"/>
      <c r="E10" s="7"/>
      <c r="F10" s="24">
        <v>3</v>
      </c>
      <c r="G10" s="213">
        <f>SUM(C$26,C$38,(Cases!$AF$25*sensitivity!$C$12),(-Cases!$L$25*sensitivity!$C$11))/((1+C$2)^F10)</f>
        <v>8634.6794741858612</v>
      </c>
      <c r="H10" s="213">
        <f>C$5/((1+C$2)^F10)</f>
        <v>56516.038307708317</v>
      </c>
      <c r="I10" s="213"/>
      <c r="J10" s="23"/>
      <c r="K10" s="7"/>
      <c r="L10" s="24">
        <f>SUM(C$26,C$38,(Cases!$AF$25*sensitivity!$D$12),(-Cases!$L$25*sensitivity!$D$11))/((1+C$2)^F10)</f>
        <v>3363.5313632994103</v>
      </c>
      <c r="M10" s="213">
        <f>C$5/((1+C$2)^F10)</f>
        <v>56516.038307708317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3">
      <c r="A11" s="7"/>
      <c r="B11" s="176"/>
      <c r="C11" s="176"/>
      <c r="D11" s="7"/>
      <c r="E11" s="7"/>
      <c r="F11" s="24">
        <v>4</v>
      </c>
      <c r="G11" s="213">
        <f>SUM(C$26,C$38,(Cases!$AF$25*sensitivity!$C$12),(-Cases!$L$25*sensitivity!$C$11))/((1+C$2)^F11)</f>
        <v>8302.5764174864034</v>
      </c>
      <c r="H11" s="213">
        <f>C$5/((1+C$2)^F11)</f>
        <v>54342.344526642606</v>
      </c>
      <c r="I11" s="213"/>
      <c r="J11" s="23"/>
      <c r="K11" s="7"/>
      <c r="L11" s="24">
        <f>SUM(C$26,C$38,(Cases!$AF$25*sensitivity!$D$12),(-Cases!$L$25*sensitivity!$D$11))/((1+C$2)^F11)</f>
        <v>3234.1647724032787</v>
      </c>
      <c r="M11" s="213">
        <f>C$5/((1+C$2)^F11)</f>
        <v>54342.344526642606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3">
      <c r="A12" s="7"/>
      <c r="B12" s="213"/>
      <c r="C12" s="213"/>
      <c r="D12" s="7"/>
      <c r="E12" s="7"/>
      <c r="F12" s="24">
        <v>5</v>
      </c>
      <c r="G12" s="213">
        <f>SUM(C$26,C$38,(Cases!$AF$25*sensitivity!$C$12),(-Cases!$L$25*sensitivity!$C$11))/((1+C$2)^F12)</f>
        <v>7983.2465552753874</v>
      </c>
      <c r="H12" s="213">
        <f>C$5/((1+C$2)^F12)</f>
        <v>52252.254352540964</v>
      </c>
      <c r="I12" s="213"/>
      <c r="J12" s="23"/>
      <c r="K12" s="7"/>
      <c r="L12" s="24">
        <f>SUM(C$26,C$38,(Cases!$AF$25*sensitivity!$D$12),(-Cases!$L$25*sensitivity!$D$11))/((1+C$2)^F12)</f>
        <v>3109.7738196185369</v>
      </c>
      <c r="M12" s="213">
        <f>C$5/((1+C$2)^F12)</f>
        <v>52252.254352540964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3">
      <c r="A13" s="7"/>
      <c r="B13" s="213"/>
      <c r="C13" s="213"/>
      <c r="D13" s="7"/>
      <c r="E13" s="7"/>
      <c r="F13" s="24">
        <v>6</v>
      </c>
      <c r="G13" s="213">
        <f>SUM(C$26,C$38,(Cases!$AF$25*sensitivity!$C$12),(-Cases!$L$25*sensitivity!$C$11))/((1+C$2)^F13)</f>
        <v>7676.1986108417186</v>
      </c>
      <c r="H13" s="213">
        <f>C$5/((1+C$2)^F13)</f>
        <v>50242.55226205862</v>
      </c>
      <c r="I13" s="213"/>
      <c r="J13" s="23"/>
      <c r="K13" s="7"/>
      <c r="L13" s="24">
        <f>SUM(C$26,C$38,(Cases!$AF$25*sensitivity!$D$12),(-Cases!$L$25*sensitivity!$D$11))/((1+C$2)^F13)</f>
        <v>2990.1671342485934</v>
      </c>
      <c r="M13" s="213">
        <f>C$5/((1+C$2)^F13)</f>
        <v>50242.55226205862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3">
      <c r="A14" s="7"/>
      <c r="B14" s="213"/>
      <c r="C14" s="213"/>
      <c r="D14" s="7"/>
      <c r="E14" s="7"/>
      <c r="F14" s="24">
        <v>7</v>
      </c>
      <c r="G14" s="213">
        <f>SUM(C$26,C$38,(Cases!$AF$25*sensitivity!$C$12),(-Cases!$L$25*sensitivity!$C$11))/((1+C$2)^F14)</f>
        <v>7380.9602027324227</v>
      </c>
      <c r="H14" s="213">
        <f>C$5/((1+C$2)^F14)</f>
        <v>48310.146405825602</v>
      </c>
      <c r="I14" s="213"/>
      <c r="J14" s="23"/>
      <c r="K14" s="7"/>
      <c r="L14" s="24">
        <f>SUM(C$26,C$38,(Cases!$AF$25*sensitivity!$D$12),(-Cases!$L$25*sensitivity!$D$11))/((1+C$2)^F14)</f>
        <v>2875.1607060082629</v>
      </c>
      <c r="M14" s="213">
        <f>C$5/((1+C$2)^F14)</f>
        <v>48310.146405825602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3">
      <c r="A15" s="7"/>
      <c r="B15" s="176"/>
      <c r="C15" s="176"/>
      <c r="D15" s="7"/>
      <c r="E15" s="7"/>
      <c r="F15" s="24">
        <v>8</v>
      </c>
      <c r="G15" s="213">
        <f>SUM(C$26,C$38,(Cases!$AF$25*sensitivity!$C$12),(-Cases!$L$25*sensitivity!$C$11))/((1+C$2)^F15)</f>
        <v>7097.0771180119436</v>
      </c>
      <c r="H15" s="213">
        <f>C$5/((1+C$2)^F15)</f>
        <v>46452.063851755374</v>
      </c>
      <c r="I15" s="213"/>
      <c r="J15" s="23"/>
      <c r="K15" s="7"/>
      <c r="L15" s="24">
        <f>SUM(C$26,C$38,(Cases!$AF$25*sensitivity!$D$12),(-Cases!$L$25*sensitivity!$D$11))/((1+C$2)^F15)</f>
        <v>2764.5776019310215</v>
      </c>
      <c r="M15" s="213">
        <f>C$5/((1+C$2)^F15)</f>
        <v>46452.063851755374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3">
      <c r="A16" s="7"/>
      <c r="B16" s="213"/>
      <c r="C16" s="213"/>
      <c r="D16" s="7"/>
      <c r="E16" s="7"/>
      <c r="F16" s="24">
        <v>9</v>
      </c>
      <c r="G16" s="213">
        <f>SUM(C$26,C$38,(Cases!$AF$25*sensitivity!$C$12),(-Cases!$L$25*sensitivity!$C$11))/((1+C$2)^F16)</f>
        <v>6824.1126134730221</v>
      </c>
      <c r="H16" s="213">
        <f>C$5/((1+C$2)^F16)</f>
        <v>44665.44601130324</v>
      </c>
      <c r="I16" s="213"/>
      <c r="J16" s="23"/>
      <c r="K16" s="7"/>
      <c r="L16" s="24">
        <f>SUM(C$26,C$38,(Cases!$AF$25*sensitivity!$D$12),(-Cases!$L$25*sensitivity!$D$11))/((1+C$2)^F16)</f>
        <v>2658.2476941644436</v>
      </c>
      <c r="M16" s="213">
        <f>C$5/((1+C$2)^F16)</f>
        <v>44665.44601130324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SUM(C$26,C$38,(Cases!$AF$25*sensitivity!$C$12),(-Cases!$L$25*sensitivity!$C$11))/((1+C$2)^F17)</f>
        <v>6561.6467437240599</v>
      </c>
      <c r="H17" s="213">
        <f>C$5/((1+C$2)^F17)</f>
        <v>42947.544241637734</v>
      </c>
      <c r="I17" s="213"/>
      <c r="J17" s="23"/>
      <c r="K17" s="7"/>
      <c r="L17" s="24">
        <f>SUM(C$26,C$38,(Cases!$AF$25*sensitivity!$D$12),(-Cases!$L$25*sensitivity!$D$11))/((1+C$2)^F17)</f>
        <v>2556.0073982350418</v>
      </c>
      <c r="M17" s="213">
        <f>C$5/((1+C$2)^F17)</f>
        <v>42947.544241637734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SUM(C$26,C$38,(Cases!$AF$25*sensitivity!$C$12),(-Cases!$L$25*sensitivity!$C$11))/((1+C$2)^F18)</f>
        <v>6309.2757151192882</v>
      </c>
      <c r="H18" s="213">
        <f>C$5/((1+C$2)^F18)</f>
        <v>41295.715616959365</v>
      </c>
      <c r="I18" s="213"/>
      <c r="J18" s="23"/>
      <c r="K18" s="7"/>
      <c r="L18" s="24">
        <f>SUM(C$26,C$38,(Cases!$AF$25*sensitivity!$D$12),(-Cases!$L$25*sensitivity!$D$11))/((1+C$2)^F18)</f>
        <v>2457.6994213798484</v>
      </c>
      <c r="M18" s="213">
        <f>C$5/((1+C$2)^F18)</f>
        <v>41295.715616959365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SUM(C$26,C$38,(Cases!$AF$25*sensitivity!$C$12),(-Cases!$L$25*sensitivity!$C$11))/((1+C$2)^F19)</f>
        <v>6066.6112645377762</v>
      </c>
      <c r="H19" s="213">
        <f>C$5/((1+C$2)^F19)</f>
        <v>39707.418862460916</v>
      </c>
      <c r="I19" s="213"/>
      <c r="J19" s="23"/>
      <c r="K19" s="7"/>
      <c r="L19" s="24">
        <f>SUM(C$26,C$38,(Cases!$AF$25*sensitivity!$D$12),(-Cases!$L$25*sensitivity!$D$11))/((1+C$2)^F19)</f>
        <v>2363.1725205575458</v>
      </c>
      <c r="M19" s="213">
        <f>C$5/((1+C$2)^F19)</f>
        <v>39707.418862460916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SUM(C$26,C$38,(Cases!$AF$25*sensitivity!$C$12),(-Cases!$L$25*sensitivity!$C$11))/((1+C$2)^F20)</f>
        <v>5833.2800620555536</v>
      </c>
      <c r="H20" s="213">
        <f>C$5/((1+C$2)^F20)</f>
        <v>38180.210444673961</v>
      </c>
      <c r="I20" s="213"/>
      <c r="J20" s="23"/>
      <c r="K20" s="7"/>
      <c r="L20" s="24">
        <f>SUM(C$26,C$38,(Cases!$AF$25*sensitivity!$D$12),(-Cases!$L$25*sensitivity!$D$11))/((1+C$2)^F20)</f>
        <v>2272.281269766871</v>
      </c>
      <c r="M20" s="213">
        <f>C$5/((1+C$2)^F20)</f>
        <v>38180.210444673961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3">
      <c r="A21" s="7"/>
      <c r="B21" s="24" t="s">
        <v>176</v>
      </c>
      <c r="C21" s="42">
        <f>'Electricity prod.'!M17</f>
        <v>219.73942597709205</v>
      </c>
      <c r="D21" s="7"/>
      <c r="E21" s="7"/>
      <c r="F21" s="24">
        <v>14</v>
      </c>
      <c r="G21" s="213">
        <f>SUM(C$26,C$38,(Cases!$AF$25*sensitivity!$C$12),(-Cases!$L$25*sensitivity!$C$11))/((1+C$2)^F21)</f>
        <v>5608.9231365918786</v>
      </c>
      <c r="H21" s="213">
        <f>C$5/((1+C$2)^F21)</f>
        <v>36711.740812186501</v>
      </c>
      <c r="I21" s="213"/>
      <c r="J21" s="23"/>
      <c r="K21" s="7"/>
      <c r="L21" s="24">
        <f>SUM(C$26,C$38,(Cases!$AF$25*sensitivity!$D$12),(-Cases!$L$25*sensitivity!$D$11))/((1+C$2)^F21)</f>
        <v>2184.885836314299</v>
      </c>
      <c r="M21" s="213">
        <f>C$5/((1+C$2)^F21)</f>
        <v>36711.740812186501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SUM(C$26,C$38,(Cases!$AF$25*sensitivity!$C$12),(-Cases!$L$25*sensitivity!$C$11))/((1+C$2)^F22)</f>
        <v>5393.1953236460377</v>
      </c>
      <c r="H22" s="213">
        <f>C$5/((1+C$2)^F22)</f>
        <v>35299.750780948554</v>
      </c>
      <c r="I22" s="213"/>
      <c r="J22" s="23"/>
      <c r="K22" s="7"/>
      <c r="L22" s="24">
        <f>SUM(C$26,C$38,(Cases!$AF$25*sensitivity!$D$12),(-Cases!$L$25*sensitivity!$D$11))/((1+C$2)^F22)</f>
        <v>2100.8517656868262</v>
      </c>
      <c r="M22" s="213">
        <f>C$5/((1+C$2)^F22)</f>
        <v>35299.750780948554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3">
      <c r="A23" s="7"/>
      <c r="B23" s="24" t="s">
        <v>178</v>
      </c>
      <c r="C23" s="23">
        <f>C19*C21</f>
        <v>43947.885195418414</v>
      </c>
      <c r="D23" s="7"/>
      <c r="E23" s="7"/>
      <c r="F23" s="68">
        <v>16</v>
      </c>
      <c r="G23" s="213">
        <f>SUM(C$26,C$38,(Cases!$AF$25*sensitivity!$C$12),(-Cases!$L$25*sensitivity!$C$11))/((1+C$2)^F23)</f>
        <v>5185.7647342750352</v>
      </c>
      <c r="H23" s="213">
        <f>C$5/((1+C$2)^F23)</f>
        <v>33942.068058604375</v>
      </c>
      <c r="I23" s="213"/>
      <c r="J23" s="23"/>
      <c r="K23" s="7"/>
      <c r="L23" s="24">
        <f>SUM(C$26,C$38,(Cases!$AF$25*sensitivity!$D$12),(-Cases!$L$25*sensitivity!$D$11))/((1+C$2)^F23)</f>
        <v>2020.0497746988708</v>
      </c>
      <c r="M23" s="213">
        <f>C$5/((1+C$2)^F23)</f>
        <v>33942.068058604375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SUM(C$26,C$38,(Cases!$AF$25*sensitivity!$C$12),(-Cases!$L$25*sensitivity!$C$11))/((1+C$2)^F24)</f>
        <v>4986.312244495226</v>
      </c>
      <c r="H24" s="213">
        <f>C$5/((1+C$2)^F24)</f>
        <v>32636.603902504208</v>
      </c>
      <c r="I24" s="213"/>
      <c r="J24" s="23"/>
      <c r="K24" s="7"/>
      <c r="L24" s="24">
        <f>SUM(C$26,C$38,(Cases!$AF$25*sensitivity!$D$12),(-Cases!$L$25*sensitivity!$D$11))/((1+C$2)^F24)</f>
        <v>1942.355552595068</v>
      </c>
      <c r="M24" s="213">
        <f>C$5/((1+C$2)^F24)</f>
        <v>32636.603902504208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3">
      <c r="A25" s="7"/>
      <c r="B25" s="24"/>
      <c r="C25" s="23"/>
      <c r="D25" s="7"/>
      <c r="E25" s="7"/>
      <c r="F25" s="24">
        <v>18</v>
      </c>
      <c r="G25" s="213">
        <f>SUM(C$26,C$38,(Cases!$AF$25*sensitivity!$C$12),(-Cases!$L$25*sensitivity!$C$11))/((1+C$2)^F25)</f>
        <v>4794.5310043223317</v>
      </c>
      <c r="H25" s="213">
        <f>C$5/((1+C$2)^F25)</f>
        <v>31381.349906254043</v>
      </c>
      <c r="I25" s="213"/>
      <c r="J25" s="23"/>
      <c r="K25" s="7"/>
      <c r="L25" s="24">
        <f>SUM(C$26,C$38,(Cases!$AF$25*sensitivity!$D$12),(-Cases!$L$25*sensitivity!$D$11))/((1+C$2)^F25)</f>
        <v>1867.6495698029498</v>
      </c>
      <c r="M25" s="213">
        <f>C$5/((1+C$2)^F25)</f>
        <v>31381.349906254043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3">
      <c r="A26" s="7"/>
      <c r="B26" s="24" t="s">
        <v>237</v>
      </c>
      <c r="C26" s="23">
        <f>C24*C5</f>
        <v>1271.4571382992403</v>
      </c>
      <c r="D26" s="7"/>
      <c r="E26" s="7"/>
      <c r="F26" s="24">
        <v>19</v>
      </c>
      <c r="G26" s="213">
        <f>SUM(C$26,C$38,(Cases!$AF$25*sensitivity!$C$12),(-Cases!$L$25*sensitivity!$C$11))/((1+C$2)^F26)</f>
        <v>4610.1259656945504</v>
      </c>
      <c r="H26" s="213">
        <f>C$5/((1+C$2)^F26)</f>
        <v>30174.374909859656</v>
      </c>
      <c r="I26" s="213"/>
      <c r="J26" s="23"/>
      <c r="K26" s="7"/>
      <c r="L26" s="24">
        <f>SUM(C$26,C$38,(Cases!$AF$25*sensitivity!$D$12),(-Cases!$L$25*sensitivity!$D$11))/((1+C$2)^F26)</f>
        <v>1795.8168940412979</v>
      </c>
      <c r="M26" s="213">
        <f>C$5/((1+C$2)^F26)</f>
        <v>30174.374909859656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SUM(C$26,C$38,(Cases!$AF$25*sensitivity!$C$12),(-Cases!$L$25*sensitivity!$C$11))/((1+C$2)^F27)</f>
        <v>4432.813428552452</v>
      </c>
      <c r="H27" s="26">
        <f>C$5/((1+C$2)^F27)</f>
        <v>29013.822028711209</v>
      </c>
      <c r="I27" s="26"/>
      <c r="J27" s="27"/>
      <c r="K27" s="7"/>
      <c r="L27" s="25">
        <f>SUM(C$26,C$38,(Cases!$AF$25*sensitivity!$D$12),(-Cases!$L$25*sensitivity!$D$11))/((1+C$2)^F27)</f>
        <v>1726.7470135012481</v>
      </c>
      <c r="M27" s="26">
        <f>C$5/((1+C$2)^F27)</f>
        <v>29013.822028711209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3">
      <c r="A48" s="7"/>
      <c r="B48" s="24" t="s">
        <v>185</v>
      </c>
      <c r="C48" s="42">
        <f>Cases!O29</f>
        <v>215.0393464775307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3">
      <c r="A50" s="7"/>
      <c r="B50" s="24" t="s">
        <v>222</v>
      </c>
      <c r="C50" s="23">
        <f>C48*C49</f>
        <v>56945.604715346097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3">
      <c r="A53" s="7"/>
      <c r="B53" s="24" t="s">
        <v>223</v>
      </c>
      <c r="C53" s="23">
        <f>C50+C52+C51</f>
        <v>59685.604715346097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3">
      <c r="A54" s="7"/>
      <c r="B54" s="24" t="s">
        <v>214</v>
      </c>
      <c r="C54" s="23">
        <f>C50*K78</f>
        <v>2534.2413265101031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178457.87766567839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30026.962889969807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0.54694387217396556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30026.962889969807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900.80888669909416</v>
      </c>
      <c r="M67" s="26">
        <f>(M66/100)*M63</f>
        <v>789.18304842961788</v>
      </c>
      <c r="N67" s="27">
        <f>SUM(K67:M67)</f>
        <v>3237.3767279212511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</row>
    <row r="85" spans="1:32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</row>
    <row r="86" spans="1:32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</row>
    <row r="87" spans="1:32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</row>
    <row r="88" spans="1:32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</row>
    <row r="89" spans="1:32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AA88</f>
        <v>39244.680732149354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</row>
    <row r="90" spans="1:32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1178.5189409053862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50.044938149949679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30026.962889969807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1178.5189409053862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50.044938149949679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</row>
    <row r="101" spans="1:3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2992-00EB-45B2-A251-CB7EDBA8E2A5}">
  <dimension ref="A1:AG104"/>
  <sheetViews>
    <sheetView workbookViewId="0">
      <selection activeCell="C7" sqref="C7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3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3">
      <c r="A5" s="7"/>
      <c r="B5" s="24" t="s">
        <v>190</v>
      </c>
      <c r="C5" s="40">
        <f>Cases!P30</f>
        <v>47596.570105641949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0.43664161814988778</v>
      </c>
      <c r="K5" s="7"/>
      <c r="L5" s="24"/>
      <c r="M5" s="213" t="s">
        <v>293</v>
      </c>
      <c r="N5" s="213"/>
      <c r="O5" s="23">
        <f>SUM(L7:L27)/SUM(M7:M49)</f>
        <v>0.34472428058559951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282442.90597183636</v>
      </c>
      <c r="K6" s="7"/>
      <c r="L6" s="24"/>
      <c r="M6" s="213">
        <f>SUM(H8:H27)</f>
        <v>646852.92063680699</v>
      </c>
      <c r="N6" s="213"/>
      <c r="O6" s="23">
        <f>O5*SUM(M7:M27)</f>
        <v>222985.90771121718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3">
      <c r="A7" s="7"/>
      <c r="D7" s="7"/>
      <c r="E7" s="7"/>
      <c r="F7" s="24">
        <v>2050</v>
      </c>
      <c r="G7" s="214">
        <f>SUM(C23,C34,C39)</f>
        <v>181096.8529701262</v>
      </c>
      <c r="H7" s="213"/>
      <c r="I7" s="213"/>
      <c r="J7" s="23"/>
      <c r="K7" s="7"/>
      <c r="L7" s="77">
        <f>SUM(C23,C34,C39)</f>
        <v>181096.8529701262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3">
      <c r="A8" s="7"/>
      <c r="B8" s="213"/>
      <c r="C8" s="213"/>
      <c r="D8" s="7"/>
      <c r="E8" s="7"/>
      <c r="F8" s="24">
        <v>1</v>
      </c>
      <c r="G8" s="213">
        <f>SUM(C$26,C$38,(Cases!$AG$25*sensitivity!$C$12),(-Cases!$P$25*sensitivity!$C$11))/((1+C$2)^F8)</f>
        <v>7170.4038161190647</v>
      </c>
      <c r="H8" s="213">
        <f>C$5/((1+C$2)^F8)</f>
        <v>45765.932793886488</v>
      </c>
      <c r="I8" s="213"/>
      <c r="J8" s="23"/>
      <c r="K8" s="7"/>
      <c r="L8" s="24">
        <f>SUM(C$26,C$38,(Cases!$AG$25*sensitivity!$D$12),(-Cases!$P$25*sensitivity!$D$11))/((1+C$2)^F8)</f>
        <v>2963.7211225588699</v>
      </c>
      <c r="M8" s="213">
        <f>C$5/((1+C$2)^F8)</f>
        <v>45765.932793886488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"/>
      <c r="B9" s="213"/>
      <c r="C9" s="213"/>
      <c r="D9" s="7"/>
      <c r="E9" s="7"/>
      <c r="F9" s="24">
        <v>2</v>
      </c>
      <c r="G9" s="213">
        <f>SUM(C$26,C$38,(Cases!$AG$25*sensitivity!$C$12),(-Cases!$P$25*sensitivity!$C$11))/((1+C$2)^F9)</f>
        <v>6894.6190539606387</v>
      </c>
      <c r="H9" s="213">
        <f>C$5/((1+C$2)^F9)</f>
        <v>44005.704609506232</v>
      </c>
      <c r="I9" s="213"/>
      <c r="J9" s="23"/>
      <c r="K9" s="7"/>
      <c r="L9" s="24">
        <f>SUM(C$26,C$38,(Cases!$AG$25*sensitivity!$D$12),(-Cases!$P$25*sensitivity!$D$11))/((1+C$2)^F9)</f>
        <v>2849.7318486142981</v>
      </c>
      <c r="M9" s="213">
        <f>C$5/((1+C$2)^F9)</f>
        <v>44005.704609506232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3">
      <c r="A10" s="7"/>
      <c r="B10" s="176"/>
      <c r="C10" s="176"/>
      <c r="D10" s="7"/>
      <c r="E10" s="7"/>
      <c r="F10" s="24">
        <v>3</v>
      </c>
      <c r="G10" s="213">
        <f>SUM(C$26,C$38,(Cases!$AG$25*sensitivity!$C$12),(-Cases!$P$25*sensitivity!$C$11))/((1+C$2)^F10)</f>
        <v>6629.4413980390755</v>
      </c>
      <c r="H10" s="213">
        <f>C$5/((1+C$2)^F10)</f>
        <v>42313.177509140609</v>
      </c>
      <c r="I10" s="213"/>
      <c r="J10" s="23"/>
      <c r="K10" s="7"/>
      <c r="L10" s="24">
        <f>SUM(C$26,C$38,(Cases!$AG$25*sensitivity!$D$12),(-Cases!$P$25*sensitivity!$D$11))/((1+C$2)^F10)</f>
        <v>2740.126777513748</v>
      </c>
      <c r="M10" s="213">
        <f>C$5/((1+C$2)^F10)</f>
        <v>42313.177509140609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3">
      <c r="A11" s="7"/>
      <c r="B11" s="176"/>
      <c r="C11" s="176"/>
      <c r="D11" s="7"/>
      <c r="E11" s="7"/>
      <c r="F11" s="24">
        <v>4</v>
      </c>
      <c r="G11" s="213">
        <f>SUM(C$26,C$38,(Cases!$AG$25*sensitivity!$C$12),(-Cases!$P$25*sensitivity!$C$11))/((1+C$2)^F11)</f>
        <v>6374.4628827298802</v>
      </c>
      <c r="H11" s="213">
        <f>C$5/((1+C$2)^F11)</f>
        <v>40685.747604942895</v>
      </c>
      <c r="I11" s="213"/>
      <c r="J11" s="23"/>
      <c r="K11" s="7"/>
      <c r="L11" s="24">
        <f>SUM(C$26,C$38,(Cases!$AG$25*sensitivity!$D$12),(-Cases!$P$25*sensitivity!$D$11))/((1+C$2)^F11)</f>
        <v>2634.7372860709115</v>
      </c>
      <c r="M11" s="213">
        <f>C$5/((1+C$2)^F11)</f>
        <v>40685.747604942895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3">
      <c r="A12" s="7"/>
      <c r="B12" s="213"/>
      <c r="C12" s="213"/>
      <c r="D12" s="7"/>
      <c r="E12" s="7"/>
      <c r="F12" s="24">
        <v>5</v>
      </c>
      <c r="G12" s="213">
        <f>SUM(C$26,C$38,(Cases!$AG$25*sensitivity!$C$12),(-Cases!$P$25*sensitivity!$C$11))/((1+C$2)^F12)</f>
        <v>6129.2912333941149</v>
      </c>
      <c r="H12" s="213">
        <f>C$5/((1+C$2)^F12)</f>
        <v>39120.91115859893</v>
      </c>
      <c r="I12" s="213"/>
      <c r="J12" s="23"/>
      <c r="K12" s="7"/>
      <c r="L12" s="24">
        <f>SUM(C$26,C$38,(Cases!$AG$25*sensitivity!$D$12),(-Cases!$P$25*sensitivity!$D$11))/((1+C$2)^F12)</f>
        <v>2533.4012366066454</v>
      </c>
      <c r="M12" s="213">
        <f>C$5/((1+C$2)^F12)</f>
        <v>39120.91115859893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3">
      <c r="A13" s="7"/>
      <c r="B13" s="213"/>
      <c r="C13" s="213"/>
      <c r="D13" s="7"/>
      <c r="E13" s="7"/>
      <c r="F13" s="24">
        <v>6</v>
      </c>
      <c r="G13" s="213">
        <f>SUM(C$26,C$38,(Cases!$AG$25*sensitivity!$C$12),(-Cases!$P$25*sensitivity!$C$11))/((1+C$2)^F13)</f>
        <v>5893.5492628789561</v>
      </c>
      <c r="H13" s="213">
        <f>C$5/((1+C$2)^F13)</f>
        <v>37616.260729422051</v>
      </c>
      <c r="I13" s="213"/>
      <c r="J13" s="23"/>
      <c r="K13" s="7"/>
      <c r="L13" s="24">
        <f>SUM(C$26,C$38,(Cases!$AG$25*sensitivity!$D$12),(-Cases!$P$25*sensitivity!$D$11))/((1+C$2)^F13)</f>
        <v>2435.9627275063895</v>
      </c>
      <c r="M13" s="213">
        <f>C$5/((1+C$2)^F13)</f>
        <v>37616.260729422051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3">
      <c r="A14" s="7"/>
      <c r="B14" s="213"/>
      <c r="C14" s="213"/>
      <c r="D14" s="7"/>
      <c r="E14" s="7"/>
      <c r="F14" s="24">
        <v>7</v>
      </c>
      <c r="G14" s="213">
        <f>SUM(C$26,C$38,(Cases!$AG$25*sensitivity!$C$12),(-Cases!$P$25*sensitivity!$C$11))/((1+C$2)^F14)</f>
        <v>5666.8742912297666</v>
      </c>
      <c r="H14" s="213">
        <f>C$5/((1+C$2)^F14)</f>
        <v>36169.481470598126</v>
      </c>
      <c r="I14" s="213"/>
      <c r="J14" s="23"/>
      <c r="K14" s="7"/>
      <c r="L14" s="24">
        <f>SUM(C$26,C$38,(Cases!$AG$25*sensitivity!$D$12),(-Cases!$P$25*sensitivity!$D$11))/((1+C$2)^F14)</f>
        <v>2342.2718533715288</v>
      </c>
      <c r="M14" s="213">
        <f>C$5/((1+C$2)^F14)</f>
        <v>36169.481470598126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3">
      <c r="A15" s="7"/>
      <c r="B15" s="176"/>
      <c r="C15" s="176"/>
      <c r="D15" s="7"/>
      <c r="E15" s="7"/>
      <c r="F15" s="24">
        <v>8</v>
      </c>
      <c r="G15" s="213">
        <f>SUM(C$26,C$38,(Cases!$AG$25*sensitivity!$C$12),(-Cases!$P$25*sensitivity!$C$11))/((1+C$2)^F15)</f>
        <v>5448.9175877209282</v>
      </c>
      <c r="H15" s="213">
        <f>C$5/((1+C$2)^F15)</f>
        <v>34778.347567882811</v>
      </c>
      <c r="I15" s="213"/>
      <c r="J15" s="23"/>
      <c r="K15" s="7"/>
      <c r="L15" s="24">
        <f>SUM(C$26,C$38,(Cases!$AG$25*sensitivity!$D$12),(-Cases!$P$25*sensitivity!$D$11))/((1+C$2)^F15)</f>
        <v>2252.1844743957004</v>
      </c>
      <c r="M15" s="213">
        <f>C$5/((1+C$2)^F15)</f>
        <v>34778.347567882811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3">
      <c r="A16" s="7"/>
      <c r="B16" s="213"/>
      <c r="C16" s="213"/>
      <c r="D16" s="7"/>
      <c r="E16" s="7"/>
      <c r="F16" s="24">
        <v>9</v>
      </c>
      <c r="G16" s="213">
        <f>SUM(C$26,C$38,(Cases!$AG$25*sensitivity!$C$12),(-Cases!$P$25*sensitivity!$C$11))/((1+C$2)^F16)</f>
        <v>5239.3438343470461</v>
      </c>
      <c r="H16" s="213">
        <f>C$5/((1+C$2)^F16)</f>
        <v>33440.718815271932</v>
      </c>
      <c r="I16" s="213"/>
      <c r="J16" s="23"/>
      <c r="K16" s="7"/>
      <c r="L16" s="24">
        <f>SUM(C$26,C$38,(Cases!$AG$25*sensitivity!$D$12),(-Cases!$P$25*sensitivity!$D$11))/((1+C$2)^F16)</f>
        <v>2165.5619946112502</v>
      </c>
      <c r="M16" s="213">
        <f>C$5/((1+C$2)^F16)</f>
        <v>33440.718815271932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SUM(C$26,C$38,(Cases!$AG$25*sensitivity!$C$12),(-Cases!$P$25*sensitivity!$C$11))/((1+C$2)^F17)</f>
        <v>5037.8306099490828</v>
      </c>
      <c r="H17" s="213">
        <f>C$5/((1+C$2)^F17)</f>
        <v>32154.537322376855</v>
      </c>
      <c r="I17" s="213"/>
      <c r="J17" s="23"/>
      <c r="K17" s="7"/>
      <c r="L17" s="24">
        <f>SUM(C$26,C$38,(Cases!$AG$25*sensitivity!$D$12),(-Cases!$P$25*sensitivity!$D$11))/((1+C$2)^F17)</f>
        <v>2082.2711486646635</v>
      </c>
      <c r="M17" s="213">
        <f>C$5/((1+C$2)^F17)</f>
        <v>32154.537322376855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SUM(C$26,C$38,(Cases!$AG$25*sensitivity!$C$12),(-Cases!$P$25*sensitivity!$C$11))/((1+C$2)^F18)</f>
        <v>4844.0678941818105</v>
      </c>
      <c r="H18" s="213">
        <f>C$5/((1+C$2)^F18)</f>
        <v>30917.824348439284</v>
      </c>
      <c r="I18" s="213"/>
      <c r="J18" s="23"/>
      <c r="K18" s="7"/>
      <c r="L18" s="24">
        <f>SUM(C$26,C$38,(Cases!$AG$25*sensitivity!$D$12),(-Cases!$P$25*sensitivity!$D$11))/((1+C$2)^F18)</f>
        <v>2002.1837967929459</v>
      </c>
      <c r="M18" s="213">
        <f>C$5/((1+C$2)^F18)</f>
        <v>30917.824348439284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SUM(C$26,C$38,(Cases!$AG$25*sensitivity!$C$12),(-Cases!$P$25*sensitivity!$C$11))/((1+C$2)^F19)</f>
        <v>4657.7575905594322</v>
      </c>
      <c r="H19" s="213">
        <f>C$5/((1+C$2)^F19)</f>
        <v>29728.677258114691</v>
      </c>
      <c r="I19" s="213"/>
      <c r="J19" s="23"/>
      <c r="K19" s="7"/>
      <c r="L19" s="24">
        <f>SUM(C$26,C$38,(Cases!$AG$25*sensitivity!$D$12),(-Cases!$P$25*sensitivity!$D$11))/((1+C$2)^F19)</f>
        <v>1925.1767276855244</v>
      </c>
      <c r="M19" s="213">
        <f>C$5/((1+C$2)^F19)</f>
        <v>29728.677258114691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SUM(C$26,C$38,(Cases!$AG$25*sensitivity!$C$12),(-Cases!$P$25*sensitivity!$C$11))/((1+C$2)^F20)</f>
        <v>4478.6130678456075</v>
      </c>
      <c r="H20" s="213">
        <f>C$5/((1+C$2)^F20)</f>
        <v>28585.266594341047</v>
      </c>
      <c r="I20" s="213"/>
      <c r="J20" s="23"/>
      <c r="K20" s="7"/>
      <c r="L20" s="24">
        <f>SUM(C$26,C$38,(Cases!$AG$25*sensitivity!$D$12),(-Cases!$P$25*sensitivity!$D$11))/((1+C$2)^F20)</f>
        <v>1851.1314689283888</v>
      </c>
      <c r="M20" s="213">
        <f>C$5/((1+C$2)^F20)</f>
        <v>28585.266594341047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3">
      <c r="A21" s="7"/>
      <c r="B21" s="24" t="s">
        <v>176</v>
      </c>
      <c r="C21" s="42">
        <f>'Electricity prod.'!O17</f>
        <v>153.81759818396444</v>
      </c>
      <c r="D21" s="7"/>
      <c r="E21" s="7"/>
      <c r="F21" s="24">
        <v>14</v>
      </c>
      <c r="G21" s="213">
        <f>SUM(C$26,C$38,(Cases!$AG$25*sensitivity!$C$12),(-Cases!$P$25*sensitivity!$C$11))/((1+C$2)^F21)</f>
        <v>4306.3587190823155</v>
      </c>
      <c r="H21" s="213">
        <f>C$5/((1+C$2)^F21)</f>
        <v>27485.833263789471</v>
      </c>
      <c r="I21" s="213"/>
      <c r="J21" s="23"/>
      <c r="K21" s="7"/>
      <c r="L21" s="24">
        <f>SUM(C$26,C$38,(Cases!$AG$25*sensitivity!$D$12),(-Cases!$P$25*sensitivity!$D$11))/((1+C$2)^F21)</f>
        <v>1779.9341047388355</v>
      </c>
      <c r="M21" s="213">
        <f>C$5/((1+C$2)^F21)</f>
        <v>27485.833263789471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SUM(C$26,C$38,(Cases!$AG$25*sensitivity!$C$12),(-Cases!$P$25*sensitivity!$C$11))/((1+C$2)^F22)</f>
        <v>4140.7295375791491</v>
      </c>
      <c r="H22" s="213">
        <f>C$5/((1+C$2)^F22)</f>
        <v>26428.685830566799</v>
      </c>
      <c r="I22" s="213"/>
      <c r="J22" s="23"/>
      <c r="K22" s="7"/>
      <c r="L22" s="24">
        <f>SUM(C$26,C$38,(Cases!$AG$25*sensitivity!$D$12),(-Cases!$P$25*sensitivity!$D$11))/((1+C$2)^F22)</f>
        <v>1711.4751007104187</v>
      </c>
      <c r="M22" s="213">
        <f>C$5/((1+C$2)^F22)</f>
        <v>26428.685830566799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3">
      <c r="A23" s="7"/>
      <c r="B23" s="24" t="s">
        <v>178</v>
      </c>
      <c r="C23" s="23">
        <f>C19*C21</f>
        <v>30763.519636792887</v>
      </c>
      <c r="D23" s="7"/>
      <c r="E23" s="7"/>
      <c r="F23" s="68">
        <v>16</v>
      </c>
      <c r="G23" s="213">
        <f>SUM(C$26,C$38,(Cases!$AG$25*sensitivity!$C$12),(-Cases!$P$25*sensitivity!$C$11))/((1+C$2)^F23)</f>
        <v>3981.4707092107201</v>
      </c>
      <c r="H23" s="213">
        <f>C$5/((1+C$2)^F23)</f>
        <v>25412.197914006534</v>
      </c>
      <c r="I23" s="213"/>
      <c r="J23" s="23"/>
      <c r="K23" s="7"/>
      <c r="L23" s="24">
        <f>SUM(C$26,C$38,(Cases!$AG$25*sensitivity!$D$12),(-Cases!$P$25*sensitivity!$D$11))/((1+C$2)^F23)</f>
        <v>1645.6491352984792</v>
      </c>
      <c r="M23" s="213">
        <f>C$5/((1+C$2)^F23)</f>
        <v>25412.197914006534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SUM(C$26,C$38,(Cases!$AG$25*sensitivity!$C$12),(-Cases!$P$25*sensitivity!$C$11))/((1+C$2)^F24)</f>
        <v>3828.337220394923</v>
      </c>
      <c r="H24" s="213">
        <f>C$5/((1+C$2)^F24)</f>
        <v>24434.805686544743</v>
      </c>
      <c r="I24" s="213"/>
      <c r="J24" s="23"/>
      <c r="K24" s="7"/>
      <c r="L24" s="24">
        <f>SUM(C$26,C$38,(Cases!$AG$25*sensitivity!$D$12),(-Cases!$P$25*sensitivity!$D$11))/((1+C$2)^F24)</f>
        <v>1582.3549377869992</v>
      </c>
      <c r="M24" s="213">
        <f>C$5/((1+C$2)^F24)</f>
        <v>24434.805686544743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3">
      <c r="A25" s="7"/>
      <c r="B25" s="24"/>
      <c r="C25" s="23"/>
      <c r="D25" s="7"/>
      <c r="E25" s="7"/>
      <c r="F25" s="24">
        <v>18</v>
      </c>
      <c r="G25" s="213">
        <f>SUM(C$26,C$38,(Cases!$AG$25*sensitivity!$C$12),(-Cases!$P$25*sensitivity!$C$11))/((1+C$2)^F25)</f>
        <v>3681.0934811489637</v>
      </c>
      <c r="H25" s="213">
        <f>C$5/((1+C$2)^F25)</f>
        <v>23495.005467831481</v>
      </c>
      <c r="I25" s="213"/>
      <c r="J25" s="23"/>
      <c r="K25" s="7"/>
      <c r="L25" s="24">
        <f>SUM(C$26,C$38,(Cases!$AG$25*sensitivity!$D$12),(-Cases!$P$25*sensitivity!$D$11))/((1+C$2)^F25)</f>
        <v>1521.4951324874992</v>
      </c>
      <c r="M25" s="213">
        <f>C$5/((1+C$2)^F25)</f>
        <v>23495.005467831481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3">
      <c r="A26" s="7"/>
      <c r="B26" s="24" t="s">
        <v>237</v>
      </c>
      <c r="C26" s="23">
        <f>C24*C5</f>
        <v>951.93140211283901</v>
      </c>
      <c r="D26" s="7"/>
      <c r="E26" s="7"/>
      <c r="F26" s="24">
        <v>19</v>
      </c>
      <c r="G26" s="213">
        <f>SUM(C$26,C$38,(Cases!$AG$25*sensitivity!$C$12),(-Cases!$P$25*sensitivity!$C$11))/((1+C$2)^F26)</f>
        <v>3539.5129626432345</v>
      </c>
      <c r="H26" s="213">
        <f>C$5/((1+C$2)^F26)</f>
        <v>22591.351411376425</v>
      </c>
      <c r="I26" s="213"/>
      <c r="J26" s="23"/>
      <c r="K26" s="7"/>
      <c r="L26" s="24">
        <f>SUM(C$26,C$38,(Cases!$AG$25*sensitivity!$D$12),(-Cases!$P$25*sensitivity!$D$11))/((1+C$2)^F26)</f>
        <v>1462.9760889302877</v>
      </c>
      <c r="M26" s="213">
        <f>C$5/((1+C$2)^F26)</f>
        <v>22591.351411376425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SUM(C$26,C$38,(Cases!$AG$25*sensitivity!$C$12),(-Cases!$P$25*sensitivity!$C$11))/((1+C$2)^F27)</f>
        <v>3403.3778486954179</v>
      </c>
      <c r="H27" s="26">
        <f>C$5/((1+C$2)^F27)</f>
        <v>21722.453280169637</v>
      </c>
      <c r="I27" s="26"/>
      <c r="J27" s="27"/>
      <c r="K27" s="7"/>
      <c r="L27" s="25">
        <f>SUM(C$26,C$38,(Cases!$AG$25*sensitivity!$D$12),(-Cases!$P$25*sensitivity!$D$11))/((1+C$2)^F27)</f>
        <v>1406.7077778175842</v>
      </c>
      <c r="M27" s="26">
        <f>C$5/((1+C$2)^F27)</f>
        <v>21722.453280169637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3">
      <c r="A48" s="7"/>
      <c r="B48" s="24" t="s">
        <v>185</v>
      </c>
      <c r="C48" s="42">
        <f>Cases!P29</f>
        <v>164.52155425051501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3">
      <c r="A50" s="7"/>
      <c r="B50" s="24" t="s">
        <v>222</v>
      </c>
      <c r="C50" s="23">
        <f>C48*C49</f>
        <v>43567.744921895646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3">
      <c r="A53" s="7"/>
      <c r="B53" s="24" t="s">
        <v>223</v>
      </c>
      <c r="C53" s="23">
        <f>C50+C52+C51</f>
        <v>46307.744921895646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3">
      <c r="A54" s="7"/>
      <c r="B54" s="24" t="s">
        <v>214</v>
      </c>
      <c r="C54" s="23">
        <f>C50*K78</f>
        <v>1938.8885276718163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149970.21392787027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22972.924188069712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0.53097532547984927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22972.924188069712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689.18772564209132</v>
      </c>
      <c r="M67" s="26">
        <f>(M66/100)*M63</f>
        <v>789.18304842961788</v>
      </c>
      <c r="N67" s="27">
        <f>SUM(K67:M67)</f>
        <v>3025.7555668642481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  <c r="AG84" s="7"/>
    </row>
    <row r="85" spans="1:33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  <c r="AG85" s="7"/>
    </row>
    <row r="86" spans="1:33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  <c r="AG86" s="7"/>
    </row>
    <row r="87" spans="1:33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  <c r="AG87" s="7"/>
    </row>
    <row r="88" spans="1:33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  <c r="AG88" s="7"/>
    </row>
    <row r="89" spans="1:33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AB88</f>
        <v>30025.183650718991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  <c r="AG89" s="7"/>
    </row>
    <row r="90" spans="1:33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901.65716668825803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38.288206980116186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22972.924188069712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901.65716668825803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38.288206980116186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  <c r="AG100" s="7"/>
    </row>
    <row r="101" spans="1:33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8CCC-F55D-4DA2-81AA-7AF00FF81B1D}">
  <dimension ref="A1:AM108"/>
  <sheetViews>
    <sheetView workbookViewId="0">
      <selection activeCell="C7" sqref="C7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18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8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8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</row>
    <row r="5" spans="1:18" x14ac:dyDescent="0.3">
      <c r="A5" s="7"/>
      <c r="B5" s="24" t="s">
        <v>190</v>
      </c>
      <c r="C5" s="40">
        <f>Cases!Q30</f>
        <v>47596.570105641949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0.46034908931446278</v>
      </c>
      <c r="K5" s="7"/>
      <c r="L5" s="24"/>
      <c r="M5" s="213" t="s">
        <v>293</v>
      </c>
      <c r="N5" s="213"/>
      <c r="O5" s="23">
        <f>SUM(L7:L27)/SUM(M7:M49)</f>
        <v>0.37972102373330541</v>
      </c>
      <c r="P5" s="7"/>
      <c r="Q5" s="7"/>
      <c r="R5" s="7"/>
    </row>
    <row r="6" spans="1:18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297778.15293555456</v>
      </c>
      <c r="K6" s="7"/>
      <c r="L6" s="24"/>
      <c r="M6" s="213">
        <f>SUM(H8:H27)</f>
        <v>646852.92063680699</v>
      </c>
      <c r="N6" s="213"/>
      <c r="O6" s="23">
        <f>O5*SUM(M7:M27)</f>
        <v>245623.65322908689</v>
      </c>
      <c r="P6" s="7"/>
      <c r="Q6" s="7"/>
      <c r="R6" s="7"/>
    </row>
    <row r="7" spans="1:18" x14ac:dyDescent="0.3">
      <c r="A7" s="7"/>
      <c r="D7" s="7"/>
      <c r="E7" s="7"/>
      <c r="F7" s="24">
        <v>2050</v>
      </c>
      <c r="G7" s="214">
        <f>SUM(C23,C34,C39)</f>
        <v>181096.8529701262</v>
      </c>
      <c r="H7" s="213"/>
      <c r="I7" s="213"/>
      <c r="J7" s="23"/>
      <c r="K7" s="7"/>
      <c r="L7" s="77">
        <f>SUM(C23,C34,C39)</f>
        <v>181096.8529701262</v>
      </c>
      <c r="M7" s="213"/>
      <c r="N7" s="213"/>
      <c r="O7" s="23"/>
      <c r="P7" s="7"/>
      <c r="Q7" s="7"/>
      <c r="R7" s="7"/>
    </row>
    <row r="8" spans="1:18" x14ac:dyDescent="0.3">
      <c r="A8" s="7"/>
      <c r="B8" s="213"/>
      <c r="C8" s="213"/>
      <c r="D8" s="7"/>
      <c r="E8" s="7"/>
      <c r="F8" s="24">
        <v>1</v>
      </c>
      <c r="G8" s="213">
        <f>SUM(C$26,C$38,(Cases!$AH$25*sensitivity!$C$12),(-Cases!$P$25*sensitivity!$C$11))/((1+C$2)^F8)</f>
        <v>8255.3983481500036</v>
      </c>
      <c r="H8" s="213">
        <f>C$5/((1+C$2)^F8)</f>
        <v>45765.932793886488</v>
      </c>
      <c r="I8" s="213"/>
      <c r="J8" s="23"/>
      <c r="K8" s="7"/>
      <c r="L8" s="24">
        <f>SUM(C$26,C$38,(Cases!$AH$25*sensitivity!$D$12),(-Cases!$P$25*sensitivity!$D$11))/((1+C$2)^F8)</f>
        <v>4565.3797174616857</v>
      </c>
      <c r="M8" s="213">
        <f>C$5/((1+C$2)^F8)</f>
        <v>45765.932793886488</v>
      </c>
      <c r="N8" s="213"/>
      <c r="O8" s="23"/>
      <c r="P8" s="7"/>
      <c r="Q8" s="7"/>
      <c r="R8" s="7"/>
    </row>
    <row r="9" spans="1:18" x14ac:dyDescent="0.3">
      <c r="A9" s="7"/>
      <c r="B9" s="213"/>
      <c r="C9" s="213"/>
      <c r="D9" s="7"/>
      <c r="E9" s="7"/>
      <c r="F9" s="24">
        <v>2</v>
      </c>
      <c r="G9" s="213">
        <f>SUM(C$26,C$38,(Cases!$AH$25*sensitivity!$C$12),(-Cases!$P$25*sensitivity!$C$11))/((1+C$2)^F9)</f>
        <v>7937.8830270673097</v>
      </c>
      <c r="H9" s="213">
        <f>C$5/((1+C$2)^F9)</f>
        <v>44005.704609506232</v>
      </c>
      <c r="I9" s="213"/>
      <c r="J9" s="23"/>
      <c r="K9" s="7"/>
      <c r="L9" s="24">
        <f>SUM(C$26,C$38,(Cases!$AH$25*sensitivity!$D$12),(-Cases!$P$25*sensitivity!$D$11))/((1+C$2)^F9)</f>
        <v>4389.7881898670048</v>
      </c>
      <c r="M9" s="213">
        <f>C$5/((1+C$2)^F9)</f>
        <v>44005.704609506232</v>
      </c>
      <c r="N9" s="213"/>
      <c r="O9" s="23"/>
      <c r="P9" s="7"/>
      <c r="Q9" s="7"/>
      <c r="R9" s="7"/>
    </row>
    <row r="10" spans="1:18" x14ac:dyDescent="0.3">
      <c r="A10" s="7"/>
      <c r="B10" s="176"/>
      <c r="C10" s="176"/>
      <c r="D10" s="7"/>
      <c r="E10" s="7"/>
      <c r="F10" s="24">
        <v>3</v>
      </c>
      <c r="G10" s="213">
        <f>SUM(C$26,C$38,(Cases!$AH$25*sensitivity!$C$12),(-Cases!$P$25*sensitivity!$C$11))/((1+C$2)^F10)</f>
        <v>7632.579833718567</v>
      </c>
      <c r="H10" s="213">
        <f>C$5/((1+C$2)^F10)</f>
        <v>42313.177509140609</v>
      </c>
      <c r="I10" s="213"/>
      <c r="J10" s="23"/>
      <c r="K10" s="7"/>
      <c r="L10" s="24">
        <f>SUM(C$26,C$38,(Cases!$AH$25*sensitivity!$D$12),(-Cases!$P$25*sensitivity!$D$11))/((1+C$2)^F10)</f>
        <v>4220.9501825644275</v>
      </c>
      <c r="M10" s="213">
        <f>C$5/((1+C$2)^F10)</f>
        <v>42313.177509140609</v>
      </c>
      <c r="N10" s="213"/>
      <c r="O10" s="23"/>
      <c r="P10" s="7"/>
      <c r="Q10" s="7"/>
      <c r="R10" s="7"/>
    </row>
    <row r="11" spans="1:18" x14ac:dyDescent="0.3">
      <c r="A11" s="7"/>
      <c r="B11" s="176"/>
      <c r="C11" s="176"/>
      <c r="D11" s="7"/>
      <c r="E11" s="7"/>
      <c r="F11" s="24">
        <v>4</v>
      </c>
      <c r="G11" s="213">
        <f>SUM(C$26,C$38,(Cases!$AH$25*sensitivity!$C$12),(-Cases!$P$25*sensitivity!$C$11))/((1+C$2)^F11)</f>
        <v>7339.019070883237</v>
      </c>
      <c r="H11" s="213">
        <f>C$5/((1+C$2)^F11)</f>
        <v>40685.747604942895</v>
      </c>
      <c r="I11" s="213"/>
      <c r="J11" s="23"/>
      <c r="K11" s="7"/>
      <c r="L11" s="24">
        <f>SUM(C$26,C$38,(Cases!$AH$25*sensitivity!$D$12),(-Cases!$P$25*sensitivity!$D$11))/((1+C$2)^F11)</f>
        <v>4058.6059447734879</v>
      </c>
      <c r="M11" s="213">
        <f>C$5/((1+C$2)^F11)</f>
        <v>40685.747604942895</v>
      </c>
      <c r="N11" s="213"/>
      <c r="O11" s="23"/>
      <c r="P11" s="7"/>
      <c r="Q11" s="7"/>
      <c r="R11" s="7"/>
    </row>
    <row r="12" spans="1:18" x14ac:dyDescent="0.3">
      <c r="A12" s="7"/>
      <c r="B12" s="213"/>
      <c r="C12" s="213"/>
      <c r="D12" s="7"/>
      <c r="E12" s="7"/>
      <c r="F12" s="24">
        <v>5</v>
      </c>
      <c r="G12" s="213">
        <f>SUM(C$26,C$38,(Cases!$AH$25*sensitivity!$C$12),(-Cases!$P$25*sensitivity!$C$11))/((1+C$2)^F12)</f>
        <v>7056.7491066184966</v>
      </c>
      <c r="H12" s="213">
        <f>C$5/((1+C$2)^F12)</f>
        <v>39120.91115859893</v>
      </c>
      <c r="I12" s="213"/>
      <c r="J12" s="23"/>
      <c r="K12" s="7"/>
      <c r="L12" s="24">
        <f>SUM(C$26,C$38,(Cases!$AH$25*sensitivity!$D$12),(-Cases!$P$25*sensitivity!$D$11))/((1+C$2)^F12)</f>
        <v>3902.5057161283535</v>
      </c>
      <c r="M12" s="213">
        <f>C$5/((1+C$2)^F12)</f>
        <v>39120.91115859893</v>
      </c>
      <c r="N12" s="213"/>
      <c r="O12" s="23"/>
      <c r="P12" s="7"/>
      <c r="Q12" s="7"/>
      <c r="R12" s="7"/>
    </row>
    <row r="13" spans="1:18" x14ac:dyDescent="0.3">
      <c r="A13" s="7"/>
      <c r="B13" s="213"/>
      <c r="C13" s="213"/>
      <c r="D13" s="7"/>
      <c r="E13" s="7"/>
      <c r="F13" s="24">
        <v>6</v>
      </c>
      <c r="G13" s="213">
        <f>SUM(C$26,C$38,(Cases!$AH$25*sensitivity!$C$12),(-Cases!$P$25*sensitivity!$C$11))/((1+C$2)^F13)</f>
        <v>6785.3356794408619</v>
      </c>
      <c r="H13" s="213">
        <f>C$5/((1+C$2)^F13)</f>
        <v>37616.260729422051</v>
      </c>
      <c r="I13" s="213"/>
      <c r="J13" s="23"/>
      <c r="K13" s="7"/>
      <c r="L13" s="24">
        <f>SUM(C$26,C$38,(Cases!$AH$25*sensitivity!$D$12),(-Cases!$P$25*sensitivity!$D$11))/((1+C$2)^F13)</f>
        <v>3752.4093424311091</v>
      </c>
      <c r="M13" s="213">
        <f>C$5/((1+C$2)^F13)</f>
        <v>37616.260729422051</v>
      </c>
      <c r="N13" s="213"/>
      <c r="O13" s="23"/>
      <c r="P13" s="7"/>
      <c r="Q13" s="7"/>
      <c r="R13" s="7"/>
    </row>
    <row r="14" spans="1:18" x14ac:dyDescent="0.3">
      <c r="A14" s="7"/>
      <c r="B14" s="213"/>
      <c r="C14" s="213"/>
      <c r="D14" s="7"/>
      <c r="E14" s="7"/>
      <c r="F14" s="24">
        <v>7</v>
      </c>
      <c r="G14" s="213">
        <f>SUM(C$26,C$38,(Cases!$AH$25*sensitivity!$C$12),(-Cases!$P$25*sensitivity!$C$11))/((1+C$2)^F14)</f>
        <v>6524.3612302315987</v>
      </c>
      <c r="H14" s="213">
        <f>C$5/((1+C$2)^F14)</f>
        <v>36169.481470598126</v>
      </c>
      <c r="I14" s="213"/>
      <c r="J14" s="23"/>
      <c r="K14" s="7"/>
      <c r="L14" s="24">
        <f>SUM(C$26,C$38,(Cases!$AH$25*sensitivity!$D$12),(-Cases!$P$25*sensitivity!$D$11))/((1+C$2)^F14)</f>
        <v>3608.0859061837587</v>
      </c>
      <c r="M14" s="213">
        <f>C$5/((1+C$2)^F14)</f>
        <v>36169.481470598126</v>
      </c>
      <c r="N14" s="213"/>
      <c r="O14" s="23"/>
      <c r="P14" s="7"/>
      <c r="Q14" s="7"/>
      <c r="R14" s="7"/>
    </row>
    <row r="15" spans="1:18" x14ac:dyDescent="0.3">
      <c r="A15" s="7"/>
      <c r="B15" s="176"/>
      <c r="C15" s="176"/>
      <c r="D15" s="7"/>
      <c r="E15" s="7"/>
      <c r="F15" s="24">
        <v>8</v>
      </c>
      <c r="G15" s="213">
        <f>SUM(C$26,C$38,(Cases!$AH$25*sensitivity!$C$12),(-Cases!$P$25*sensitivity!$C$11))/((1+C$2)^F15)</f>
        <v>6273.4242598380742</v>
      </c>
      <c r="H15" s="213">
        <f>C$5/((1+C$2)^F15)</f>
        <v>34778.347567882811</v>
      </c>
      <c r="I15" s="213"/>
      <c r="J15" s="23"/>
      <c r="K15" s="7"/>
      <c r="L15" s="24">
        <f>SUM(C$26,C$38,(Cases!$AH$25*sensitivity!$D$12),(-Cases!$P$25*sensitivity!$D$11))/((1+C$2)^F15)</f>
        <v>3469.3133713305369</v>
      </c>
      <c r="M15" s="213">
        <f>C$5/((1+C$2)^F15)</f>
        <v>34778.347567882811</v>
      </c>
      <c r="N15" s="213"/>
      <c r="O15" s="23"/>
      <c r="P15" s="7"/>
      <c r="Q15" s="7"/>
      <c r="R15" s="7"/>
    </row>
    <row r="16" spans="1:18" x14ac:dyDescent="0.3">
      <c r="A16" s="7"/>
      <c r="B16" s="7"/>
      <c r="C16" s="7"/>
      <c r="D16" s="7"/>
      <c r="E16" s="7"/>
      <c r="F16" s="24">
        <v>9</v>
      </c>
      <c r="G16" s="213">
        <f>SUM(C$26,C$38,(Cases!$AH$25*sensitivity!$C$12),(-Cases!$P$25*sensitivity!$C$11))/((1+C$2)^F16)</f>
        <v>6032.1387113827632</v>
      </c>
      <c r="H16" s="213">
        <f>C$5/((1+C$2)^F16)</f>
        <v>33440.718815271932</v>
      </c>
      <c r="I16" s="213"/>
      <c r="J16" s="23"/>
      <c r="K16" s="7"/>
      <c r="L16" s="24">
        <f>SUM(C$26,C$38,(Cases!$AH$25*sensitivity!$D$12),(-Cases!$P$25*sensitivity!$D$11))/((1+C$2)^F16)</f>
        <v>3335.8782416639774</v>
      </c>
      <c r="M16" s="213">
        <f>C$5/((1+C$2)^F16)</f>
        <v>33440.718815271932</v>
      </c>
      <c r="N16" s="213"/>
      <c r="O16" s="23"/>
      <c r="P16" s="7"/>
      <c r="Q16" s="7"/>
      <c r="R16" s="7"/>
    </row>
    <row r="17" spans="1:18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SUM(C$26,C$38,(Cases!$AH$25*sensitivity!$C$12),(-Cases!$P$25*sensitivity!$C$11))/((1+C$2)^F17)</f>
        <v>5800.1333763295806</v>
      </c>
      <c r="H17" s="213">
        <f>C$5/((1+C$2)^F17)</f>
        <v>32154.537322376855</v>
      </c>
      <c r="I17" s="213"/>
      <c r="J17" s="23"/>
      <c r="K17" s="7"/>
      <c r="L17" s="24">
        <f>SUM(C$26,C$38,(Cases!$AH$25*sensitivity!$D$12),(-Cases!$P$25*sensitivity!$D$11))/((1+C$2)^F17)</f>
        <v>3207.5752323692091</v>
      </c>
      <c r="M17" s="213">
        <f>C$5/((1+C$2)^F17)</f>
        <v>32154.537322376855</v>
      </c>
      <c r="N17" s="213"/>
      <c r="O17" s="23"/>
      <c r="P17" s="7"/>
      <c r="Q17" s="7"/>
      <c r="R17" s="7"/>
    </row>
    <row r="18" spans="1:18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SUM(C$26,C$38,(Cases!$AH$25*sensitivity!$C$12),(-Cases!$P$25*sensitivity!$C$11))/((1+C$2)^F18)</f>
        <v>5577.0513233938273</v>
      </c>
      <c r="H18" s="213">
        <f>C$5/((1+C$2)^F18)</f>
        <v>30917.824348439284</v>
      </c>
      <c r="I18" s="213"/>
      <c r="J18" s="23"/>
      <c r="K18" s="7"/>
      <c r="L18" s="24">
        <f>SUM(C$26,C$38,(Cases!$AH$25*sensitivity!$D$12),(-Cases!$P$25*sensitivity!$D$11))/((1+C$2)^F18)</f>
        <v>3084.2069542011627</v>
      </c>
      <c r="M18" s="213">
        <f>C$5/((1+C$2)^F18)</f>
        <v>30917.824348439284</v>
      </c>
      <c r="N18" s="213"/>
      <c r="O18" s="23"/>
      <c r="P18" s="7"/>
      <c r="Q18" s="7"/>
      <c r="R18" s="7"/>
    </row>
    <row r="19" spans="1:18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SUM(C$26,C$38,(Cases!$AH$25*sensitivity!$C$12),(-Cases!$P$25*sensitivity!$C$11))/((1+C$2)^F19)</f>
        <v>5362.5493494171405</v>
      </c>
      <c r="H19" s="213">
        <f>C$5/((1+C$2)^F19)</f>
        <v>29728.677258114691</v>
      </c>
      <c r="I19" s="213"/>
      <c r="J19" s="23"/>
      <c r="K19" s="7"/>
      <c r="L19" s="24">
        <f>SUM(C$26,C$38,(Cases!$AH$25*sensitivity!$D$12),(-Cases!$P$25*sensitivity!$D$11))/((1+C$2)^F19)</f>
        <v>2965.5836098088098</v>
      </c>
      <c r="M19" s="213">
        <f>C$5/((1+C$2)^F19)</f>
        <v>29728.677258114691</v>
      </c>
      <c r="N19" s="213"/>
      <c r="O19" s="23"/>
      <c r="P19" s="7"/>
      <c r="Q19" s="7"/>
      <c r="R19" s="7"/>
    </row>
    <row r="20" spans="1:18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SUM(C$26,C$38,(Cases!$AH$25*sensitivity!$C$12),(-Cases!$P$25*sensitivity!$C$11))/((1+C$2)^F20)</f>
        <v>5156.297451362635</v>
      </c>
      <c r="H20" s="213">
        <f>C$5/((1+C$2)^F20)</f>
        <v>28585.266594341047</v>
      </c>
      <c r="I20" s="213"/>
      <c r="J20" s="23"/>
      <c r="K20" s="7"/>
      <c r="L20" s="24">
        <f>SUM(C$26,C$38,(Cases!$AH$25*sensitivity!$D$12),(-Cases!$P$25*sensitivity!$D$11))/((1+C$2)^F20)</f>
        <v>2851.5227017392399</v>
      </c>
      <c r="M20" s="213">
        <f>C$5/((1+C$2)^F20)</f>
        <v>28585.266594341047</v>
      </c>
      <c r="N20" s="213"/>
      <c r="O20" s="23"/>
      <c r="P20" s="7"/>
      <c r="Q20" s="7"/>
      <c r="R20" s="7"/>
    </row>
    <row r="21" spans="1:18" x14ac:dyDescent="0.3">
      <c r="A21" s="7"/>
      <c r="B21" s="24" t="s">
        <v>176</v>
      </c>
      <c r="C21" s="42">
        <f>'Electricity prod.'!O17</f>
        <v>153.81759818396444</v>
      </c>
      <c r="D21" s="7"/>
      <c r="E21" s="7"/>
      <c r="F21" s="24">
        <v>14</v>
      </c>
      <c r="G21" s="213">
        <f>SUM(C$26,C$38,(Cases!$AH$25*sensitivity!$C$12),(-Cases!$P$25*sensitivity!$C$11))/((1+C$2)^F21)</f>
        <v>4957.9783186179184</v>
      </c>
      <c r="H21" s="213">
        <f>C$5/((1+C$2)^F21)</f>
        <v>27485.833263789471</v>
      </c>
      <c r="I21" s="213"/>
      <c r="J21" s="23"/>
      <c r="K21" s="7"/>
      <c r="L21" s="24">
        <f>SUM(C$26,C$38,(Cases!$AH$25*sensitivity!$D$12),(-Cases!$P$25*sensitivity!$D$11))/((1+C$2)^F21)</f>
        <v>2741.8487516723462</v>
      </c>
      <c r="M21" s="213">
        <f>C$5/((1+C$2)^F21)</f>
        <v>27485.833263789471</v>
      </c>
      <c r="N21" s="213"/>
      <c r="O21" s="23"/>
      <c r="P21" s="7"/>
      <c r="Q21" s="7"/>
      <c r="R21" s="7"/>
    </row>
    <row r="22" spans="1:18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SUM(C$26,C$38,(Cases!$AH$25*sensitivity!$C$12),(-Cases!$P$25*sensitivity!$C$11))/((1+C$2)^F22)</f>
        <v>4767.2868448249219</v>
      </c>
      <c r="H22" s="213">
        <f>C$5/((1+C$2)^F22)</f>
        <v>26428.685830566799</v>
      </c>
      <c r="I22" s="213"/>
      <c r="J22" s="23"/>
      <c r="K22" s="7"/>
      <c r="L22" s="24">
        <f>SUM(C$26,C$38,(Cases!$AH$25*sensitivity!$D$12),(-Cases!$P$25*sensitivity!$D$11))/((1+C$2)^F22)</f>
        <v>2636.3930304541791</v>
      </c>
      <c r="M22" s="213">
        <f>C$5/((1+C$2)^F22)</f>
        <v>26428.685830566799</v>
      </c>
      <c r="N22" s="213"/>
      <c r="O22" s="23"/>
      <c r="P22" s="7"/>
      <c r="Q22" s="7"/>
      <c r="R22" s="7"/>
    </row>
    <row r="23" spans="1:18" x14ac:dyDescent="0.3">
      <c r="A23" s="7"/>
      <c r="B23" s="24" t="s">
        <v>178</v>
      </c>
      <c r="C23" s="23">
        <f>C19*C21</f>
        <v>30763.519636792887</v>
      </c>
      <c r="D23" s="7"/>
      <c r="E23" s="7"/>
      <c r="F23" s="68">
        <v>16</v>
      </c>
      <c r="G23" s="213">
        <f>SUM(C$26,C$38,(Cases!$AH$25*sensitivity!$C$12),(-Cases!$P$25*sensitivity!$C$11))/((1+C$2)^F23)</f>
        <v>4583.929658485501</v>
      </c>
      <c r="H23" s="213">
        <f>C$5/((1+C$2)^F23)</f>
        <v>25412.197914006534</v>
      </c>
      <c r="I23" s="213"/>
      <c r="J23" s="23"/>
      <c r="K23" s="7"/>
      <c r="L23" s="24">
        <f>SUM(C$26,C$38,(Cases!$AH$25*sensitivity!$D$12),(-Cases!$P$25*sensitivity!$D$11))/((1+C$2)^F23)</f>
        <v>2534.9932985136334</v>
      </c>
      <c r="M23" s="213">
        <f>C$5/((1+C$2)^F23)</f>
        <v>25412.197914006534</v>
      </c>
      <c r="N23" s="213"/>
      <c r="O23" s="23"/>
      <c r="P23" s="7"/>
      <c r="Q23" s="7"/>
      <c r="R23" s="7"/>
    </row>
    <row r="24" spans="1:18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SUM(C$26,C$38,(Cases!$AH$25*sensitivity!$C$12),(-Cases!$P$25*sensitivity!$C$11))/((1+C$2)^F24)</f>
        <v>4407.6246716206742</v>
      </c>
      <c r="H24" s="213">
        <f>C$5/((1+C$2)^F24)</f>
        <v>24434.805686544743</v>
      </c>
      <c r="I24" s="213"/>
      <c r="J24" s="23"/>
      <c r="K24" s="7"/>
      <c r="L24" s="24">
        <f>SUM(C$26,C$38,(Cases!$AH$25*sensitivity!$D$12),(-Cases!$P$25*sensitivity!$D$11))/((1+C$2)^F24)</f>
        <v>2437.493556263109</v>
      </c>
      <c r="M24" s="213">
        <f>C$5/((1+C$2)^F24)</f>
        <v>24434.805686544743</v>
      </c>
      <c r="N24" s="213"/>
      <c r="O24" s="23"/>
      <c r="P24" s="7"/>
      <c r="Q24" s="7"/>
      <c r="R24" s="7"/>
    </row>
    <row r="25" spans="1:18" x14ac:dyDescent="0.3">
      <c r="A25" s="7"/>
      <c r="B25" s="24"/>
      <c r="C25" s="23"/>
      <c r="D25" s="7"/>
      <c r="E25" s="7"/>
      <c r="F25" s="24">
        <v>18</v>
      </c>
      <c r="G25" s="213">
        <f>SUM(C$26,C$38,(Cases!$AH$25*sensitivity!$C$12),(-Cases!$P$25*sensitivity!$C$11))/((1+C$2)^F25)</f>
        <v>4238.100645789109</v>
      </c>
      <c r="H25" s="213">
        <f>C$5/((1+C$2)^F25)</f>
        <v>23495.005467831481</v>
      </c>
      <c r="I25" s="213"/>
      <c r="J25" s="23"/>
      <c r="K25" s="7"/>
      <c r="L25" s="24">
        <f>SUM(C$26,C$38,(Cases!$AH$25*sensitivity!$D$12),(-Cases!$P$25*sensitivity!$D$11))/((1+C$2)^F25)</f>
        <v>2343.7438040991428</v>
      </c>
      <c r="M25" s="213">
        <f>C$5/((1+C$2)^F25)</f>
        <v>23495.005467831481</v>
      </c>
      <c r="N25" s="213"/>
      <c r="O25" s="23"/>
      <c r="P25" s="7"/>
      <c r="Q25" s="7"/>
      <c r="R25" s="7"/>
    </row>
    <row r="26" spans="1:18" x14ac:dyDescent="0.3">
      <c r="A26" s="7"/>
      <c r="B26" s="24" t="s">
        <v>237</v>
      </c>
      <c r="C26" s="23">
        <f>C24*C5</f>
        <v>951.93140211283901</v>
      </c>
      <c r="D26" s="7"/>
      <c r="E26" s="7"/>
      <c r="F26" s="24">
        <v>19</v>
      </c>
      <c r="G26" s="213">
        <f>SUM(C$26,C$38,(Cases!$AH$25*sensitivity!$C$12),(-Cases!$P$25*sensitivity!$C$11))/((1+C$2)^F26)</f>
        <v>4075.0967747972204</v>
      </c>
      <c r="H26" s="213">
        <f>C$5/((1+C$2)^F26)</f>
        <v>22591.351411376425</v>
      </c>
      <c r="I26" s="213"/>
      <c r="J26" s="23"/>
      <c r="K26" s="7"/>
      <c r="L26" s="24">
        <f>SUM(C$26,C$38,(Cases!$AH$25*sensitivity!$D$12),(-Cases!$P$25*sensitivity!$D$11))/((1+C$2)^F26)</f>
        <v>2253.5998116337914</v>
      </c>
      <c r="M26" s="213">
        <f>C$5/((1+C$2)^F26)</f>
        <v>22591.351411376425</v>
      </c>
      <c r="N26" s="213"/>
      <c r="O26" s="23"/>
      <c r="P26" s="7"/>
      <c r="Q26" s="7"/>
      <c r="R26" s="7"/>
    </row>
    <row r="27" spans="1:18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SUM(C$26,C$38,(Cases!$AH$25*sensitivity!$C$12),(-Cases!$P$25*sensitivity!$C$11))/((1+C$2)^F27)</f>
        <v>3918.3622834588655</v>
      </c>
      <c r="H27" s="26">
        <f>C$5/((1+C$2)^F27)</f>
        <v>21722.453280169637</v>
      </c>
      <c r="I27" s="26"/>
      <c r="J27" s="27"/>
      <c r="K27" s="7"/>
      <c r="L27" s="25">
        <f>SUM(C$26,C$38,(Cases!$AH$25*sensitivity!$D$12),(-Cases!$P$25*sensitivity!$D$11))/((1+C$2)^F27)</f>
        <v>2166.9228958017225</v>
      </c>
      <c r="M27" s="26">
        <f>C$5/((1+C$2)^F27)</f>
        <v>21722.453280169637</v>
      </c>
      <c r="N27" s="26"/>
      <c r="O27" s="27"/>
      <c r="P27" s="7"/>
      <c r="Q27" s="7"/>
      <c r="R27" s="7"/>
    </row>
    <row r="28" spans="1:18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8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8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3">
      <c r="A48" s="7"/>
      <c r="B48" s="24" t="s">
        <v>185</v>
      </c>
      <c r="C48" s="42">
        <f>Cases!Q29</f>
        <v>193.9643282443096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39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39" x14ac:dyDescent="0.3">
      <c r="A50" s="7"/>
      <c r="B50" s="24" t="s">
        <v>222</v>
      </c>
      <c r="C50" s="23">
        <f>C48*C49</f>
        <v>51364.627664696804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39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39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3">
      <c r="A53" s="7"/>
      <c r="B53" s="24" t="s">
        <v>223</v>
      </c>
      <c r="C53" s="23">
        <f>C50+C52+C51</f>
        <v>54104.627664696804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3">
      <c r="A54" s="7"/>
      <c r="B54" s="24" t="s">
        <v>214</v>
      </c>
      <c r="C54" s="23">
        <f>C50*K78</f>
        <v>2285.8719790466912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166573.39090904791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27084.158232309219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0.55938754830378001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27084.158232309219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812.52474696927652</v>
      </c>
      <c r="M67" s="26">
        <f>(M66/100)*M63</f>
        <v>789.18304842961788</v>
      </c>
      <c r="N67" s="27">
        <f>SUM(K67:M67)</f>
        <v>3149.0925881914336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  <c r="AG84" s="7"/>
      <c r="AH84" s="7"/>
      <c r="AI84" s="7"/>
      <c r="AJ84" s="7"/>
      <c r="AK84" s="7"/>
      <c r="AL84" s="7"/>
      <c r="AM84" s="7"/>
    </row>
    <row r="85" spans="1:39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  <c r="AG85" s="7"/>
      <c r="AH85" s="7"/>
      <c r="AI85" s="7"/>
      <c r="AJ85" s="7"/>
      <c r="AK85" s="7"/>
      <c r="AL85" s="7"/>
      <c r="AM85" s="7"/>
    </row>
    <row r="86" spans="1:39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  <c r="AG86" s="7"/>
      <c r="AH86" s="7"/>
      <c r="AI86" s="7"/>
      <c r="AJ86" s="7"/>
      <c r="AK86" s="7"/>
      <c r="AL86" s="7"/>
      <c r="AM86" s="7"/>
    </row>
    <row r="87" spans="1:39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  <c r="AG87" s="7"/>
      <c r="AH87" s="7"/>
      <c r="AI87" s="7"/>
      <c r="AJ87" s="7"/>
      <c r="AK87" s="7"/>
      <c r="AL87" s="7"/>
      <c r="AM87" s="7"/>
    </row>
    <row r="88" spans="1:39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  <c r="AG88" s="7"/>
      <c r="AH88" s="7"/>
      <c r="AI88" s="7"/>
      <c r="AJ88" s="7"/>
      <c r="AK88" s="7"/>
      <c r="AL88" s="7"/>
      <c r="AM88" s="7"/>
    </row>
    <row r="89" spans="1:39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AC88</f>
        <v>35398.489904586502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  <c r="AG89" s="7"/>
      <c r="AH89" s="7"/>
      <c r="AI89" s="7"/>
      <c r="AJ89" s="7"/>
      <c r="AK89" s="7"/>
      <c r="AL89" s="7"/>
      <c r="AM89" s="7"/>
    </row>
    <row r="90" spans="1:39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1063.0177148524476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45.140263720515364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27084.158232309219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1063.0177148524476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45.140263720515364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9FE4-AC06-47F8-A387-B36885ABD53D}">
  <dimension ref="A1:AJ101"/>
  <sheetViews>
    <sheetView workbookViewId="0">
      <selection activeCell="E2" sqref="E2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6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3">
      <c r="A5" s="7"/>
      <c r="B5" s="24" t="s">
        <v>190</v>
      </c>
      <c r="C5" s="40">
        <f>Cases!R30</f>
        <v>47596.570105641949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0.45525629401904205</v>
      </c>
      <c r="K5" s="7"/>
      <c r="L5" s="24"/>
      <c r="M5" s="213" t="s">
        <v>293</v>
      </c>
      <c r="N5" s="213"/>
      <c r="O5" s="23">
        <f>SUM(L7:L27)/SUM(M7:M49)</f>
        <v>0.37220308782101769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294483.86342450627</v>
      </c>
      <c r="K6" s="7"/>
      <c r="L6" s="24"/>
      <c r="M6" s="213">
        <f>SUM(H8:H27)</f>
        <v>646852.92063680699</v>
      </c>
      <c r="N6" s="213"/>
      <c r="O6" s="23">
        <f>O5*SUM(M7:M27)</f>
        <v>240760.65442706324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">
      <c r="A7" s="7"/>
      <c r="B7" s="213"/>
      <c r="C7" s="213"/>
      <c r="D7" s="7"/>
      <c r="E7" s="7"/>
      <c r="F7" s="24">
        <v>2050</v>
      </c>
      <c r="G7" s="214">
        <f>SUM(C23,C34,C39)</f>
        <v>181096.8529701262</v>
      </c>
      <c r="H7" s="213"/>
      <c r="I7" s="213"/>
      <c r="J7" s="23"/>
      <c r="K7" s="7"/>
      <c r="L7" s="77">
        <f>SUM(C23,C34,C39)</f>
        <v>181096.8529701262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3">
      <c r="A8" s="7"/>
      <c r="B8" s="213"/>
      <c r="C8" s="213"/>
      <c r="D8" s="7"/>
      <c r="E8" s="7"/>
      <c r="F8" s="24">
        <v>1</v>
      </c>
      <c r="G8" s="213">
        <f>SUM(C$26,C$38,(Cases!$AI$25*sensitivity!$C$12),(-Cases!$P$25*sensitivity!$C$11))/((1+C$2)^F8)</f>
        <v>8022.3218209267579</v>
      </c>
      <c r="H8" s="213">
        <f>C$5/((1+C$2)^F8)</f>
        <v>45765.932793886488</v>
      </c>
      <c r="I8" s="213"/>
      <c r="J8" s="23"/>
      <c r="K8" s="7"/>
      <c r="L8" s="24">
        <f>SUM(C$26,C$38,(Cases!$AI$25*sensitivity!$D$12),(-Cases!$P$25*sensitivity!$D$11))/((1+C$2)^F8)</f>
        <v>4221.3143677511789</v>
      </c>
      <c r="M8" s="213">
        <f>C$5/((1+C$2)^F8)</f>
        <v>45765.932793886488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3">
      <c r="A9" s="7"/>
      <c r="B9" s="213"/>
      <c r="C9" s="213"/>
      <c r="D9" s="7"/>
      <c r="E9" s="7"/>
      <c r="F9" s="24">
        <v>2</v>
      </c>
      <c r="G9" s="213">
        <f>SUM(C$26,C$38,(Cases!$AI$25*sensitivity!$C$12),(-Cases!$P$25*sensitivity!$C$11))/((1+C$2)^F9)</f>
        <v>7713.7709816603428</v>
      </c>
      <c r="H9" s="213">
        <f>C$5/((1+C$2)^F9)</f>
        <v>44005.704609506232</v>
      </c>
      <c r="I9" s="213"/>
      <c r="J9" s="23"/>
      <c r="K9" s="7"/>
      <c r="L9" s="24">
        <f>SUM(C$26,C$38,(Cases!$AI$25*sensitivity!$D$12),(-Cases!$P$25*sensitivity!$D$11))/((1+C$2)^F9)</f>
        <v>4058.956122837672</v>
      </c>
      <c r="M9" s="213">
        <f>C$5/((1+C$2)^F9)</f>
        <v>44005.704609506232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3">
      <c r="A10" s="7"/>
      <c r="B10" s="176"/>
      <c r="C10" s="176"/>
      <c r="D10" s="7"/>
      <c r="E10" s="7"/>
      <c r="F10" s="24">
        <v>3</v>
      </c>
      <c r="G10" s="213">
        <f>SUM(C$26,C$38,(Cases!$AI$25*sensitivity!$C$12),(-Cases!$P$25*sensitivity!$C$11))/((1+C$2)^F10)</f>
        <v>7417.087482365715</v>
      </c>
      <c r="H10" s="213">
        <f>C$5/((1+C$2)^F10)</f>
        <v>42313.177509140609</v>
      </c>
      <c r="I10" s="213"/>
      <c r="J10" s="23"/>
      <c r="K10" s="7"/>
      <c r="L10" s="24">
        <f>SUM(C$26,C$38,(Cases!$AI$25*sensitivity!$D$12),(-Cases!$P$25*sensitivity!$D$11))/((1+C$2)^F10)</f>
        <v>3902.8424258054538</v>
      </c>
      <c r="M10" s="213">
        <f>C$5/((1+C$2)^F10)</f>
        <v>42313.177509140609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3">
      <c r="A11" s="7"/>
      <c r="B11" s="176"/>
      <c r="C11" s="176"/>
      <c r="D11" s="7"/>
      <c r="E11" s="7"/>
      <c r="F11" s="24">
        <v>4</v>
      </c>
      <c r="G11" s="213">
        <f>SUM(C$26,C$38,(Cases!$AI$25*sensitivity!$C$12),(-Cases!$P$25*sensitivity!$C$11))/((1+C$2)^F11)</f>
        <v>7131.8148868901098</v>
      </c>
      <c r="H11" s="213">
        <f>C$5/((1+C$2)^F11)</f>
        <v>40685.747604942895</v>
      </c>
      <c r="I11" s="213"/>
      <c r="J11" s="23"/>
      <c r="K11" s="7"/>
      <c r="L11" s="24">
        <f>SUM(C$26,C$38,(Cases!$AI$25*sensitivity!$D$12),(-Cases!$P$25*sensitivity!$D$11))/((1+C$2)^F11)</f>
        <v>3752.7331017360129</v>
      </c>
      <c r="M11" s="213">
        <f>C$5/((1+C$2)^F11)</f>
        <v>40685.747604942895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3">
      <c r="A12" s="7"/>
      <c r="B12" s="213"/>
      <c r="C12" s="213"/>
      <c r="D12" s="7"/>
      <c r="E12" s="7"/>
      <c r="F12" s="24">
        <v>5</v>
      </c>
      <c r="G12" s="213">
        <f>SUM(C$26,C$38,(Cases!$AI$25*sensitivity!$C$12),(-Cases!$P$25*sensitivity!$C$11))/((1+C$2)^F12)</f>
        <v>6857.5143143174128</v>
      </c>
      <c r="H12" s="213">
        <f>C$5/((1+C$2)^F12)</f>
        <v>39120.91115859893</v>
      </c>
      <c r="I12" s="213"/>
      <c r="J12" s="23"/>
      <c r="K12" s="7"/>
      <c r="L12" s="24">
        <f>SUM(C$26,C$38,(Cases!$AI$25*sensitivity!$D$12),(-Cases!$P$25*sensitivity!$D$11))/((1+C$2)^F12)</f>
        <v>3608.3972132077042</v>
      </c>
      <c r="M12" s="213">
        <f>C$5/((1+C$2)^F12)</f>
        <v>39120.91115859893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3">
      <c r="A13" s="7"/>
      <c r="B13" s="213"/>
      <c r="C13" s="213"/>
      <c r="D13" s="7"/>
      <c r="E13" s="7"/>
      <c r="F13" s="24">
        <v>6</v>
      </c>
      <c r="G13" s="213">
        <f>SUM(C$26,C$38,(Cases!$AI$25*sensitivity!$C$12),(-Cases!$P$25*sensitivity!$C$11))/((1+C$2)^F13)</f>
        <v>6593.7637637667431</v>
      </c>
      <c r="H13" s="213">
        <f>C$5/((1+C$2)^F13)</f>
        <v>37616.260729422051</v>
      </c>
      <c r="I13" s="213"/>
      <c r="J13" s="23"/>
      <c r="K13" s="7"/>
      <c r="L13" s="24">
        <f>SUM(C$26,C$38,(Cases!$AI$25*sensitivity!$D$12),(-Cases!$P$25*sensitivity!$D$11))/((1+C$2)^F13)</f>
        <v>3469.6127050074078</v>
      </c>
      <c r="M13" s="213">
        <f>C$5/((1+C$2)^F13)</f>
        <v>37616.260729422051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3">
      <c r="A14" s="7"/>
      <c r="B14" s="213"/>
      <c r="C14" s="213"/>
      <c r="D14" s="7"/>
      <c r="E14" s="7"/>
      <c r="F14" s="24">
        <v>7</v>
      </c>
      <c r="G14" s="213">
        <f>SUM(C$26,C$38,(Cases!$AI$25*sensitivity!$C$12),(-Cases!$P$25*sensitivity!$C$11))/((1+C$2)^F14)</f>
        <v>6340.1574651603305</v>
      </c>
      <c r="H14" s="213">
        <f>C$5/((1+C$2)^F14)</f>
        <v>36169.481470598126</v>
      </c>
      <c r="I14" s="213"/>
      <c r="J14" s="23"/>
      <c r="K14" s="7"/>
      <c r="L14" s="24">
        <f>SUM(C$26,C$38,(Cases!$AI$25*sensitivity!$D$12),(-Cases!$P$25*sensitivity!$D$11))/((1+C$2)^F14)</f>
        <v>3336.1660625071236</v>
      </c>
      <c r="M14" s="213">
        <f>C$5/((1+C$2)^F14)</f>
        <v>36169.481470598126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3">
      <c r="A15" s="7"/>
      <c r="D15" s="7"/>
      <c r="E15" s="7"/>
      <c r="F15" s="24">
        <v>8</v>
      </c>
      <c r="G15" s="213">
        <f>SUM(C$26,C$38,(Cases!$AI$25*sensitivity!$C$12),(-Cases!$P$25*sensitivity!$C$11))/((1+C$2)^F15)</f>
        <v>6096.3052549618551</v>
      </c>
      <c r="H15" s="213">
        <f>C$5/((1+C$2)^F15)</f>
        <v>34778.347567882811</v>
      </c>
      <c r="I15" s="213"/>
      <c r="J15" s="23"/>
      <c r="K15" s="7"/>
      <c r="L15" s="24">
        <f>SUM(C$26,C$38,(Cases!$AI$25*sensitivity!$D$12),(-Cases!$P$25*sensitivity!$D$11))/((1+C$2)^F15)</f>
        <v>3207.8519831799258</v>
      </c>
      <c r="M15" s="213">
        <f>C$5/((1+C$2)^F15)</f>
        <v>34778.347567882811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3">
      <c r="A16" s="7"/>
      <c r="B16" s="7"/>
      <c r="C16" s="7"/>
      <c r="D16" s="7"/>
      <c r="E16" s="7"/>
      <c r="F16" s="24">
        <v>9</v>
      </c>
      <c r="G16" s="213">
        <f>SUM(C$26,C$38,(Cases!$AI$25*sensitivity!$C$12),(-Cases!$P$25*sensitivity!$C$11))/((1+C$2)^F16)</f>
        <v>5861.8319759248598</v>
      </c>
      <c r="H16" s="213">
        <f>C$5/((1+C$2)^F16)</f>
        <v>33440.718815271932</v>
      </c>
      <c r="I16" s="213"/>
      <c r="J16" s="23"/>
      <c r="K16" s="7"/>
      <c r="L16" s="24">
        <f>SUM(C$26,C$38,(Cases!$AI$25*sensitivity!$D$12),(-Cases!$P$25*sensitivity!$D$11))/((1+C$2)^F16)</f>
        <v>3084.4730607499282</v>
      </c>
      <c r="M16" s="213">
        <f>C$5/((1+C$2)^F16)</f>
        <v>33440.718815271932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SUM(C$26,C$38,(Cases!$AI$25*sensitivity!$C$12),(-Cases!$P$25*sensitivity!$C$11))/((1+C$2)^F17)</f>
        <v>5636.3768999277499</v>
      </c>
      <c r="H17" s="213">
        <f>C$5/((1+C$2)^F17)</f>
        <v>32154.537322376855</v>
      </c>
      <c r="I17" s="213"/>
      <c r="J17" s="23"/>
      <c r="K17" s="7"/>
      <c r="L17" s="24">
        <f>SUM(C$26,C$38,(Cases!$AI$25*sensitivity!$D$12),(-Cases!$P$25*sensitivity!$D$11))/((1+C$2)^F17)</f>
        <v>2965.8394814903158</v>
      </c>
      <c r="M17" s="213">
        <f>C$5/((1+C$2)^F17)</f>
        <v>32154.537322376855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SUM(C$26,C$38,(Cases!$AI$25*sensitivity!$C$12),(-Cases!$P$25*sensitivity!$C$11))/((1+C$2)^F18)</f>
        <v>5419.5931730074526</v>
      </c>
      <c r="H18" s="213">
        <f>C$5/((1+C$2)^F18)</f>
        <v>30917.824348439284</v>
      </c>
      <c r="I18" s="213"/>
      <c r="J18" s="23"/>
      <c r="K18" s="7"/>
      <c r="L18" s="24">
        <f>SUM(C$26,C$38,(Cases!$AI$25*sensitivity!$D$12),(-Cases!$P$25*sensitivity!$D$11))/((1+C$2)^F18)</f>
        <v>2851.7687322022271</v>
      </c>
      <c r="M18" s="213">
        <f>C$5/((1+C$2)^F18)</f>
        <v>30917.824348439284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SUM(C$26,C$38,(Cases!$AI$25*sensitivity!$C$12),(-Cases!$P$25*sensitivity!$C$11))/((1+C$2)^F19)</f>
        <v>5211.1472817379336</v>
      </c>
      <c r="H19" s="213">
        <f>C$5/((1+C$2)^F19)</f>
        <v>29728.677258114691</v>
      </c>
      <c r="I19" s="213"/>
      <c r="J19" s="23"/>
      <c r="K19" s="7"/>
      <c r="L19" s="24">
        <f>SUM(C$26,C$38,(Cases!$AI$25*sensitivity!$D$12),(-Cases!$P$25*sensitivity!$D$11))/((1+C$2)^F19)</f>
        <v>2742.0853194252177</v>
      </c>
      <c r="M19" s="213">
        <f>C$5/((1+C$2)^F19)</f>
        <v>29728.677258114691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SUM(C$26,C$38,(Cases!$AI$25*sensitivity!$C$12),(-Cases!$P$25*sensitivity!$C$11))/((1+C$2)^F20)</f>
        <v>5010.7185401326287</v>
      </c>
      <c r="H20" s="213">
        <f>C$5/((1+C$2)^F20)</f>
        <v>28585.266594341047</v>
      </c>
      <c r="I20" s="213"/>
      <c r="J20" s="23"/>
      <c r="K20" s="7"/>
      <c r="L20" s="24">
        <f>SUM(C$26,C$38,(Cases!$AI$25*sensitivity!$D$12),(-Cases!$P$25*sensitivity!$D$11))/((1+C$2)^F20)</f>
        <v>2636.6204994473246</v>
      </c>
      <c r="M20" s="213">
        <f>C$5/((1+C$2)^F20)</f>
        <v>28585.266594341047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3">
      <c r="A21" s="7"/>
      <c r="B21" s="24" t="s">
        <v>176</v>
      </c>
      <c r="C21" s="42">
        <f>'Electricity prod.'!O17</f>
        <v>153.81759818396444</v>
      </c>
      <c r="D21" s="7"/>
      <c r="E21" s="7"/>
      <c r="F21" s="24">
        <v>14</v>
      </c>
      <c r="G21" s="213">
        <f>SUM(C$26,C$38,(Cases!$AI$25*sensitivity!$C$12),(-Cases!$P$25*sensitivity!$C$11))/((1+C$2)^F21)</f>
        <v>4817.9985962813735</v>
      </c>
      <c r="H21" s="213">
        <f>C$5/((1+C$2)^F21)</f>
        <v>27485.833263789471</v>
      </c>
      <c r="I21" s="213"/>
      <c r="J21" s="23"/>
      <c r="K21" s="7"/>
      <c r="L21" s="24">
        <f>SUM(C$26,C$38,(Cases!$AI$25*sensitivity!$D$12),(-Cases!$P$25*sensitivity!$D$11))/((1+C$2)^F21)</f>
        <v>2535.2120186993507</v>
      </c>
      <c r="M21" s="213">
        <f>C$5/((1+C$2)^F21)</f>
        <v>27485.833263789471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SUM(C$26,C$38,(Cases!$AI$25*sensitivity!$C$12),(-Cases!$P$25*sensitivity!$C$11))/((1+C$2)^F22)</f>
        <v>4632.6909579628591</v>
      </c>
      <c r="H22" s="213">
        <f>C$5/((1+C$2)^F22)</f>
        <v>26428.685830566799</v>
      </c>
      <c r="I22" s="213"/>
      <c r="J22" s="23"/>
      <c r="K22" s="7"/>
      <c r="L22" s="24">
        <f>SUM(C$26,C$38,(Cases!$AI$25*sensitivity!$D$12),(-Cases!$P$25*sensitivity!$D$11))/((1+C$2)^F22)</f>
        <v>2437.7038641339909</v>
      </c>
      <c r="M22" s="213">
        <f>C$5/((1+C$2)^F22)</f>
        <v>26428.685830566799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3">
      <c r="A23" s="7"/>
      <c r="B23" s="24" t="s">
        <v>178</v>
      </c>
      <c r="C23" s="23">
        <f>C19*C21</f>
        <v>30763.519636792887</v>
      </c>
      <c r="D23" s="7"/>
      <c r="E23" s="7"/>
      <c r="F23" s="68">
        <v>16</v>
      </c>
      <c r="G23" s="213">
        <f>SUM(C$26,C$38,(Cases!$AI$25*sensitivity!$C$12),(-Cases!$P$25*sensitivity!$C$11))/((1+C$2)^F23)</f>
        <v>4454.5105365027484</v>
      </c>
      <c r="H23" s="213">
        <f>C$5/((1+C$2)^F23)</f>
        <v>25412.197914006534</v>
      </c>
      <c r="I23" s="213"/>
      <c r="J23" s="23"/>
      <c r="K23" s="7"/>
      <c r="L23" s="24">
        <f>SUM(C$26,C$38,(Cases!$AI$25*sensitivity!$D$12),(-Cases!$P$25*sensitivity!$D$11))/((1+C$2)^F23)</f>
        <v>2343.9460232057604</v>
      </c>
      <c r="M23" s="213">
        <f>C$5/((1+C$2)^F23)</f>
        <v>25412.197914006534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SUM(C$26,C$38,(Cases!$AI$25*sensitivity!$C$12),(-Cases!$P$25*sensitivity!$C$11))/((1+C$2)^F24)</f>
        <v>4283.1832081757193</v>
      </c>
      <c r="H24" s="213">
        <f>C$5/((1+C$2)^F24)</f>
        <v>24434.805686544743</v>
      </c>
      <c r="I24" s="213"/>
      <c r="J24" s="23"/>
      <c r="K24" s="7"/>
      <c r="L24" s="24">
        <f>SUM(C$26,C$38,(Cases!$AI$25*sensitivity!$D$12),(-Cases!$P$25*sensitivity!$D$11))/((1+C$2)^F24)</f>
        <v>2253.7942530824616</v>
      </c>
      <c r="M24" s="213">
        <f>C$5/((1+C$2)^F24)</f>
        <v>24434.805686544743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3">
      <c r="A25" s="7"/>
      <c r="B25" s="24"/>
      <c r="C25" s="23"/>
      <c r="D25" s="7"/>
      <c r="E25" s="7"/>
      <c r="F25" s="24">
        <v>18</v>
      </c>
      <c r="G25" s="213">
        <f>SUM(C$26,C$38,(Cases!$AI$25*sensitivity!$C$12),(-Cases!$P$25*sensitivity!$C$11))/((1+C$2)^F25)</f>
        <v>4118.4453924766531</v>
      </c>
      <c r="H25" s="213">
        <f>C$5/((1+C$2)^F25)</f>
        <v>23495.005467831481</v>
      </c>
      <c r="I25" s="213"/>
      <c r="J25" s="23"/>
      <c r="K25" s="7"/>
      <c r="L25" s="24">
        <f>SUM(C$26,C$38,(Cases!$AI$25*sensitivity!$D$12),(-Cases!$P$25*sensitivity!$D$11))/((1+C$2)^F25)</f>
        <v>2167.1098587331358</v>
      </c>
      <c r="M25" s="213">
        <f>C$5/((1+C$2)^F25)</f>
        <v>23495.005467831481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3">
      <c r="A26" s="7"/>
      <c r="B26" s="24" t="s">
        <v>237</v>
      </c>
      <c r="C26" s="23">
        <f>C24*C5</f>
        <v>951.93140211283901</v>
      </c>
      <c r="D26" s="7"/>
      <c r="E26" s="7"/>
      <c r="F26" s="24">
        <v>19</v>
      </c>
      <c r="G26" s="213">
        <f>SUM(C$26,C$38,(Cases!$AI$25*sensitivity!$C$12),(-Cases!$P$25*sensitivity!$C$11))/((1+C$2)^F26)</f>
        <v>3960.0436466121664</v>
      </c>
      <c r="H26" s="213">
        <f>C$5/((1+C$2)^F26)</f>
        <v>22591.351411376425</v>
      </c>
      <c r="I26" s="213"/>
      <c r="J26" s="23"/>
      <c r="K26" s="7"/>
      <c r="L26" s="24">
        <f>SUM(C$26,C$38,(Cases!$AI$25*sensitivity!$D$12),(-Cases!$P$25*sensitivity!$D$11))/((1+C$2)^F26)</f>
        <v>2083.7594795510922</v>
      </c>
      <c r="M26" s="213">
        <f>C$5/((1+C$2)^F26)</f>
        <v>22591.351411376425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SUM(C$26,C$38,(Cases!$AI$25*sensitivity!$C$12),(-Cases!$P$25*sensitivity!$C$11))/((1+C$2)^F27)</f>
        <v>3807.7342755886216</v>
      </c>
      <c r="H27" s="26">
        <f>C$5/((1+C$2)^F27)</f>
        <v>21722.453280169637</v>
      </c>
      <c r="I27" s="26"/>
      <c r="J27" s="27"/>
      <c r="K27" s="7"/>
      <c r="L27" s="25">
        <f>SUM(C$26,C$38,(Cases!$AI$25*sensitivity!$D$12),(-Cases!$P$25*sensitivity!$D$11))/((1+C$2)^F27)</f>
        <v>2003.6148841837426</v>
      </c>
      <c r="M27" s="26">
        <f>C$5/((1+C$2)^F27)</f>
        <v>21722.453280169637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3">
      <c r="A48" s="7"/>
      <c r="B48" s="24" t="s">
        <v>185</v>
      </c>
      <c r="C48" s="42">
        <f>Cases!R29</f>
        <v>187.63948575736435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3">
      <c r="A50" s="7"/>
      <c r="B50" s="24" t="s">
        <v>222</v>
      </c>
      <c r="C50" s="23">
        <f>C48*C49</f>
        <v>49689.715672783524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3">
      <c r="A53" s="7"/>
      <c r="B53" s="24" t="s">
        <v>223</v>
      </c>
      <c r="C53" s="23">
        <f>C50+C52+C51</f>
        <v>52429.715672783524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3">
      <c r="A54" s="7"/>
      <c r="B54" s="24" t="s">
        <v>214</v>
      </c>
      <c r="C54" s="23">
        <f>C50*K78</f>
        <v>2211.3336330340076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163006.72700669424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26200.990506256563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0.55353364734866894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26200.990506256563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786.02971518769687</v>
      </c>
      <c r="M67" s="26">
        <f>(M66/100)*M63</f>
        <v>789.18304842961788</v>
      </c>
      <c r="N67" s="27">
        <f>SUM(K67:M67)</f>
        <v>3122.5975564098535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  <c r="AG84" s="7"/>
      <c r="AH84" s="7"/>
      <c r="AI84" s="7"/>
      <c r="AJ84" s="7"/>
    </row>
    <row r="85" spans="1:36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  <c r="AG85" s="7"/>
      <c r="AH85" s="7"/>
      <c r="AI85" s="7"/>
      <c r="AJ85" s="7"/>
    </row>
    <row r="86" spans="1:36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  <c r="AG86" s="7"/>
      <c r="AH86" s="7"/>
      <c r="AI86" s="7"/>
      <c r="AJ86" s="7"/>
    </row>
    <row r="87" spans="1:36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  <c r="AG87" s="7"/>
      <c r="AH87" s="7"/>
      <c r="AI87" s="7"/>
      <c r="AJ87" s="7"/>
    </row>
    <row r="88" spans="1:36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  <c r="AG88" s="7"/>
      <c r="AH88" s="7"/>
      <c r="AI88" s="7"/>
      <c r="AJ88" s="7"/>
    </row>
    <row r="89" spans="1:36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AD88</f>
        <v>34244.206150718994</v>
      </c>
      <c r="M89" s="35" t="s">
        <v>167</v>
      </c>
      <c r="N89" s="7"/>
      <c r="O89" s="7">
        <f>O88/$M86</f>
        <v>9580.1704293571711</v>
      </c>
      <c r="P89" s="7">
        <f t="shared" ref="P89:AE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 t="shared" si="3"/>
        <v>53828.141854057751</v>
      </c>
      <c r="AF89" s="7"/>
      <c r="AG89" s="7"/>
      <c r="AH89" s="7"/>
      <c r="AI89" s="7"/>
      <c r="AJ89" s="7"/>
    </row>
    <row r="90" spans="1:36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1028.3545390606305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43.668317510427606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26200.990506256563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1028.3545390606305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43.668317510427606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  <c r="AG100" s="7"/>
      <c r="AH100" s="7"/>
      <c r="AI100" s="7"/>
      <c r="AJ100" s="7"/>
    </row>
    <row r="101" spans="1:36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865F-05B4-449F-AFFB-7658134C1E1A}">
  <dimension ref="A1:AM126"/>
  <sheetViews>
    <sheetView workbookViewId="0">
      <selection activeCell="M7" sqref="M7"/>
    </sheetView>
  </sheetViews>
  <sheetFormatPr defaultRowHeight="14.4" x14ac:dyDescent="0.3"/>
  <cols>
    <col min="2" max="2" width="52.88671875" customWidth="1"/>
    <col min="3" max="3" width="25" customWidth="1"/>
    <col min="5" max="5" width="15.109375" customWidth="1"/>
    <col min="6" max="6" width="11.21875" customWidth="1"/>
    <col min="7" max="7" width="12" bestFit="1" customWidth="1"/>
    <col min="8" max="8" width="12" customWidth="1"/>
    <col min="10" max="10" width="17.33203125" customWidth="1"/>
    <col min="11" max="11" width="11.44140625" customWidth="1"/>
    <col min="12" max="14" width="9" customWidth="1"/>
  </cols>
  <sheetData>
    <row r="1" spans="1:39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thickBot="1" x14ac:dyDescent="0.35">
      <c r="A2" s="7"/>
      <c r="B2" s="39" t="s">
        <v>160</v>
      </c>
      <c r="C2" s="75">
        <f>sensitivity!B5</f>
        <v>0.04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x14ac:dyDescent="0.3">
      <c r="A4" s="7"/>
      <c r="B4" s="38" t="s">
        <v>235</v>
      </c>
      <c r="C4" s="22"/>
      <c r="D4" s="7"/>
      <c r="E4" s="7"/>
      <c r="F4" s="28" t="s">
        <v>310</v>
      </c>
      <c r="G4" s="29"/>
      <c r="H4" s="29"/>
      <c r="I4" s="29"/>
      <c r="J4" s="22"/>
      <c r="K4" s="7"/>
      <c r="L4" s="28" t="s">
        <v>311</v>
      </c>
      <c r="M4" s="29"/>
      <c r="N4" s="29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3">
      <c r="A5" s="7"/>
      <c r="B5" s="24" t="s">
        <v>190</v>
      </c>
      <c r="C5" s="40">
        <f>Cases!S30</f>
        <v>47596.570105641949</v>
      </c>
      <c r="D5" s="7"/>
      <c r="E5" s="7"/>
      <c r="F5" s="24"/>
      <c r="G5" s="213" t="s">
        <v>166</v>
      </c>
      <c r="H5" s="213" t="s">
        <v>167</v>
      </c>
      <c r="I5" s="213" t="s">
        <v>161</v>
      </c>
      <c r="J5" s="215">
        <f>SUM(G7:G49)/SUM(H7:H49)</f>
        <v>0.478963765183617</v>
      </c>
      <c r="K5" s="7"/>
      <c r="L5" s="24"/>
      <c r="M5" s="213" t="s">
        <v>293</v>
      </c>
      <c r="N5" s="213"/>
      <c r="O5" s="23">
        <f>SUM(L7:L27)/SUM(M7:M49)</f>
        <v>0.40719983096872348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5" thickBot="1" x14ac:dyDescent="0.35">
      <c r="A6" s="7"/>
      <c r="B6" s="25" t="s">
        <v>162</v>
      </c>
      <c r="C6" s="27">
        <v>20</v>
      </c>
      <c r="D6" s="7"/>
      <c r="E6" s="7"/>
      <c r="F6" s="24" t="s">
        <v>159</v>
      </c>
      <c r="G6" s="213"/>
      <c r="H6" s="213"/>
      <c r="I6" s="213" t="s">
        <v>194</v>
      </c>
      <c r="J6" s="23">
        <f>J5*SUM(H8:H27)</f>
        <v>309819.11038822448</v>
      </c>
      <c r="K6" s="7"/>
      <c r="L6" s="24"/>
      <c r="M6" s="213">
        <f>SUM(H8:H27)</f>
        <v>646852.92063680699</v>
      </c>
      <c r="N6" s="213"/>
      <c r="O6" s="23">
        <f>O5*SUM(M7:M27)</f>
        <v>263398.3999449329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3">
      <c r="A7" s="7"/>
      <c r="B7" s="213"/>
      <c r="C7" s="213"/>
      <c r="D7" s="7"/>
      <c r="E7" s="7"/>
      <c r="F7" s="24">
        <v>2050</v>
      </c>
      <c r="G7" s="214">
        <f>SUM(C23,C34,C39)</f>
        <v>181096.8529701262</v>
      </c>
      <c r="H7" s="213"/>
      <c r="I7" s="213"/>
      <c r="J7" s="23"/>
      <c r="K7" s="7"/>
      <c r="L7" s="77">
        <f>SUM(C23,C34,C39)</f>
        <v>181096.8529701262</v>
      </c>
      <c r="M7" s="213"/>
      <c r="N7" s="213"/>
      <c r="O7" s="2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3">
      <c r="A8" s="7"/>
      <c r="B8" s="213"/>
      <c r="C8" s="213"/>
      <c r="D8" s="7"/>
      <c r="E8" s="7"/>
      <c r="F8" s="24">
        <v>1</v>
      </c>
      <c r="G8" s="213">
        <f>SUM(C$26,C$38,(Cases!$AJ$25*sensitivity!$C$12),(-Cases!$P$25*sensitivity!$C$11))/((1+C$2)^F8)</f>
        <v>9107.3163529576977</v>
      </c>
      <c r="H8" s="213">
        <f>C$5/((1+C$2)^F8)</f>
        <v>45765.932793886488</v>
      </c>
      <c r="I8" s="213"/>
      <c r="J8" s="23"/>
      <c r="K8" s="7"/>
      <c r="L8" s="24">
        <f>SUM(C$26,C$38,(Cases!$AJ$25*sensitivity!$D$12),(-Cases!$P$25*sensitivity!$D$11))/((1+C$2)^F8)</f>
        <v>5822.9729626539947</v>
      </c>
      <c r="M8" s="213">
        <f>C$5/((1+C$2)^F8)</f>
        <v>45765.932793886488</v>
      </c>
      <c r="N8" s="213"/>
      <c r="O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3">
      <c r="A9" s="7"/>
      <c r="B9" s="213"/>
      <c r="C9" s="213"/>
      <c r="D9" s="7"/>
      <c r="E9" s="7"/>
      <c r="F9" s="24">
        <v>2</v>
      </c>
      <c r="G9" s="213">
        <f>SUM(C$26,C$38,(Cases!$AJ$25*sensitivity!$C$12),(-Cases!$P$25*sensitivity!$C$11))/((1+C$2)^F9)</f>
        <v>8757.0349547670157</v>
      </c>
      <c r="H9" s="213">
        <f>C$5/((1+C$2)^F9)</f>
        <v>44005.704609506232</v>
      </c>
      <c r="I9" s="213"/>
      <c r="J9" s="23"/>
      <c r="K9" s="7"/>
      <c r="L9" s="24">
        <f>SUM(C$26,C$38,(Cases!$AJ$25*sensitivity!$D$12),(-Cases!$P$25*sensitivity!$D$11))/((1+C$2)^F9)</f>
        <v>5599.0124640903787</v>
      </c>
      <c r="M9" s="213">
        <f>C$5/((1+C$2)^F9)</f>
        <v>44005.704609506232</v>
      </c>
      <c r="N9" s="213"/>
      <c r="O9" s="2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3">
      <c r="A10" s="7"/>
      <c r="B10" s="176"/>
      <c r="C10" s="176"/>
      <c r="D10" s="7"/>
      <c r="E10" s="7"/>
      <c r="F10" s="24">
        <v>3</v>
      </c>
      <c r="G10" s="213">
        <f>SUM(C$26,C$38,(Cases!$AJ$25*sensitivity!$C$12),(-Cases!$P$25*sensitivity!$C$11))/((1+C$2)^F10)</f>
        <v>8420.2259180452074</v>
      </c>
      <c r="H10" s="213">
        <f>C$5/((1+C$2)^F10)</f>
        <v>42313.177509140609</v>
      </c>
      <c r="I10" s="213"/>
      <c r="J10" s="23"/>
      <c r="K10" s="7"/>
      <c r="L10" s="24">
        <f>SUM(C$26,C$38,(Cases!$AJ$25*sensitivity!$D$12),(-Cases!$P$25*sensitivity!$D$11))/((1+C$2)^F10)</f>
        <v>5383.6658308561337</v>
      </c>
      <c r="M10" s="213">
        <f>C$5/((1+C$2)^F10)</f>
        <v>42313.177509140609</v>
      </c>
      <c r="N10" s="213"/>
      <c r="O10" s="2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3">
      <c r="A11" s="7"/>
      <c r="B11" s="176"/>
      <c r="C11" s="176"/>
      <c r="D11" s="7"/>
      <c r="E11" s="7"/>
      <c r="F11" s="24">
        <v>4</v>
      </c>
      <c r="G11" s="213">
        <f>SUM(C$26,C$38,(Cases!$AJ$25*sensitivity!$C$12),(-Cases!$P$25*sensitivity!$C$11))/((1+C$2)^F11)</f>
        <v>8096.3710750434684</v>
      </c>
      <c r="H11" s="213">
        <f>C$5/((1+C$2)^F11)</f>
        <v>40685.747604942895</v>
      </c>
      <c r="I11" s="213"/>
      <c r="J11" s="23"/>
      <c r="K11" s="7"/>
      <c r="L11" s="24">
        <f>SUM(C$26,C$38,(Cases!$AJ$25*sensitivity!$D$12),(-Cases!$P$25*sensitivity!$D$11))/((1+C$2)^F11)</f>
        <v>5176.6017604385897</v>
      </c>
      <c r="M11" s="213">
        <f>C$5/((1+C$2)^F11)</f>
        <v>40685.747604942895</v>
      </c>
      <c r="N11" s="21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3">
      <c r="A12" s="7"/>
      <c r="B12" s="213"/>
      <c r="C12" s="213"/>
      <c r="D12" s="7"/>
      <c r="E12" s="7"/>
      <c r="F12" s="24">
        <v>5</v>
      </c>
      <c r="G12" s="213">
        <f>SUM(C$26,C$38,(Cases!$AJ$25*sensitivity!$C$12),(-Cases!$P$25*sensitivity!$C$11))/((1+C$2)^F12)</f>
        <v>7784.9721875417954</v>
      </c>
      <c r="H12" s="213">
        <f>C$5/((1+C$2)^F12)</f>
        <v>39120.91115859893</v>
      </c>
      <c r="I12" s="213"/>
      <c r="J12" s="23"/>
      <c r="K12" s="7"/>
      <c r="L12" s="24">
        <f>SUM(C$26,C$38,(Cases!$AJ$25*sensitivity!$D$12),(-Cases!$P$25*sensitivity!$D$11))/((1+C$2)^F12)</f>
        <v>4977.5016927294128</v>
      </c>
      <c r="M12" s="213">
        <f>C$5/((1+C$2)^F12)</f>
        <v>39120.91115859893</v>
      </c>
      <c r="N12" s="213"/>
      <c r="O12" s="2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3">
      <c r="A13" s="7"/>
      <c r="B13" s="213"/>
      <c r="C13" s="213"/>
      <c r="D13" s="7"/>
      <c r="E13" s="7"/>
      <c r="F13" s="24">
        <v>6</v>
      </c>
      <c r="G13" s="213">
        <f>SUM(C$26,C$38,(Cases!$AJ$25*sensitivity!$C$12),(-Cases!$P$25*sensitivity!$C$11))/((1+C$2)^F13)</f>
        <v>7485.5501803286497</v>
      </c>
      <c r="H13" s="213">
        <f>C$5/((1+C$2)^F13)</f>
        <v>37616.260729422051</v>
      </c>
      <c r="I13" s="213"/>
      <c r="J13" s="23"/>
      <c r="K13" s="7"/>
      <c r="L13" s="24">
        <f>SUM(C$26,C$38,(Cases!$AJ$25*sensitivity!$D$12),(-Cases!$P$25*sensitivity!$D$11))/((1+C$2)^F13)</f>
        <v>4786.0593199321274</v>
      </c>
      <c r="M13" s="213">
        <f>C$5/((1+C$2)^F13)</f>
        <v>37616.260729422051</v>
      </c>
      <c r="N13" s="213"/>
      <c r="O13" s="2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3">
      <c r="A14" s="7"/>
      <c r="B14" s="213"/>
      <c r="C14" s="213"/>
      <c r="D14" s="7"/>
      <c r="E14" s="7"/>
      <c r="F14" s="24">
        <v>7</v>
      </c>
      <c r="G14" s="213">
        <f>SUM(C$26,C$38,(Cases!$AJ$25*sensitivity!$C$12),(-Cases!$P$25*sensitivity!$C$11))/((1+C$2)^F14)</f>
        <v>7197.6444041621635</v>
      </c>
      <c r="H14" s="213">
        <f>C$5/((1+C$2)^F14)</f>
        <v>36169.481470598126</v>
      </c>
      <c r="I14" s="213"/>
      <c r="J14" s="23"/>
      <c r="K14" s="7"/>
      <c r="L14" s="24">
        <f>SUM(C$26,C$38,(Cases!$AJ$25*sensitivity!$D$12),(-Cases!$P$25*sensitivity!$D$11))/((1+C$2)^F14)</f>
        <v>4601.9801153193539</v>
      </c>
      <c r="M14" s="213">
        <f>C$5/((1+C$2)^F14)</f>
        <v>36169.481470598126</v>
      </c>
      <c r="N14" s="213"/>
      <c r="O14" s="2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3">
      <c r="A15" s="7"/>
      <c r="D15" s="7"/>
      <c r="E15" s="7"/>
      <c r="F15" s="24">
        <v>8</v>
      </c>
      <c r="G15" s="213">
        <f>SUM(C$26,C$38,(Cases!$AJ$25*sensitivity!$C$12),(-Cases!$P$25*sensitivity!$C$11))/((1+C$2)^F15)</f>
        <v>6920.8119270790021</v>
      </c>
      <c r="H15" s="213">
        <f>C$5/((1+C$2)^F15)</f>
        <v>34778.347567882811</v>
      </c>
      <c r="I15" s="213"/>
      <c r="J15" s="23"/>
      <c r="K15" s="7"/>
      <c r="L15" s="24">
        <f>SUM(C$26,C$38,(Cases!$AJ$25*sensitivity!$D$12),(-Cases!$P$25*sensitivity!$D$11))/((1+C$2)^F15)</f>
        <v>4424.9808801147619</v>
      </c>
      <c r="M15" s="213">
        <f>C$5/((1+C$2)^F15)</f>
        <v>34778.347567882811</v>
      </c>
      <c r="N15" s="213"/>
      <c r="O15" s="2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3">
      <c r="A16" s="7"/>
      <c r="B16" s="7"/>
      <c r="C16" s="7"/>
      <c r="D16" s="7"/>
      <c r="E16" s="7"/>
      <c r="F16" s="24">
        <v>9</v>
      </c>
      <c r="G16" s="213">
        <f>SUM(C$26,C$38,(Cases!$AJ$25*sensitivity!$C$12),(-Cases!$P$25*sensitivity!$C$11))/((1+C$2)^F16)</f>
        <v>6654.6268529605786</v>
      </c>
      <c r="H16" s="213">
        <f>C$5/((1+C$2)^F16)</f>
        <v>33440.718815271932</v>
      </c>
      <c r="I16" s="213"/>
      <c r="J16" s="23"/>
      <c r="K16" s="7"/>
      <c r="L16" s="24">
        <f>SUM(C$26,C$38,(Cases!$AJ$25*sensitivity!$D$12),(-Cases!$P$25*sensitivity!$D$11))/((1+C$2)^F16)</f>
        <v>4254.7893078026555</v>
      </c>
      <c r="M16" s="213">
        <f>C$5/((1+C$2)^F16)</f>
        <v>33440.718815271932</v>
      </c>
      <c r="N16" s="213"/>
      <c r="O16" s="2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5" thickBot="1" x14ac:dyDescent="0.35">
      <c r="A17" s="7"/>
      <c r="B17" s="7"/>
      <c r="C17" s="7"/>
      <c r="D17" s="7"/>
      <c r="E17" s="7"/>
      <c r="F17" s="24">
        <v>10</v>
      </c>
      <c r="G17" s="213">
        <f>SUM(C$26,C$38,(Cases!$AJ$25*sensitivity!$C$12),(-Cases!$P$25*sensitivity!$C$11))/((1+C$2)^F17)</f>
        <v>6398.6796663082487</v>
      </c>
      <c r="H17" s="213">
        <f>C$5/((1+C$2)^F17)</f>
        <v>32154.537322376855</v>
      </c>
      <c r="I17" s="213"/>
      <c r="J17" s="23"/>
      <c r="K17" s="7"/>
      <c r="L17" s="24">
        <f>SUM(C$26,C$38,(Cases!$AJ$25*sensitivity!$D$12),(-Cases!$P$25*sensitivity!$D$11))/((1+C$2)^F17)</f>
        <v>4091.1435651948614</v>
      </c>
      <c r="M17" s="213">
        <f>C$5/((1+C$2)^F17)</f>
        <v>32154.537322376855</v>
      </c>
      <c r="N17" s="213"/>
      <c r="O17" s="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3">
      <c r="A18" s="7"/>
      <c r="B18" s="28" t="s">
        <v>170</v>
      </c>
      <c r="C18" s="22"/>
      <c r="D18" s="7"/>
      <c r="E18" s="7"/>
      <c r="F18" s="24">
        <v>11</v>
      </c>
      <c r="G18" s="213">
        <f>SUM(C$26,C$38,(Cases!$AJ$25*sensitivity!$C$12),(-Cases!$P$25*sensitivity!$C$11))/((1+C$2)^F18)</f>
        <v>6152.5766022194703</v>
      </c>
      <c r="H18" s="213">
        <f>C$5/((1+C$2)^F18)</f>
        <v>30917.824348439284</v>
      </c>
      <c r="I18" s="213"/>
      <c r="J18" s="23"/>
      <c r="K18" s="7"/>
      <c r="L18" s="24">
        <f>SUM(C$26,C$38,(Cases!$AJ$25*sensitivity!$D$12),(-Cases!$P$25*sensitivity!$D$11))/((1+C$2)^F18)</f>
        <v>3933.7918896104438</v>
      </c>
      <c r="M18" s="213">
        <f>C$5/((1+C$2)^F18)</f>
        <v>30917.824348439284</v>
      </c>
      <c r="N18" s="213"/>
      <c r="O18" s="2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3">
      <c r="A19" s="7"/>
      <c r="B19" s="24" t="s">
        <v>174</v>
      </c>
      <c r="C19" s="23">
        <f>sensitivity!L5</f>
        <v>200</v>
      </c>
      <c r="D19" s="7"/>
      <c r="E19" s="7"/>
      <c r="F19" s="24">
        <v>12</v>
      </c>
      <c r="G19" s="213">
        <f>SUM(C$26,C$38,(Cases!$AJ$25*sensitivity!$C$12),(-Cases!$P$25*sensitivity!$C$11))/((1+C$2)^F19)</f>
        <v>5915.9390405956437</v>
      </c>
      <c r="H19" s="213">
        <f>C$5/((1+C$2)^F19)</f>
        <v>29728.677258114691</v>
      </c>
      <c r="I19" s="213"/>
      <c r="J19" s="23"/>
      <c r="K19" s="7"/>
      <c r="L19" s="24">
        <f>SUM(C$26,C$38,(Cases!$AJ$25*sensitivity!$D$12),(-Cases!$P$25*sensitivity!$D$11))/((1+C$2)^F19)</f>
        <v>3782.4922015485026</v>
      </c>
      <c r="M19" s="213">
        <f>C$5/((1+C$2)^F19)</f>
        <v>29728.677258114691</v>
      </c>
      <c r="N19" s="213"/>
      <c r="O19" s="2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3">
      <c r="A20" s="7"/>
      <c r="B20" s="24" t="s">
        <v>175</v>
      </c>
      <c r="C20" s="23">
        <f>'Electricity prod.'!L17</f>
        <v>81.384972584108169</v>
      </c>
      <c r="D20" s="7"/>
      <c r="E20" s="7"/>
      <c r="F20" s="24">
        <v>13</v>
      </c>
      <c r="G20" s="213">
        <f>SUM(C$26,C$38,(Cases!$AJ$25*sensitivity!$C$12),(-Cases!$P$25*sensitivity!$C$11))/((1+C$2)^F20)</f>
        <v>5688.4029236496572</v>
      </c>
      <c r="H20" s="213">
        <f>C$5/((1+C$2)^F20)</f>
        <v>28585.266594341047</v>
      </c>
      <c r="I20" s="213"/>
      <c r="J20" s="23"/>
      <c r="K20" s="7"/>
      <c r="L20" s="24">
        <f>SUM(C$26,C$38,(Cases!$AJ$25*sensitivity!$D$12),(-Cases!$P$25*sensitivity!$D$11))/((1+C$2)^F20)</f>
        <v>3637.0117322581759</v>
      </c>
      <c r="M20" s="213">
        <f>C$5/((1+C$2)^F20)</f>
        <v>28585.266594341047</v>
      </c>
      <c r="N20" s="213"/>
      <c r="O20" s="2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3">
      <c r="A21" s="7"/>
      <c r="B21" s="24" t="s">
        <v>176</v>
      </c>
      <c r="C21" s="42">
        <f>'Electricity prod.'!O17</f>
        <v>153.81759818396444</v>
      </c>
      <c r="D21" s="7"/>
      <c r="E21" s="7"/>
      <c r="F21" s="24">
        <v>14</v>
      </c>
      <c r="G21" s="213">
        <f>SUM(C$26,C$38,(Cases!$AJ$25*sensitivity!$C$12),(-Cases!$P$25*sensitivity!$C$11))/((1+C$2)^F21)</f>
        <v>5469.6181958169782</v>
      </c>
      <c r="H21" s="213">
        <f>C$5/((1+C$2)^F21)</f>
        <v>27485.833263789471</v>
      </c>
      <c r="I21" s="213"/>
      <c r="J21" s="23"/>
      <c r="K21" s="7"/>
      <c r="L21" s="24">
        <f>SUM(C$26,C$38,(Cases!$AJ$25*sensitivity!$D$12),(-Cases!$P$25*sensitivity!$D$11))/((1+C$2)^F21)</f>
        <v>3497.1266656328612</v>
      </c>
      <c r="M21" s="213">
        <f>C$5/((1+C$2)^F21)</f>
        <v>27485.833263789471</v>
      </c>
      <c r="N21" s="213"/>
      <c r="O21" s="2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3">
      <c r="A22" s="7"/>
      <c r="B22" s="24" t="s">
        <v>177</v>
      </c>
      <c r="C22" s="23">
        <f>C19*C20</f>
        <v>16276.994516821635</v>
      </c>
      <c r="D22" s="7"/>
      <c r="E22" s="7"/>
      <c r="F22" s="24">
        <v>15</v>
      </c>
      <c r="G22" s="213">
        <f>SUM(C$26,C$38,(Cases!$AJ$25*sensitivity!$C$12),(-Cases!$P$25*sensitivity!$C$11))/((1+C$2)^F22)</f>
        <v>5259.2482652086328</v>
      </c>
      <c r="H22" s="213">
        <f>C$5/((1+C$2)^F22)</f>
        <v>26428.685830566799</v>
      </c>
      <c r="I22" s="213"/>
      <c r="J22" s="23"/>
      <c r="K22" s="7"/>
      <c r="L22" s="24">
        <f>SUM(C$26,C$38,(Cases!$AJ$25*sensitivity!$D$12),(-Cases!$P$25*sensitivity!$D$11))/((1+C$2)^F22)</f>
        <v>3362.6217938777513</v>
      </c>
      <c r="M22" s="213">
        <f>C$5/((1+C$2)^F22)</f>
        <v>26428.685830566799</v>
      </c>
      <c r="N22" s="213"/>
      <c r="O22" s="2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3">
      <c r="A23" s="7"/>
      <c r="B23" s="24" t="s">
        <v>178</v>
      </c>
      <c r="C23" s="23">
        <f>C19*C21</f>
        <v>30763.519636792887</v>
      </c>
      <c r="D23" s="7"/>
      <c r="E23" s="7"/>
      <c r="F23" s="68">
        <v>16</v>
      </c>
      <c r="G23" s="213">
        <f>SUM(C$26,C$38,(Cases!$AJ$25*sensitivity!$C$12),(-Cases!$P$25*sensitivity!$C$11))/((1+C$2)^F23)</f>
        <v>5056.9694857775303</v>
      </c>
      <c r="H23" s="213">
        <f>C$5/((1+C$2)^F23)</f>
        <v>25412.197914006534</v>
      </c>
      <c r="I23" s="213"/>
      <c r="J23" s="23"/>
      <c r="K23" s="7"/>
      <c r="L23" s="24">
        <f>SUM(C$26,C$38,(Cases!$AJ$25*sensitivity!$D$12),(-Cases!$P$25*sensitivity!$D$11))/((1+C$2)^F23)</f>
        <v>3233.2901864209143</v>
      </c>
      <c r="M23" s="213">
        <f>C$5/((1+C$2)^F23)</f>
        <v>25412.197914006534</v>
      </c>
      <c r="N23" s="213"/>
      <c r="O23" s="2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3">
      <c r="A24" s="7"/>
      <c r="B24" s="24" t="s">
        <v>188</v>
      </c>
      <c r="C24" s="23">
        <v>0.02</v>
      </c>
      <c r="D24" s="7"/>
      <c r="E24" s="7"/>
      <c r="F24" s="24">
        <v>17</v>
      </c>
      <c r="G24" s="213">
        <f>SUM(C$26,C$38,(Cases!$AJ$25*sensitivity!$C$12),(-Cases!$P$25*sensitivity!$C$11))/((1+C$2)^F24)</f>
        <v>4862.4706594014715</v>
      </c>
      <c r="H24" s="213">
        <f>C$5/((1+C$2)^F24)</f>
        <v>24434.805686544743</v>
      </c>
      <c r="I24" s="213"/>
      <c r="J24" s="23"/>
      <c r="K24" s="7"/>
      <c r="L24" s="24">
        <f>SUM(C$26,C$38,(Cases!$AJ$25*sensitivity!$D$12),(-Cases!$P$25*sensitivity!$D$11))/((1+C$2)^F24)</f>
        <v>3108.9328715585712</v>
      </c>
      <c r="M24" s="213">
        <f>C$5/((1+C$2)^F24)</f>
        <v>24434.805686544743</v>
      </c>
      <c r="N24" s="213"/>
      <c r="O24" s="2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3">
      <c r="A25" s="7"/>
      <c r="B25" s="24"/>
      <c r="C25" s="23"/>
      <c r="D25" s="7"/>
      <c r="E25" s="7"/>
      <c r="F25" s="24">
        <v>18</v>
      </c>
      <c r="G25" s="213">
        <f>SUM(C$26,C$38,(Cases!$AJ$25*sensitivity!$C$12),(-Cases!$P$25*sensitivity!$C$11))/((1+C$2)^F25)</f>
        <v>4675.4525571167987</v>
      </c>
      <c r="H25" s="213">
        <f>C$5/((1+C$2)^F25)</f>
        <v>23495.005467831481</v>
      </c>
      <c r="I25" s="213"/>
      <c r="J25" s="23"/>
      <c r="K25" s="7"/>
      <c r="L25" s="24">
        <f>SUM(C$26,C$38,(Cases!$AJ$25*sensitivity!$D$12),(-Cases!$P$25*sensitivity!$D$11))/((1+C$2)^F25)</f>
        <v>2989.3585303447799</v>
      </c>
      <c r="M25" s="213">
        <f>C$5/((1+C$2)^F25)</f>
        <v>23495.005467831481</v>
      </c>
      <c r="N25" s="213"/>
      <c r="O25" s="2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3">
      <c r="A26" s="7"/>
      <c r="B26" s="24" t="s">
        <v>237</v>
      </c>
      <c r="C26" s="23">
        <f>C24*C5</f>
        <v>951.93140211283901</v>
      </c>
      <c r="D26" s="7"/>
      <c r="E26" s="7"/>
      <c r="F26" s="24">
        <v>19</v>
      </c>
      <c r="G26" s="213">
        <f>SUM(C$26,C$38,(Cases!$AJ$25*sensitivity!$C$12),(-Cases!$P$25*sensitivity!$C$11))/((1+C$2)^F26)</f>
        <v>4495.6274587661528</v>
      </c>
      <c r="H26" s="213">
        <f>C$5/((1+C$2)^F26)</f>
        <v>22591.351411376425</v>
      </c>
      <c r="I26" s="213"/>
      <c r="J26" s="23"/>
      <c r="K26" s="7"/>
      <c r="L26" s="24">
        <f>SUM(C$26,C$38,(Cases!$AJ$25*sensitivity!$D$12),(-Cases!$P$25*sensitivity!$D$11))/((1+C$2)^F26)</f>
        <v>2874.3832022545957</v>
      </c>
      <c r="M26" s="213">
        <f>C$5/((1+C$2)^F26)</f>
        <v>22591.351411376425</v>
      </c>
      <c r="N26" s="213"/>
      <c r="O26" s="2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5" thickBot="1" x14ac:dyDescent="0.35">
      <c r="A27" s="7"/>
      <c r="B27" s="25" t="s">
        <v>236</v>
      </c>
      <c r="C27" s="27">
        <v>25</v>
      </c>
      <c r="D27" s="7"/>
      <c r="E27" s="7"/>
      <c r="F27" s="25">
        <v>20</v>
      </c>
      <c r="G27" s="26">
        <f>SUM(C$26,C$38,(Cases!$AJ$25*sensitivity!$C$12),(-Cases!$P$25*sensitivity!$C$11))/((1+C$2)^F27)</f>
        <v>4322.71871035207</v>
      </c>
      <c r="H27" s="26">
        <f>C$5/((1+C$2)^F27)</f>
        <v>21722.453280169637</v>
      </c>
      <c r="I27" s="26"/>
      <c r="J27" s="27"/>
      <c r="K27" s="7"/>
      <c r="L27" s="25">
        <f>SUM(C$26,C$38,(Cases!$AJ$25*sensitivity!$D$12),(-Cases!$P$25*sensitivity!$D$11))/((1+C$2)^F27)</f>
        <v>2763.8300021678806</v>
      </c>
      <c r="M27" s="26">
        <f>C$5/((1+C$2)^F27)</f>
        <v>21722.453280169637</v>
      </c>
      <c r="N27" s="26"/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5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3">
      <c r="A30" s="7"/>
      <c r="B30" s="28" t="s">
        <v>179</v>
      </c>
      <c r="C30" s="22">
        <f>C19</f>
        <v>200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3">
      <c r="A31" s="7"/>
      <c r="B31" s="24" t="s">
        <v>180</v>
      </c>
      <c r="C31" s="23">
        <f>'rooftopfacade area'!F22</f>
        <v>25.5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3">
      <c r="A32" s="7"/>
      <c r="B32" s="24" t="s">
        <v>181</v>
      </c>
      <c r="C32" s="23">
        <f>'Electricity prod.'!M25</f>
        <v>67.666666666666657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x14ac:dyDescent="0.3">
      <c r="A33" s="7"/>
      <c r="B33" s="24" t="s">
        <v>182</v>
      </c>
      <c r="C33" s="23">
        <f>C31*C30</f>
        <v>5100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5" thickBot="1" x14ac:dyDescent="0.35">
      <c r="A34" s="7"/>
      <c r="B34" s="25" t="s">
        <v>183</v>
      </c>
      <c r="C34" s="27">
        <f>C30*C32</f>
        <v>13533.333333333332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5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3">
      <c r="A36" s="7"/>
      <c r="B36" s="28" t="s">
        <v>171</v>
      </c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3">
      <c r="A37" s="7"/>
      <c r="B37" s="24" t="s">
        <v>213</v>
      </c>
      <c r="C37" s="23">
        <v>36000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3">
      <c r="A38" s="7"/>
      <c r="B38" s="24" t="s">
        <v>211</v>
      </c>
      <c r="C38" s="23">
        <v>200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3">
      <c r="A39" s="7"/>
      <c r="B39" s="24" t="s">
        <v>212</v>
      </c>
      <c r="C39" s="23">
        <f>sensitivity!Q5</f>
        <v>136800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5" thickBot="1" x14ac:dyDescent="0.35">
      <c r="A40" s="7"/>
      <c r="B40" s="25" t="s">
        <v>239</v>
      </c>
      <c r="C40" s="27"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3">
      <c r="A42" s="7"/>
      <c r="B42" s="7" t="s">
        <v>172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3">
      <c r="A44" s="7"/>
      <c r="B44" s="7" t="s">
        <v>173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ht="15" thickBot="1" x14ac:dyDescent="0.35">
      <c r="A46" s="7"/>
      <c r="B46" s="44" t="s">
        <v>186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3">
      <c r="A47" s="7"/>
      <c r="B47" s="38" t="s">
        <v>184</v>
      </c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3">
      <c r="A48" s="7"/>
      <c r="B48" s="24" t="s">
        <v>185</v>
      </c>
      <c r="C48" s="42">
        <f>Cases!S29</f>
        <v>217.08225975115894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3">
      <c r="A49" s="7"/>
      <c r="B49" s="24" t="s">
        <v>187</v>
      </c>
      <c r="C49" s="23">
        <f>N79</f>
        <v>264.81481481481484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3">
      <c r="A50" s="7"/>
      <c r="B50" s="24" t="s">
        <v>222</v>
      </c>
      <c r="C50" s="23">
        <f>C48*C49</f>
        <v>57486.598415584689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3">
      <c r="A51" s="7"/>
      <c r="B51" s="24" t="s">
        <v>273</v>
      </c>
      <c r="C51" s="23">
        <v>2000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x14ac:dyDescent="0.3">
      <c r="A52" s="7"/>
      <c r="B52" s="24" t="s">
        <v>221</v>
      </c>
      <c r="C52" s="23">
        <f>N80</f>
        <v>740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3">
      <c r="A53" s="7"/>
      <c r="B53" s="24" t="s">
        <v>223</v>
      </c>
      <c r="C53" s="23">
        <f>C50+C52+C51</f>
        <v>60226.598415584689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3">
      <c r="A54" s="7"/>
      <c r="B54" s="24" t="s">
        <v>214</v>
      </c>
      <c r="C54" s="23">
        <f>C50*K78</f>
        <v>2558.3170844088827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" thickBot="1" x14ac:dyDescent="0.35">
      <c r="A55" s="7"/>
      <c r="B55" s="25" t="s">
        <v>224</v>
      </c>
      <c r="C55" s="27">
        <v>15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>
        <f>2/3</f>
        <v>0.66666666666666663</v>
      </c>
      <c r="L56" s="7"/>
      <c r="M56" s="7">
        <f>1/3</f>
        <v>0.33333333333333331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3">
      <c r="A57" s="7"/>
      <c r="B57" s="28" t="s">
        <v>207</v>
      </c>
      <c r="C57" s="29" t="s">
        <v>206</v>
      </c>
      <c r="D57" s="29"/>
      <c r="E57" s="29" t="s">
        <v>210</v>
      </c>
      <c r="F57" s="29"/>
      <c r="G57" s="29"/>
      <c r="H57" s="22" t="s">
        <v>205</v>
      </c>
      <c r="I57" s="7"/>
      <c r="J57" s="38" t="s">
        <v>234</v>
      </c>
      <c r="K57" s="29">
        <f>sensitivity!D5</f>
        <v>0.66666666666666663</v>
      </c>
      <c r="L57" s="29">
        <v>1</v>
      </c>
      <c r="M57" s="29">
        <f>sensitivity!H5</f>
        <v>0.33333333333333331</v>
      </c>
      <c r="N57" s="22"/>
      <c r="O57" s="7"/>
      <c r="P57" s="28" t="s">
        <v>277</v>
      </c>
      <c r="Q57" s="29"/>
      <c r="R57" s="2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3">
      <c r="A58" s="7"/>
      <c r="B58" s="24"/>
      <c r="C58" s="44" t="s">
        <v>192</v>
      </c>
      <c r="D58" s="7"/>
      <c r="E58" s="44" t="s">
        <v>208</v>
      </c>
      <c r="F58" s="7"/>
      <c r="G58" s="7"/>
      <c r="H58" s="45" t="s">
        <v>200</v>
      </c>
      <c r="I58" s="7"/>
      <c r="J58" s="24"/>
      <c r="K58" s="7" t="s">
        <v>192</v>
      </c>
      <c r="L58" s="7" t="s">
        <v>193</v>
      </c>
      <c r="M58" s="7" t="s">
        <v>200</v>
      </c>
      <c r="N58" s="23"/>
      <c r="O58" s="7"/>
      <c r="P58" s="77">
        <f>SUM(K63,L63,M63,K65,L65,M65,C53,C54,(SUM(C53,C54)/(1+C$2)^F23))</f>
        <v>179609.90398787195</v>
      </c>
      <c r="Q58" s="7"/>
      <c r="R58" s="2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3">
      <c r="A59" s="7"/>
      <c r="B59" s="24" t="s">
        <v>228</v>
      </c>
      <c r="C59" s="7">
        <v>7632.83</v>
      </c>
      <c r="D59" s="7"/>
      <c r="E59" s="204" t="s">
        <v>270</v>
      </c>
      <c r="F59" s="46">
        <f>M92</f>
        <v>30312.224550496067</v>
      </c>
      <c r="G59" s="7" t="s">
        <v>266</v>
      </c>
      <c r="H59" s="23">
        <v>6506</v>
      </c>
      <c r="I59" s="7"/>
      <c r="J59" s="24"/>
      <c r="K59" s="7"/>
      <c r="L59" s="7"/>
      <c r="M59" s="7"/>
      <c r="N59" s="23"/>
      <c r="O59" s="7"/>
      <c r="P59" s="24" t="s">
        <v>278</v>
      </c>
      <c r="Q59" s="7"/>
      <c r="R59" s="2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" thickBot="1" x14ac:dyDescent="0.35">
      <c r="A60" s="7"/>
      <c r="B60" s="24" t="s">
        <v>228</v>
      </c>
      <c r="C60" s="7">
        <v>-0.2762</v>
      </c>
      <c r="D60" s="7"/>
      <c r="E60" s="204"/>
      <c r="F60" s="46"/>
      <c r="G60" s="7" t="s">
        <v>191</v>
      </c>
      <c r="H60" s="42">
        <f>6.2*(2/3)</f>
        <v>4.1333333333333329</v>
      </c>
      <c r="I60" s="7"/>
      <c r="J60" s="24"/>
      <c r="K60" s="7"/>
      <c r="L60" s="7"/>
      <c r="M60" s="7"/>
      <c r="N60" s="23"/>
      <c r="O60" s="7"/>
      <c r="P60" s="25">
        <f>P58/J6</f>
        <v>0.57972506525762235</v>
      </c>
      <c r="Q60" s="26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3">
      <c r="A61" s="7"/>
      <c r="B61" s="24" t="s">
        <v>225</v>
      </c>
      <c r="C61" s="7">
        <v>14.5</v>
      </c>
      <c r="D61" s="7"/>
      <c r="E61" s="7" t="s">
        <v>264</v>
      </c>
      <c r="F61" s="41">
        <v>2500</v>
      </c>
      <c r="G61" s="7"/>
      <c r="H61" s="23">
        <v>-0.17699999999999999</v>
      </c>
      <c r="I61" s="7"/>
      <c r="J61" s="24"/>
      <c r="K61" s="7"/>
      <c r="L61" s="7"/>
      <c r="M61" s="7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3">
      <c r="A62" s="7"/>
      <c r="B62" s="24" t="s">
        <v>226</v>
      </c>
      <c r="C62" s="7">
        <f>(1/3)*C61</f>
        <v>4.833333333333333</v>
      </c>
      <c r="D62" s="7"/>
      <c r="E62" s="7"/>
      <c r="F62" s="46"/>
      <c r="G62" s="7"/>
      <c r="H62" s="23">
        <f>H59*H60^H61</f>
        <v>5060.9131300031377</v>
      </c>
      <c r="I62" s="7"/>
      <c r="J62" s="24"/>
      <c r="K62" s="7"/>
      <c r="L62" s="7"/>
      <c r="M62" s="7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3">
      <c r="A63" s="7"/>
      <c r="B63" s="24" t="s">
        <v>227</v>
      </c>
      <c r="C63" s="7">
        <f>(2/3)*C61</f>
        <v>9.6666666666666661</v>
      </c>
      <c r="D63" s="7"/>
      <c r="E63" s="7"/>
      <c r="F63" s="7"/>
      <c r="G63" s="7" t="s">
        <v>267</v>
      </c>
      <c r="H63" s="45">
        <f>H62*H60*C65</f>
        <v>23675.491452888538</v>
      </c>
      <c r="I63" s="7"/>
      <c r="J63" s="30" t="s">
        <v>263</v>
      </c>
      <c r="K63" s="7">
        <f>C67*$K$57</f>
        <v>30947.695855850779</v>
      </c>
      <c r="L63" s="7">
        <f>L57*F59</f>
        <v>30312.224550496067</v>
      </c>
      <c r="M63" s="7">
        <f>H63*$M$57</f>
        <v>7891.8304842961788</v>
      </c>
      <c r="N63" s="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3">
      <c r="A64" s="7"/>
      <c r="B64" s="24"/>
      <c r="C64" s="43">
        <f>C59*C63^C60</f>
        <v>4078.9854233354645</v>
      </c>
      <c r="D64" s="7"/>
      <c r="E64" s="7"/>
      <c r="F64" s="7"/>
      <c r="G64" s="7"/>
      <c r="H64" s="23">
        <v>30</v>
      </c>
      <c r="I64" s="7"/>
      <c r="J64" s="30"/>
      <c r="K64" s="7">
        <f>C68</f>
        <v>30</v>
      </c>
      <c r="L64" s="7"/>
      <c r="M64" s="7">
        <f>H64</f>
        <v>30</v>
      </c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3">
      <c r="A65" s="7"/>
      <c r="B65" s="24" t="s">
        <v>231</v>
      </c>
      <c r="C65" s="43">
        <v>1.1317999999999999</v>
      </c>
      <c r="D65" s="7"/>
      <c r="E65" s="7"/>
      <c r="F65" s="7"/>
      <c r="G65" s="7" t="s">
        <v>264</v>
      </c>
      <c r="H65" s="45">
        <f>(H64/100)*H63</f>
        <v>7102.647435866561</v>
      </c>
      <c r="I65" s="7"/>
      <c r="J65" s="30" t="s">
        <v>264</v>
      </c>
      <c r="K65" s="7">
        <f>(K64/100)*K63</f>
        <v>9284.3087567552338</v>
      </c>
      <c r="L65" s="41">
        <f>F61</f>
        <v>2500</v>
      </c>
      <c r="M65" s="7">
        <f>(M64/100)*M63</f>
        <v>2367.5491452888537</v>
      </c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3">
      <c r="A66" s="7"/>
      <c r="B66" s="24" t="s">
        <v>229</v>
      </c>
      <c r="C66" s="43">
        <f>C64*C63</f>
        <v>39430.192425576155</v>
      </c>
      <c r="D66" s="7"/>
      <c r="E66" s="7"/>
      <c r="F66" s="7"/>
      <c r="G66" s="7"/>
      <c r="H66" s="23">
        <v>10</v>
      </c>
      <c r="I66" s="7"/>
      <c r="J66" s="30" t="s">
        <v>268</v>
      </c>
      <c r="K66" s="7">
        <f>C70</f>
        <v>5</v>
      </c>
      <c r="L66" s="7">
        <f>F67</f>
        <v>3</v>
      </c>
      <c r="M66" s="7">
        <f>H66</f>
        <v>10</v>
      </c>
      <c r="N66" s="23" t="s">
        <v>240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" thickBot="1" x14ac:dyDescent="0.35">
      <c r="A67" s="7"/>
      <c r="B67" s="24" t="s">
        <v>230</v>
      </c>
      <c r="C67" s="44">
        <f>G100*C65</f>
        <v>46421.543783776171</v>
      </c>
      <c r="D67" s="7"/>
      <c r="E67" s="7" t="s">
        <v>242</v>
      </c>
      <c r="F67" s="7">
        <v>3</v>
      </c>
      <c r="G67" s="7" t="s">
        <v>265</v>
      </c>
      <c r="H67" s="45">
        <f>(H66/100)*H63</f>
        <v>2367.5491452888541</v>
      </c>
      <c r="I67" s="7"/>
      <c r="J67" s="47" t="s">
        <v>265</v>
      </c>
      <c r="K67" s="26">
        <f>(K66/100)*K63</f>
        <v>1547.384792792539</v>
      </c>
      <c r="L67" s="26">
        <f>(L66/100)*L63</f>
        <v>909.36673651488195</v>
      </c>
      <c r="M67" s="26">
        <f>(M66/100)*M63</f>
        <v>789.18304842961788</v>
      </c>
      <c r="N67" s="27">
        <f>SUM(K67:M67)</f>
        <v>3245.934577737039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3">
      <c r="A68" s="7"/>
      <c r="B68" s="24" t="s">
        <v>201</v>
      </c>
      <c r="C68" s="7">
        <v>30</v>
      </c>
      <c r="D68" s="7"/>
      <c r="E68" s="7"/>
      <c r="F68" s="7">
        <f>(F67/100)*F65</f>
        <v>0</v>
      </c>
      <c r="G68" s="7" t="s">
        <v>243</v>
      </c>
      <c r="H68" s="23">
        <v>22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3">
      <c r="A69" s="7"/>
      <c r="B69" s="24"/>
      <c r="C69" s="44">
        <f>(C68/100)*C67</f>
        <v>13926.463135132852</v>
      </c>
      <c r="D69" s="7"/>
      <c r="E69" s="7" t="s">
        <v>241</v>
      </c>
      <c r="F69" s="7">
        <v>22</v>
      </c>
      <c r="G69" s="7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3">
      <c r="A70" s="7"/>
      <c r="B70" s="24" t="s">
        <v>203</v>
      </c>
      <c r="C70" s="7">
        <v>5</v>
      </c>
      <c r="D70" s="7"/>
      <c r="E70" s="7"/>
      <c r="F70" s="7"/>
      <c r="G70" s="7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" thickBot="1" x14ac:dyDescent="0.35">
      <c r="A71" s="7"/>
      <c r="B71" s="25" t="s">
        <v>202</v>
      </c>
      <c r="C71" s="48">
        <f>(C70/100)*C67</f>
        <v>2321.0771891888085</v>
      </c>
      <c r="D71" s="26"/>
      <c r="E71" s="26"/>
      <c r="F71" s="26"/>
      <c r="G71" s="26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3">
      <c r="A74" s="7"/>
      <c r="B74" s="28" t="s">
        <v>209</v>
      </c>
      <c r="C74" s="29"/>
      <c r="D74" s="29" t="s">
        <v>192</v>
      </c>
      <c r="E74" s="29"/>
      <c r="F74" s="29" t="s">
        <v>193</v>
      </c>
      <c r="G74" s="29"/>
      <c r="H74" s="22" t="s">
        <v>197</v>
      </c>
      <c r="I74" s="7"/>
      <c r="J74" s="28" t="s">
        <v>215</v>
      </c>
      <c r="K74" s="29"/>
      <c r="L74" s="29"/>
      <c r="M74" s="29" t="s">
        <v>216</v>
      </c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3">
      <c r="A75" s="7"/>
      <c r="B75" s="24"/>
      <c r="C75" s="7"/>
      <c r="D75" s="7">
        <v>7632.83</v>
      </c>
      <c r="E75" s="7"/>
      <c r="F75" s="7">
        <v>471.67</v>
      </c>
      <c r="G75" s="7"/>
      <c r="H75" s="23">
        <v>23823</v>
      </c>
      <c r="I75" s="7"/>
      <c r="J75" s="24"/>
      <c r="K75" s="7">
        <v>322.48</v>
      </c>
      <c r="L75" s="7"/>
      <c r="M75" s="7" t="s">
        <v>217</v>
      </c>
      <c r="N75" s="23">
        <v>7150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3">
      <c r="A76" s="7"/>
      <c r="B76" s="24"/>
      <c r="C76" s="7" t="s">
        <v>191</v>
      </c>
      <c r="D76" s="7">
        <v>10</v>
      </c>
      <c r="E76" s="7" t="s">
        <v>204</v>
      </c>
      <c r="F76" s="7">
        <v>0.1</v>
      </c>
      <c r="G76" s="7" t="s">
        <v>191</v>
      </c>
      <c r="H76" s="23">
        <v>10</v>
      </c>
      <c r="I76" s="7"/>
      <c r="J76" s="24"/>
      <c r="K76" s="7">
        <v>141.76</v>
      </c>
      <c r="L76" s="7"/>
      <c r="M76" s="7" t="s">
        <v>167</v>
      </c>
      <c r="N76" s="23">
        <v>13.5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3">
      <c r="A77" s="7"/>
      <c r="B77" s="24"/>
      <c r="C77" s="7"/>
      <c r="D77" s="7">
        <v>-0.2762</v>
      </c>
      <c r="E77" s="7"/>
      <c r="F77" s="7">
        <v>-8.9599999999999999E-2</v>
      </c>
      <c r="G77" s="7"/>
      <c r="H77" s="23">
        <v>-0.41420000000000001</v>
      </c>
      <c r="I77" s="7"/>
      <c r="J77" s="24"/>
      <c r="K77" s="7">
        <v>20.66</v>
      </c>
      <c r="L77" s="7"/>
      <c r="M77" s="7" t="s">
        <v>163</v>
      </c>
      <c r="N77" s="23">
        <f>N75/N76</f>
        <v>529.62962962962968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3">
      <c r="A78" s="7"/>
      <c r="B78" s="24"/>
      <c r="C78" s="7" t="s">
        <v>195</v>
      </c>
      <c r="D78" s="7">
        <f>D75*D76^(D77)</f>
        <v>4040.9696605772524</v>
      </c>
      <c r="E78" s="7" t="s">
        <v>196</v>
      </c>
      <c r="F78" s="7">
        <f>F75*F76^F77</f>
        <v>579.7466587472893</v>
      </c>
      <c r="G78" s="7" t="s">
        <v>195</v>
      </c>
      <c r="H78" s="23">
        <f>H75*H76^H77</f>
        <v>9179.0228449631613</v>
      </c>
      <c r="I78" s="7"/>
      <c r="J78" s="24"/>
      <c r="K78" s="7">
        <f>K77/(K75+K76)</f>
        <v>4.450284335688437E-2</v>
      </c>
      <c r="L78" s="7"/>
      <c r="M78" s="7" t="s">
        <v>219</v>
      </c>
      <c r="N78" s="23">
        <f>sensitivity!J5</f>
        <v>0.5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3">
      <c r="A79" s="7"/>
      <c r="B79" s="24"/>
      <c r="C79" s="7" t="s">
        <v>194</v>
      </c>
      <c r="D79" s="7">
        <f>D78*D76</f>
        <v>40409.696605772522</v>
      </c>
      <c r="E79" s="7" t="s">
        <v>194</v>
      </c>
      <c r="F79" s="7">
        <f>F76*1000*F78</f>
        <v>57974.665874728933</v>
      </c>
      <c r="G79" s="7" t="s">
        <v>194</v>
      </c>
      <c r="H79" s="23">
        <f>H78*H76</f>
        <v>91790.228449631613</v>
      </c>
      <c r="I79" s="7"/>
      <c r="J79" s="24"/>
      <c r="K79" s="7"/>
      <c r="L79" s="7"/>
      <c r="M79" s="7" t="s">
        <v>220</v>
      </c>
      <c r="N79" s="23">
        <f>N77*N78</f>
        <v>264.81481481481484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3">
      <c r="A80" s="7"/>
      <c r="B80" s="24"/>
      <c r="C80" s="7" t="s">
        <v>198</v>
      </c>
      <c r="D80" s="7">
        <v>4</v>
      </c>
      <c r="E80" s="7"/>
      <c r="F80" s="7">
        <v>1</v>
      </c>
      <c r="G80" s="7"/>
      <c r="H80" s="23">
        <v>4</v>
      </c>
      <c r="I80" s="7"/>
      <c r="J80" s="24"/>
      <c r="K80" s="7"/>
      <c r="L80" s="7"/>
      <c r="M80" s="7" t="s">
        <v>218</v>
      </c>
      <c r="N80" s="23">
        <v>740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" thickBot="1" x14ac:dyDescent="0.35">
      <c r="A81" s="7"/>
      <c r="B81" s="25"/>
      <c r="C81" s="26" t="s">
        <v>199</v>
      </c>
      <c r="D81" s="26">
        <f>(D80/100)*D79</f>
        <v>1616.387864230901</v>
      </c>
      <c r="E81" s="26"/>
      <c r="F81" s="26">
        <f>(F80/100)*F79</f>
        <v>579.7466587472893</v>
      </c>
      <c r="G81" s="26"/>
      <c r="H81" s="27">
        <f t="shared" ref="H81" si="0">(H80/100)*H79</f>
        <v>3671.6091379852646</v>
      </c>
      <c r="I81" s="7"/>
      <c r="J81" s="25"/>
      <c r="K81" s="26"/>
      <c r="L81" s="26"/>
      <c r="M81" s="26"/>
      <c r="N81" s="2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" thickBot="1" x14ac:dyDescent="0.35">
      <c r="A84" s="7"/>
      <c r="B84" s="7"/>
      <c r="C84" s="28" t="s">
        <v>232</v>
      </c>
      <c r="D84" s="29"/>
      <c r="E84" s="29"/>
      <c r="F84" s="29"/>
      <c r="G84" s="29"/>
      <c r="H84" s="22"/>
      <c r="I84" s="7"/>
      <c r="J84" s="7"/>
      <c r="K84" s="28" t="s">
        <v>208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7"/>
      <c r="AG84" s="7"/>
      <c r="AH84" s="7"/>
      <c r="AI84" s="7"/>
      <c r="AJ84" s="7"/>
      <c r="AK84" s="7"/>
      <c r="AL84" s="7"/>
      <c r="AM84" s="7"/>
    </row>
    <row r="85" spans="1:39" ht="15" thickBot="1" x14ac:dyDescent="0.35">
      <c r="A85" s="7"/>
      <c r="B85" s="7"/>
      <c r="C85" s="24"/>
      <c r="D85" s="7"/>
      <c r="E85" s="7" t="s">
        <v>46</v>
      </c>
      <c r="F85" s="7" t="s">
        <v>233</v>
      </c>
      <c r="G85" s="7" t="s">
        <v>132</v>
      </c>
      <c r="H85" s="23" t="s">
        <v>133</v>
      </c>
      <c r="I85" s="7"/>
      <c r="J85" s="7"/>
      <c r="K85" s="24"/>
      <c r="L85" s="7"/>
      <c r="M85" s="7"/>
      <c r="N85" s="7"/>
      <c r="O85" s="202" t="s">
        <v>85</v>
      </c>
      <c r="P85" s="191"/>
      <c r="Q85" s="191"/>
      <c r="R85" s="192"/>
      <c r="S85" s="202" t="s">
        <v>86</v>
      </c>
      <c r="T85" s="191"/>
      <c r="U85" s="191"/>
      <c r="V85" s="192"/>
      <c r="W85" s="7"/>
      <c r="X85" s="202" t="s">
        <v>85</v>
      </c>
      <c r="Y85" s="191"/>
      <c r="Z85" s="191"/>
      <c r="AA85" s="192"/>
      <c r="AB85" s="202" t="s">
        <v>86</v>
      </c>
      <c r="AC85" s="191"/>
      <c r="AD85" s="191"/>
      <c r="AE85" s="192"/>
      <c r="AF85" s="7"/>
      <c r="AG85" s="7"/>
      <c r="AH85" s="7"/>
      <c r="AI85" s="7"/>
      <c r="AJ85" s="7"/>
      <c r="AK85" s="7"/>
      <c r="AL85" s="7"/>
      <c r="AM85" s="7"/>
    </row>
    <row r="86" spans="1:39" ht="15" thickBot="1" x14ac:dyDescent="0.35">
      <c r="A86" s="7"/>
      <c r="B86" s="7"/>
      <c r="C86" s="24"/>
      <c r="D86" s="7"/>
      <c r="E86" s="7">
        <v>100</v>
      </c>
      <c r="F86" s="7">
        <v>22.8</v>
      </c>
      <c r="G86" s="7"/>
      <c r="H86" s="23"/>
      <c r="I86" s="7"/>
      <c r="J86" s="7"/>
      <c r="K86" s="24"/>
      <c r="L86" s="7" t="s">
        <v>46</v>
      </c>
      <c r="M86" s="7">
        <f>'Storage eff.'!C10</f>
        <v>0.7360000000000001</v>
      </c>
      <c r="N86" s="7"/>
      <c r="O86" s="202" t="s">
        <v>87</v>
      </c>
      <c r="P86" s="192"/>
      <c r="Q86" s="202" t="s">
        <v>88</v>
      </c>
      <c r="R86" s="192"/>
      <c r="S86" s="202" t="s">
        <v>87</v>
      </c>
      <c r="T86" s="192"/>
      <c r="U86" s="202" t="s">
        <v>88</v>
      </c>
      <c r="V86" s="192"/>
      <c r="W86" s="7"/>
      <c r="X86" s="202" t="s">
        <v>87</v>
      </c>
      <c r="Y86" s="192"/>
      <c r="Z86" s="202" t="s">
        <v>88</v>
      </c>
      <c r="AA86" s="192"/>
      <c r="AB86" s="202" t="s">
        <v>87</v>
      </c>
      <c r="AC86" s="192"/>
      <c r="AD86" s="202" t="s">
        <v>88</v>
      </c>
      <c r="AE86" s="192"/>
      <c r="AF86" s="7"/>
      <c r="AG86" s="7"/>
      <c r="AH86" s="7"/>
      <c r="AI86" s="7"/>
      <c r="AJ86" s="7"/>
      <c r="AK86" s="7"/>
      <c r="AL86" s="7"/>
      <c r="AM86" s="7"/>
    </row>
    <row r="87" spans="1:39" ht="15" thickBot="1" x14ac:dyDescent="0.35">
      <c r="A87" s="7"/>
      <c r="B87" s="7"/>
      <c r="C87" s="24">
        <v>2005</v>
      </c>
      <c r="D87" s="7">
        <v>2.2000000000000002</v>
      </c>
      <c r="E87" s="7">
        <f>D87/E86</f>
        <v>2.2000000000000002E-2</v>
      </c>
      <c r="F87" s="7">
        <f>F86+F86*E87</f>
        <v>23.301600000000001</v>
      </c>
      <c r="G87" s="7"/>
      <c r="H87" s="23"/>
      <c r="I87" s="7"/>
      <c r="J87" s="7"/>
      <c r="K87" s="78"/>
      <c r="L87" s="79">
        <f>sensitivity!F5</f>
        <v>600</v>
      </c>
      <c r="M87" s="80" t="s">
        <v>262</v>
      </c>
      <c r="N87" s="7"/>
      <c r="O87" s="74" t="s">
        <v>89</v>
      </c>
      <c r="P87" s="74" t="s">
        <v>60</v>
      </c>
      <c r="Q87" s="74" t="s">
        <v>89</v>
      </c>
      <c r="R87" s="74" t="s">
        <v>60</v>
      </c>
      <c r="S87" s="74" t="s">
        <v>89</v>
      </c>
      <c r="T87" s="74" t="s">
        <v>60</v>
      </c>
      <c r="U87" s="74" t="s">
        <v>89</v>
      </c>
      <c r="V87" s="74" t="s">
        <v>60</v>
      </c>
      <c r="W87" s="7"/>
      <c r="X87" s="74" t="s">
        <v>89</v>
      </c>
      <c r="Y87" s="74" t="s">
        <v>60</v>
      </c>
      <c r="Z87" s="74" t="s">
        <v>89</v>
      </c>
      <c r="AA87" s="74" t="s">
        <v>60</v>
      </c>
      <c r="AB87" s="74" t="s">
        <v>89</v>
      </c>
      <c r="AC87" s="74" t="s">
        <v>60</v>
      </c>
      <c r="AD87" s="74" t="s">
        <v>89</v>
      </c>
      <c r="AE87" s="74" t="s">
        <v>60</v>
      </c>
      <c r="AF87" s="7"/>
      <c r="AG87" s="7"/>
      <c r="AH87" s="7"/>
      <c r="AI87" s="7"/>
      <c r="AJ87" s="7"/>
      <c r="AK87" s="7"/>
      <c r="AL87" s="7"/>
      <c r="AM87" s="7"/>
    </row>
    <row r="88" spans="1:39" x14ac:dyDescent="0.3">
      <c r="A88" s="7"/>
      <c r="B88" s="7"/>
      <c r="C88" s="24">
        <v>2006</v>
      </c>
      <c r="D88" s="7">
        <v>2.21</v>
      </c>
      <c r="E88" s="7">
        <f t="shared" ref="E88:E100" si="1">D88/$E$86</f>
        <v>2.2099999999999998E-2</v>
      </c>
      <c r="F88" s="7">
        <f>F87+F87*E88</f>
        <v>23.816565360000002</v>
      </c>
      <c r="G88" s="7"/>
      <c r="H88" s="23"/>
      <c r="I88" s="7"/>
      <c r="J88" s="7"/>
      <c r="K88" s="33"/>
      <c r="L88" s="34"/>
      <c r="M88" s="35"/>
      <c r="N88" s="7"/>
      <c r="O88" s="41">
        <f>Cases!C27</f>
        <v>7051.0054360068789</v>
      </c>
      <c r="P88" s="41">
        <f>Cases!D27</f>
        <v>8366.5938129901624</v>
      </c>
      <c r="Q88" s="41">
        <f>Cases!E27</f>
        <v>8190.68943600688</v>
      </c>
      <c r="R88" s="41">
        <f>Cases!F27</f>
        <v>9506.2778129901599</v>
      </c>
      <c r="S88" s="41">
        <f>Cases!G27</f>
        <v>7190.3064637462649</v>
      </c>
      <c r="T88" s="41">
        <f>Cases!H27</f>
        <v>8505.8948407295466</v>
      </c>
      <c r="U88" s="41">
        <f>Cases!I27</f>
        <v>8329.9904637462623</v>
      </c>
      <c r="V88" s="41">
        <f>Cases!J27</f>
        <v>9645.578840729544</v>
      </c>
      <c r="W88" s="41"/>
      <c r="X88" s="41">
        <f>Cases!L27</f>
        <v>29652.351978281833</v>
      </c>
      <c r="Y88" s="41">
        <f>Cases!M27</f>
        <v>35025.658232149348</v>
      </c>
      <c r="Z88" s="41">
        <f>Cases!N27</f>
        <v>33871.374478281839</v>
      </c>
      <c r="AA88" s="41">
        <f>Cases!O27</f>
        <v>39244.680732149354</v>
      </c>
      <c r="AB88" s="41">
        <f>Cases!P27</f>
        <v>30025.183650718991</v>
      </c>
      <c r="AC88" s="41">
        <f>Cases!Q27</f>
        <v>35398.489904586502</v>
      </c>
      <c r="AD88" s="41">
        <f>Cases!R27</f>
        <v>34244.206150718994</v>
      </c>
      <c r="AE88" s="41">
        <f>Cases!S27</f>
        <v>39617.512404586509</v>
      </c>
      <c r="AF88" s="7"/>
      <c r="AG88" s="7"/>
      <c r="AH88" s="7"/>
      <c r="AI88" s="7"/>
      <c r="AJ88" s="7"/>
      <c r="AK88" s="7"/>
      <c r="AL88" s="7"/>
      <c r="AM88" s="7"/>
    </row>
    <row r="89" spans="1:39" x14ac:dyDescent="0.3">
      <c r="A89" s="7"/>
      <c r="B89" s="7"/>
      <c r="C89" s="24">
        <v>2007</v>
      </c>
      <c r="D89" s="7">
        <v>2.16</v>
      </c>
      <c r="E89" s="7">
        <f t="shared" si="1"/>
        <v>2.1600000000000001E-2</v>
      </c>
      <c r="F89" s="7">
        <f t="shared" ref="F89:F100" si="2">F88+F88*E89</f>
        <v>24.331003171776</v>
      </c>
      <c r="G89" s="7"/>
      <c r="H89" s="23"/>
      <c r="I89" s="7"/>
      <c r="J89" s="7"/>
      <c r="K89" s="33" t="s">
        <v>261</v>
      </c>
      <c r="L89" s="81">
        <f>AE88</f>
        <v>39617.512404586509</v>
      </c>
      <c r="M89" s="35" t="s">
        <v>167</v>
      </c>
      <c r="N89" s="7"/>
      <c r="O89" s="7">
        <f>O88/$M86</f>
        <v>9580.1704293571711</v>
      </c>
      <c r="P89" s="7">
        <f t="shared" ref="P89:AD89" si="3">P88/$M86</f>
        <v>11367.654637214893</v>
      </c>
      <c r="Q89" s="7">
        <f t="shared" si="3"/>
        <v>11128.654125009347</v>
      </c>
      <c r="R89" s="7">
        <f t="shared" si="3"/>
        <v>12916.138332867064</v>
      </c>
      <c r="S89" s="7">
        <f t="shared" si="3"/>
        <v>9769.4381300900332</v>
      </c>
      <c r="T89" s="7">
        <f t="shared" si="3"/>
        <v>11556.922337947752</v>
      </c>
      <c r="U89" s="7">
        <f t="shared" si="3"/>
        <v>11317.921825742204</v>
      </c>
      <c r="V89" s="7">
        <f t="shared" si="3"/>
        <v>13105.406033599922</v>
      </c>
      <c r="W89" s="7"/>
      <c r="X89" s="7">
        <f t="shared" si="3"/>
        <v>40288.521709622051</v>
      </c>
      <c r="Y89" s="7">
        <f t="shared" si="3"/>
        <v>47589.20955455074</v>
      </c>
      <c r="Z89" s="7">
        <f t="shared" si="3"/>
        <v>46020.889236795971</v>
      </c>
      <c r="AA89" s="7">
        <f t="shared" si="3"/>
        <v>53321.577081724659</v>
      </c>
      <c r="AB89" s="7">
        <f t="shared" si="3"/>
        <v>40795.086481955143</v>
      </c>
      <c r="AC89" s="7">
        <f t="shared" si="3"/>
        <v>48095.774326883831</v>
      </c>
      <c r="AD89" s="7">
        <f t="shared" si="3"/>
        <v>46527.454009129062</v>
      </c>
      <c r="AE89" s="7">
        <f>AE88/$M86</f>
        <v>53828.141854057751</v>
      </c>
      <c r="AF89" s="7"/>
      <c r="AG89" s="7"/>
      <c r="AH89" s="7"/>
      <c r="AI89" s="7"/>
      <c r="AJ89" s="7"/>
      <c r="AK89" s="7"/>
      <c r="AL89" s="7"/>
      <c r="AM89" s="7"/>
    </row>
    <row r="90" spans="1:39" x14ac:dyDescent="0.3">
      <c r="A90" s="7"/>
      <c r="B90" s="7"/>
      <c r="C90" s="24">
        <v>2008</v>
      </c>
      <c r="D90" s="7">
        <v>3.35</v>
      </c>
      <c r="E90" s="7">
        <f t="shared" si="1"/>
        <v>3.3500000000000002E-2</v>
      </c>
      <c r="F90" s="7">
        <f t="shared" si="2"/>
        <v>25.146091778030495</v>
      </c>
      <c r="G90" s="7"/>
      <c r="H90" s="23"/>
      <c r="I90" s="7"/>
      <c r="J90" s="7"/>
      <c r="K90" s="33"/>
      <c r="L90" s="34">
        <f>L89/L93</f>
        <v>1189.7150872248201</v>
      </c>
      <c r="M90" s="35" t="s">
        <v>258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3">
      <c r="A91" s="7"/>
      <c r="B91" s="7"/>
      <c r="C91" s="24">
        <v>2009</v>
      </c>
      <c r="D91" s="7">
        <v>0.32</v>
      </c>
      <c r="E91" s="7">
        <f t="shared" si="1"/>
        <v>3.2000000000000002E-3</v>
      </c>
      <c r="F91" s="7">
        <f t="shared" si="2"/>
        <v>25.226559271720191</v>
      </c>
      <c r="G91" s="7"/>
      <c r="H91" s="23"/>
      <c r="I91" s="7"/>
      <c r="J91" s="7"/>
      <c r="K91" s="33"/>
      <c r="L91" s="34" t="s">
        <v>260</v>
      </c>
      <c r="M91" s="35">
        <f>Q100</f>
        <v>50.520374250826777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" thickBot="1" x14ac:dyDescent="0.35">
      <c r="A92" s="7"/>
      <c r="B92" s="7"/>
      <c r="C92" s="24">
        <v>2010</v>
      </c>
      <c r="D92" s="7">
        <v>1.61</v>
      </c>
      <c r="E92" s="7">
        <f t="shared" si="1"/>
        <v>1.61E-2</v>
      </c>
      <c r="F92" s="7">
        <f t="shared" si="2"/>
        <v>25.632706875994888</v>
      </c>
      <c r="G92" s="7"/>
      <c r="H92" s="23"/>
      <c r="I92" s="7"/>
      <c r="J92" s="7"/>
      <c r="K92" s="36"/>
      <c r="L92" s="37" t="s">
        <v>255</v>
      </c>
      <c r="M92" s="65">
        <f>M91*L87</f>
        <v>30312.224550496067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3">
      <c r="A93" s="7"/>
      <c r="B93" s="7"/>
      <c r="C93" s="24">
        <v>2011</v>
      </c>
      <c r="D93" s="7">
        <v>2.72</v>
      </c>
      <c r="E93" s="7">
        <f t="shared" si="1"/>
        <v>2.7200000000000002E-2</v>
      </c>
      <c r="F93" s="7">
        <f t="shared" si="2"/>
        <v>26.329916503021948</v>
      </c>
      <c r="G93" s="7"/>
      <c r="H93" s="23"/>
      <c r="I93" s="7"/>
      <c r="J93" s="7"/>
      <c r="K93" s="24" t="s">
        <v>259</v>
      </c>
      <c r="L93" s="7">
        <v>33.299999999999997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" thickBot="1" x14ac:dyDescent="0.35">
      <c r="A94" s="7"/>
      <c r="B94" s="7"/>
      <c r="C94" s="24">
        <v>2012</v>
      </c>
      <c r="D94" s="7">
        <v>2.5</v>
      </c>
      <c r="E94" s="7">
        <f t="shared" si="1"/>
        <v>2.5000000000000001E-2</v>
      </c>
      <c r="F94" s="7">
        <f t="shared" si="2"/>
        <v>26.988164415597495</v>
      </c>
      <c r="G94" s="7"/>
      <c r="H94" s="23"/>
      <c r="I94" s="7"/>
      <c r="J94" s="7"/>
      <c r="K94" s="2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3">
      <c r="A95" s="7"/>
      <c r="B95" s="7"/>
      <c r="C95" s="24">
        <v>2013</v>
      </c>
      <c r="D95" s="7">
        <v>1.35</v>
      </c>
      <c r="E95" s="7">
        <f t="shared" si="1"/>
        <v>1.3500000000000002E-2</v>
      </c>
      <c r="F95" s="7">
        <f>F94+F94*E95</f>
        <v>27.35250463520806</v>
      </c>
      <c r="G95" s="7">
        <f>C66</f>
        <v>39430.192425576155</v>
      </c>
      <c r="H95" s="23"/>
      <c r="I95" s="7"/>
      <c r="J95" s="7"/>
      <c r="K95" s="24"/>
      <c r="L95" s="7"/>
      <c r="M95" s="7"/>
      <c r="N95" s="7"/>
      <c r="O95" s="7"/>
      <c r="P95" s="29" t="s">
        <v>257</v>
      </c>
      <c r="Q95" s="22">
        <v>27500000</v>
      </c>
      <c r="R95" s="2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3">
      <c r="A96" s="7"/>
      <c r="B96" s="7"/>
      <c r="C96" s="24">
        <v>2014</v>
      </c>
      <c r="D96" s="7">
        <v>0.43</v>
      </c>
      <c r="E96" s="7">
        <f t="shared" si="1"/>
        <v>4.3E-3</v>
      </c>
      <c r="F96" s="7">
        <f t="shared" si="2"/>
        <v>27.470120405139454</v>
      </c>
      <c r="G96" s="7">
        <f>G95+G95*E96</f>
        <v>39599.74225300613</v>
      </c>
      <c r="H96" s="23"/>
      <c r="I96" s="7"/>
      <c r="J96" s="7"/>
      <c r="K96" s="24"/>
      <c r="L96" s="7"/>
      <c r="M96" s="7"/>
      <c r="N96" s="7"/>
      <c r="O96" s="7"/>
      <c r="P96" s="7" t="s">
        <v>256</v>
      </c>
      <c r="Q96" s="23">
        <f>L90</f>
        <v>1189.7150872248201</v>
      </c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3">
      <c r="A97" s="7"/>
      <c r="B97" s="7"/>
      <c r="C97" s="24">
        <v>2015</v>
      </c>
      <c r="D97" s="7">
        <v>0.03</v>
      </c>
      <c r="E97" s="7">
        <f t="shared" si="1"/>
        <v>2.9999999999999997E-4</v>
      </c>
      <c r="F97" s="7">
        <f t="shared" si="2"/>
        <v>27.478361441260997</v>
      </c>
      <c r="G97" s="7">
        <f t="shared" ref="G97:G99" si="4">G96+G96*E97</f>
        <v>39611.622175682031</v>
      </c>
      <c r="H97" s="23"/>
      <c r="I97" s="7"/>
      <c r="J97" s="7"/>
      <c r="K97" s="24"/>
      <c r="L97" s="7"/>
      <c r="M97" s="7"/>
      <c r="N97" s="7"/>
      <c r="O97" s="7"/>
      <c r="P97" s="7" t="s">
        <v>254</v>
      </c>
      <c r="Q97" s="23">
        <v>4124.2</v>
      </c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3">
      <c r="A98" s="7"/>
      <c r="B98" s="7"/>
      <c r="C98" s="24">
        <v>2016</v>
      </c>
      <c r="D98" s="7">
        <v>0.24</v>
      </c>
      <c r="E98" s="7">
        <f t="shared" si="1"/>
        <v>2.3999999999999998E-3</v>
      </c>
      <c r="F98" s="7">
        <f t="shared" si="2"/>
        <v>27.544309508720023</v>
      </c>
      <c r="G98" s="7">
        <f t="shared" si="4"/>
        <v>39706.69006890367</v>
      </c>
      <c r="H98" s="23"/>
      <c r="I98" s="7"/>
      <c r="J98" s="7"/>
      <c r="K98" s="24"/>
      <c r="L98" s="7"/>
      <c r="M98" s="7"/>
      <c r="N98" s="7"/>
      <c r="O98" s="7"/>
      <c r="P98" s="7" t="s">
        <v>253</v>
      </c>
      <c r="Q98" s="23">
        <v>283.14999999999998</v>
      </c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3">
      <c r="A99" s="7"/>
      <c r="B99" s="7"/>
      <c r="C99" s="24">
        <v>2017</v>
      </c>
      <c r="D99" s="7">
        <v>1.54</v>
      </c>
      <c r="E99" s="7">
        <f t="shared" si="1"/>
        <v>1.54E-2</v>
      </c>
      <c r="F99" s="7">
        <f t="shared" si="2"/>
        <v>27.96849187515431</v>
      </c>
      <c r="G99" s="7">
        <f t="shared" si="4"/>
        <v>40318.17309596479</v>
      </c>
      <c r="H99" s="23"/>
      <c r="I99" s="7"/>
      <c r="J99" s="7"/>
      <c r="K99" s="24"/>
      <c r="L99" s="7"/>
      <c r="M99" s="7"/>
      <c r="N99" s="7"/>
      <c r="O99" s="7"/>
      <c r="P99" s="7"/>
      <c r="Q99" s="2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" thickBot="1" x14ac:dyDescent="0.35">
      <c r="A100" s="7"/>
      <c r="B100" s="7"/>
      <c r="C100" s="25">
        <v>2018</v>
      </c>
      <c r="D100" s="26">
        <v>1.73</v>
      </c>
      <c r="E100" s="26">
        <f t="shared" si="1"/>
        <v>1.7299999999999999E-2</v>
      </c>
      <c r="F100" s="26">
        <f t="shared" si="2"/>
        <v>28.452346784594479</v>
      </c>
      <c r="G100" s="26">
        <f>G99+G99*E100</f>
        <v>41015.677490524984</v>
      </c>
      <c r="H100" s="27"/>
      <c r="I100" s="7"/>
      <c r="J100" s="7"/>
      <c r="K100" s="25"/>
      <c r="L100" s="26"/>
      <c r="M100" s="26"/>
      <c r="N100" s="26"/>
      <c r="O100" s="26"/>
      <c r="P100" s="26" t="s">
        <v>252</v>
      </c>
      <c r="Q100" s="27">
        <f>(Q96*Q97*Q98)/Q95</f>
        <v>50.520374250826777</v>
      </c>
      <c r="R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</sheetData>
  <mergeCells count="13">
    <mergeCell ref="Z86:AA86"/>
    <mergeCell ref="AB86:AC86"/>
    <mergeCell ref="AD86:AE86"/>
    <mergeCell ref="E59:E60"/>
    <mergeCell ref="O85:R85"/>
    <mergeCell ref="S85:V85"/>
    <mergeCell ref="X85:AA85"/>
    <mergeCell ref="AB85:AE85"/>
    <mergeCell ref="O86:P86"/>
    <mergeCell ref="Q86:R86"/>
    <mergeCell ref="S86:T86"/>
    <mergeCell ref="U86:V86"/>
    <mergeCell ref="X86:Y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F023-25A5-44F4-BD71-AC14493215AB}">
  <dimension ref="A1:X38"/>
  <sheetViews>
    <sheetView topLeftCell="A12" workbookViewId="0">
      <selection activeCell="H16" sqref="H16"/>
    </sheetView>
  </sheetViews>
  <sheetFormatPr defaultRowHeight="14.4" x14ac:dyDescent="0.3"/>
  <cols>
    <col min="3" max="3" width="27.33203125" customWidth="1"/>
  </cols>
  <sheetData>
    <row r="1" spans="1:24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5" thickBot="1" x14ac:dyDescent="0.35">
      <c r="A2" s="7"/>
      <c r="B2" s="128"/>
      <c r="C2" s="120" t="s">
        <v>71</v>
      </c>
      <c r="D2" s="120"/>
      <c r="E2" s="121">
        <v>365</v>
      </c>
      <c r="F2" s="29"/>
      <c r="G2" s="128" t="s">
        <v>73</v>
      </c>
      <c r="H2" s="120">
        <v>1.6</v>
      </c>
      <c r="I2" s="121" t="s">
        <v>84</v>
      </c>
      <c r="J2" s="29"/>
      <c r="K2" s="191" t="s">
        <v>77</v>
      </c>
      <c r="L2" s="191"/>
      <c r="M2" s="191"/>
      <c r="N2" s="191"/>
      <c r="O2" s="191"/>
      <c r="P2" s="192"/>
      <c r="Q2" s="7"/>
      <c r="R2" s="7"/>
      <c r="S2" s="7"/>
      <c r="T2" s="7"/>
      <c r="U2" s="7"/>
      <c r="V2" s="7"/>
      <c r="W2" s="7"/>
      <c r="X2" s="7"/>
    </row>
    <row r="3" spans="1:24" x14ac:dyDescent="0.3">
      <c r="A3" s="7"/>
      <c r="B3" s="127"/>
      <c r="C3" s="118" t="s">
        <v>81</v>
      </c>
      <c r="D3" s="118"/>
      <c r="E3" s="119">
        <v>12</v>
      </c>
      <c r="F3" s="7"/>
      <c r="G3" s="127" t="s">
        <v>25</v>
      </c>
      <c r="H3" s="118">
        <v>4</v>
      </c>
      <c r="I3" s="119"/>
      <c r="J3" s="7"/>
      <c r="K3" s="128" t="s">
        <v>75</v>
      </c>
      <c r="L3" s="187" t="s">
        <v>59</v>
      </c>
      <c r="M3" s="187"/>
      <c r="N3" s="120"/>
      <c r="O3" s="187" t="s">
        <v>60</v>
      </c>
      <c r="P3" s="188"/>
      <c r="Q3" s="7"/>
      <c r="R3" s="7"/>
      <c r="S3" s="7"/>
      <c r="T3" s="7"/>
      <c r="U3" s="7"/>
      <c r="V3" s="7"/>
      <c r="W3" s="7"/>
      <c r="X3" s="7"/>
    </row>
    <row r="4" spans="1:24" ht="15" thickBot="1" x14ac:dyDescent="0.35">
      <c r="A4" s="7"/>
      <c r="B4" s="127"/>
      <c r="C4" s="118" t="s">
        <v>54</v>
      </c>
      <c r="D4" s="118"/>
      <c r="E4" s="119">
        <v>12</v>
      </c>
      <c r="F4" s="7"/>
      <c r="G4" s="129" t="s">
        <v>26</v>
      </c>
      <c r="H4" s="122">
        <v>20</v>
      </c>
      <c r="I4" s="123"/>
      <c r="J4" s="7"/>
      <c r="K4" s="127"/>
      <c r="L4" s="118" t="s">
        <v>25</v>
      </c>
      <c r="M4" s="118" t="s">
        <v>26</v>
      </c>
      <c r="N4" s="118"/>
      <c r="O4" s="118" t="s">
        <v>25</v>
      </c>
      <c r="P4" s="119" t="s">
        <v>26</v>
      </c>
      <c r="Q4" s="7"/>
      <c r="R4" s="7"/>
      <c r="S4" s="7"/>
      <c r="T4" s="7"/>
      <c r="U4" s="7"/>
      <c r="V4" s="7"/>
      <c r="W4" s="7"/>
      <c r="X4" s="7"/>
    </row>
    <row r="5" spans="1:24" x14ac:dyDescent="0.3">
      <c r="A5" s="7"/>
      <c r="B5" s="149" t="s">
        <v>55</v>
      </c>
      <c r="C5" s="150"/>
      <c r="D5" s="150"/>
      <c r="E5" s="151"/>
      <c r="F5" s="7"/>
      <c r="G5" s="7"/>
      <c r="H5" s="7"/>
      <c r="I5" s="7"/>
      <c r="J5" s="7"/>
      <c r="K5" s="127"/>
      <c r="L5" s="118">
        <f>E8+E14*E8</f>
        <v>21.097805778550061</v>
      </c>
      <c r="M5" s="118">
        <f>E8-E8*E14</f>
        <v>18.41263049764369</v>
      </c>
      <c r="N5" s="118"/>
      <c r="O5" s="118">
        <f>E19+E19*E25</f>
        <v>33.112311504424781</v>
      </c>
      <c r="P5" s="119">
        <f>E19-E25*E19</f>
        <v>28.226888495575221</v>
      </c>
      <c r="Q5" s="7"/>
      <c r="R5" s="7"/>
      <c r="S5" s="7"/>
      <c r="T5" s="7"/>
      <c r="U5" s="7"/>
      <c r="V5" s="7"/>
      <c r="W5" s="7"/>
      <c r="X5" s="7"/>
    </row>
    <row r="6" spans="1:24" ht="15" thickBot="1" x14ac:dyDescent="0.35">
      <c r="A6" s="7"/>
      <c r="B6" s="127"/>
      <c r="C6" s="118" t="s">
        <v>56</v>
      </c>
      <c r="D6" s="118"/>
      <c r="E6" s="119">
        <v>20.100000000000001</v>
      </c>
      <c r="F6" s="7"/>
      <c r="G6" s="7"/>
      <c r="H6" s="7"/>
      <c r="I6" s="7"/>
      <c r="J6" s="7"/>
      <c r="K6" s="129" t="s">
        <v>72</v>
      </c>
      <c r="L6" s="122">
        <f>L5*$E$2</f>
        <v>7700.6991091707723</v>
      </c>
      <c r="M6" s="122">
        <f>M5*$E$2</f>
        <v>6720.6101316399472</v>
      </c>
      <c r="N6" s="122"/>
      <c r="O6" s="122">
        <f>O5*$E$2</f>
        <v>12085.993699115044</v>
      </c>
      <c r="P6" s="123">
        <f>P5*$E$2</f>
        <v>10302.814300884955</v>
      </c>
      <c r="Q6" s="7"/>
      <c r="R6" s="7"/>
      <c r="S6" s="7"/>
      <c r="T6" s="7"/>
      <c r="U6" s="7"/>
      <c r="V6" s="7"/>
      <c r="W6" s="7"/>
      <c r="X6" s="7"/>
    </row>
    <row r="7" spans="1:24" ht="15" thickBot="1" x14ac:dyDescent="0.35">
      <c r="A7" s="7"/>
      <c r="B7" s="127"/>
      <c r="C7" s="118" t="s">
        <v>57</v>
      </c>
      <c r="D7" s="118"/>
      <c r="E7" s="119">
        <f>H32</f>
        <v>1.7153326462842053E-2</v>
      </c>
      <c r="F7" s="7"/>
      <c r="G7" s="7"/>
      <c r="H7" s="7"/>
      <c r="I7" s="7"/>
      <c r="J7" s="7"/>
      <c r="K7" s="193" t="s">
        <v>83</v>
      </c>
      <c r="L7" s="193"/>
      <c r="M7" s="193"/>
      <c r="N7" s="193"/>
      <c r="O7" s="193"/>
      <c r="P7" s="194"/>
      <c r="Q7" s="7"/>
      <c r="R7" s="7"/>
      <c r="S7" s="7"/>
      <c r="T7" s="7"/>
      <c r="U7" s="7"/>
      <c r="V7" s="7"/>
      <c r="W7" s="7"/>
      <c r="X7" s="7"/>
    </row>
    <row r="8" spans="1:24" x14ac:dyDescent="0.3">
      <c r="A8" s="7"/>
      <c r="B8" s="127"/>
      <c r="C8" s="118" t="s">
        <v>63</v>
      </c>
      <c r="D8" s="118"/>
      <c r="E8" s="119">
        <f>E6-E6*E7</f>
        <v>19.755218138096875</v>
      </c>
      <c r="F8" s="7"/>
      <c r="G8" s="7"/>
      <c r="K8" s="128" t="s">
        <v>75</v>
      </c>
      <c r="L8" s="187" t="s">
        <v>59</v>
      </c>
      <c r="M8" s="187"/>
      <c r="N8" s="120"/>
      <c r="O8" s="187" t="s">
        <v>60</v>
      </c>
      <c r="P8" s="188"/>
      <c r="Q8" s="7"/>
      <c r="R8" s="7"/>
      <c r="S8" s="7"/>
      <c r="T8" s="7"/>
      <c r="U8" s="7"/>
      <c r="V8" s="7"/>
      <c r="W8" s="7"/>
      <c r="X8" s="7"/>
    </row>
    <row r="9" spans="1:24" x14ac:dyDescent="0.3">
      <c r="A9" s="7"/>
      <c r="B9" s="127"/>
      <c r="C9" s="118" t="s">
        <v>64</v>
      </c>
      <c r="D9" s="118"/>
      <c r="E9" s="119">
        <v>27.5</v>
      </c>
      <c r="F9" s="7"/>
      <c r="G9" s="7"/>
      <c r="K9" s="127"/>
      <c r="L9" s="118" t="s">
        <v>25</v>
      </c>
      <c r="M9" s="118" t="s">
        <v>26</v>
      </c>
      <c r="N9" s="118"/>
      <c r="O9" s="118" t="s">
        <v>25</v>
      </c>
      <c r="P9" s="119" t="s">
        <v>26</v>
      </c>
      <c r="Q9" s="7"/>
      <c r="R9" s="7"/>
      <c r="S9" s="7"/>
      <c r="T9" s="7"/>
      <c r="U9" s="7"/>
      <c r="V9" s="7"/>
      <c r="W9" s="7"/>
      <c r="X9" s="7"/>
    </row>
    <row r="10" spans="1:24" x14ac:dyDescent="0.3">
      <c r="A10" s="7"/>
      <c r="B10" s="127"/>
      <c r="C10" s="118" t="s">
        <v>66</v>
      </c>
      <c r="D10" s="118"/>
      <c r="E10" s="119">
        <v>24</v>
      </c>
      <c r="F10" s="7"/>
      <c r="G10" s="7"/>
      <c r="K10" s="127"/>
      <c r="L10" s="118"/>
      <c r="M10" s="118"/>
      <c r="N10" s="118"/>
      <c r="O10" s="118"/>
      <c r="P10" s="119"/>
      <c r="Q10" s="7"/>
      <c r="R10" s="7"/>
      <c r="S10" s="7"/>
      <c r="T10" s="7"/>
      <c r="U10" s="7"/>
      <c r="V10" s="7"/>
      <c r="W10" s="7"/>
      <c r="X10" s="7"/>
    </row>
    <row r="11" spans="1:24" ht="15" thickBot="1" x14ac:dyDescent="0.35">
      <c r="A11" s="7"/>
      <c r="B11" s="127"/>
      <c r="C11" s="118" t="s">
        <v>65</v>
      </c>
      <c r="D11" s="118"/>
      <c r="E11" s="119">
        <f>E9-E10</f>
        <v>3.5</v>
      </c>
      <c r="F11" s="7"/>
      <c r="G11" s="7"/>
      <c r="H11" s="7"/>
      <c r="I11" s="7"/>
      <c r="J11" s="7"/>
      <c r="K11" s="129" t="s">
        <v>74</v>
      </c>
      <c r="L11" s="122">
        <f>L6/$H$2</f>
        <v>4812.9369432317326</v>
      </c>
      <c r="M11" s="122">
        <f>M6/$H$2</f>
        <v>4200.3813322749666</v>
      </c>
      <c r="N11" s="122"/>
      <c r="O11" s="122">
        <f>O6/$H$2</f>
        <v>7553.746061946902</v>
      </c>
      <c r="P11" s="123">
        <f>P6/$H$2</f>
        <v>6439.2589380530962</v>
      </c>
      <c r="Q11" s="7"/>
      <c r="R11" s="7"/>
      <c r="S11" s="7"/>
      <c r="T11" s="7"/>
      <c r="U11" s="7"/>
      <c r="V11" s="7"/>
      <c r="W11" s="7"/>
      <c r="X11" s="7"/>
    </row>
    <row r="12" spans="1:24" ht="15" thickBot="1" x14ac:dyDescent="0.35">
      <c r="A12" s="7"/>
      <c r="B12" s="127"/>
      <c r="C12" s="118" t="s">
        <v>68</v>
      </c>
      <c r="D12" s="118"/>
      <c r="E12" s="119">
        <f>0.5*E11</f>
        <v>1.75</v>
      </c>
      <c r="F12" s="7"/>
      <c r="G12" s="7"/>
      <c r="H12" s="7"/>
      <c r="I12" s="7"/>
      <c r="J12" s="7"/>
      <c r="K12" s="193" t="s">
        <v>78</v>
      </c>
      <c r="L12" s="193"/>
      <c r="M12" s="193"/>
      <c r="N12" s="193"/>
      <c r="O12" s="193"/>
      <c r="P12" s="194"/>
      <c r="Q12" s="7"/>
      <c r="R12" s="7"/>
      <c r="S12" s="7"/>
      <c r="T12" s="7"/>
      <c r="U12" s="7"/>
      <c r="V12" s="7"/>
      <c r="W12" s="7"/>
      <c r="X12" s="7"/>
    </row>
    <row r="13" spans="1:24" x14ac:dyDescent="0.3">
      <c r="A13" s="7"/>
      <c r="B13" s="127"/>
      <c r="C13" s="118" t="s">
        <v>67</v>
      </c>
      <c r="D13" s="118"/>
      <c r="E13" s="119">
        <f>E10+E12</f>
        <v>25.75</v>
      </c>
      <c r="F13" s="7"/>
      <c r="G13" s="7"/>
      <c r="H13" s="7"/>
      <c r="I13" s="7"/>
      <c r="J13" s="7"/>
      <c r="K13" s="128" t="s">
        <v>76</v>
      </c>
      <c r="L13" s="187" t="s">
        <v>59</v>
      </c>
      <c r="M13" s="187"/>
      <c r="N13" s="120"/>
      <c r="O13" s="187" t="s">
        <v>60</v>
      </c>
      <c r="P13" s="188"/>
      <c r="Q13" s="7"/>
      <c r="R13" s="7"/>
      <c r="S13" s="7"/>
      <c r="T13" s="7"/>
      <c r="U13" s="7"/>
      <c r="V13" s="7"/>
      <c r="W13" s="7"/>
      <c r="X13" s="7"/>
    </row>
    <row r="14" spans="1:24" x14ac:dyDescent="0.3">
      <c r="A14" s="7"/>
      <c r="B14" s="127"/>
      <c r="C14" s="118" t="s">
        <v>58</v>
      </c>
      <c r="D14" s="118"/>
      <c r="E14" s="119">
        <f>E12/E13</f>
        <v>6.7961165048543687E-2</v>
      </c>
      <c r="F14" s="7"/>
      <c r="G14" s="7"/>
      <c r="H14" s="7"/>
      <c r="I14" s="7"/>
      <c r="J14" s="7"/>
      <c r="K14" s="127"/>
      <c r="L14" s="118" t="s">
        <v>25</v>
      </c>
      <c r="M14" s="118" t="s">
        <v>26</v>
      </c>
      <c r="N14" s="118"/>
      <c r="O14" s="118" t="s">
        <v>25</v>
      </c>
      <c r="P14" s="119" t="s">
        <v>26</v>
      </c>
      <c r="Q14" s="7"/>
      <c r="R14" s="7"/>
      <c r="S14" s="7"/>
      <c r="T14" s="7"/>
      <c r="U14" s="7"/>
      <c r="V14" s="7"/>
      <c r="W14" s="7"/>
      <c r="X14" s="7"/>
    </row>
    <row r="15" spans="1:24" x14ac:dyDescent="0.3">
      <c r="A15" s="7"/>
      <c r="B15" s="127"/>
      <c r="C15" s="118"/>
      <c r="D15" s="118"/>
      <c r="E15" s="119"/>
      <c r="F15" s="7"/>
      <c r="G15" s="7"/>
      <c r="H15" s="7"/>
      <c r="I15" s="7"/>
      <c r="J15" s="7"/>
      <c r="K15" s="127"/>
      <c r="L15" s="118"/>
      <c r="M15" s="118"/>
      <c r="N15" s="118"/>
      <c r="O15" s="118"/>
      <c r="P15" s="119"/>
      <c r="Q15" s="7"/>
      <c r="R15" s="7"/>
      <c r="S15" s="7"/>
      <c r="T15" s="7"/>
      <c r="U15" s="7"/>
      <c r="V15" s="7"/>
      <c r="W15" s="7"/>
      <c r="X15" s="7"/>
    </row>
    <row r="16" spans="1:24" ht="15" thickBot="1" x14ac:dyDescent="0.35">
      <c r="A16" s="7"/>
      <c r="B16" s="149" t="s">
        <v>61</v>
      </c>
      <c r="C16" s="150"/>
      <c r="D16" s="150"/>
      <c r="E16" s="151"/>
      <c r="F16" s="7"/>
      <c r="G16" s="7"/>
      <c r="H16" s="7"/>
      <c r="I16" s="7"/>
      <c r="J16" s="7"/>
      <c r="K16" s="129" t="s">
        <v>74</v>
      </c>
      <c r="L16" s="122">
        <f>L11*H3</f>
        <v>19251.74777292693</v>
      </c>
      <c r="M16" s="122">
        <f>M11*H4</f>
        <v>84007.626645499331</v>
      </c>
      <c r="N16" s="122"/>
      <c r="O16" s="122">
        <f>O11*H3</f>
        <v>30214.984247787608</v>
      </c>
      <c r="P16" s="123">
        <f>P11*H4</f>
        <v>128785.17876106192</v>
      </c>
      <c r="Q16" s="7"/>
      <c r="R16" s="7"/>
      <c r="S16" s="7"/>
      <c r="T16" s="7"/>
      <c r="U16" s="7"/>
      <c r="V16" s="7"/>
      <c r="W16" s="7"/>
      <c r="X16" s="7"/>
    </row>
    <row r="17" spans="1:24" ht="15" thickBot="1" x14ac:dyDescent="0.35">
      <c r="A17" s="7"/>
      <c r="B17" s="127"/>
      <c r="C17" s="118" t="s">
        <v>62</v>
      </c>
      <c r="D17" s="118"/>
      <c r="E17" s="119">
        <v>31.2</v>
      </c>
      <c r="F17" s="7"/>
      <c r="G17" s="7"/>
      <c r="H17" s="7"/>
      <c r="I17" s="7"/>
      <c r="J17" s="7"/>
      <c r="K17" s="160" t="s">
        <v>80</v>
      </c>
      <c r="L17" s="161">
        <v>0.12</v>
      </c>
      <c r="M17" s="7"/>
      <c r="N17" s="7"/>
      <c r="O17" s="7"/>
      <c r="P17" s="23"/>
      <c r="Q17" s="7"/>
      <c r="R17" s="7"/>
      <c r="S17" s="7"/>
      <c r="T17" s="7"/>
      <c r="U17" s="7"/>
      <c r="V17" s="7"/>
      <c r="W17" s="7"/>
      <c r="X17" s="7"/>
    </row>
    <row r="18" spans="1:24" ht="15" thickBot="1" x14ac:dyDescent="0.35">
      <c r="A18" s="7"/>
      <c r="B18" s="127"/>
      <c r="C18" s="118" t="s">
        <v>57</v>
      </c>
      <c r="D18" s="118"/>
      <c r="E18" s="119">
        <v>1.7000000000000001E-2</v>
      </c>
      <c r="F18" s="7"/>
      <c r="G18" s="7"/>
      <c r="H18" s="7"/>
      <c r="I18" s="7"/>
      <c r="J18" s="7"/>
      <c r="K18" s="193" t="s">
        <v>79</v>
      </c>
      <c r="L18" s="193"/>
      <c r="M18" s="193"/>
      <c r="N18" s="193"/>
      <c r="O18" s="193"/>
      <c r="P18" s="194"/>
      <c r="Q18" s="7"/>
      <c r="R18" s="7"/>
      <c r="S18" s="7"/>
      <c r="T18" s="7"/>
      <c r="U18" s="7"/>
      <c r="V18" s="7"/>
      <c r="W18" s="7"/>
      <c r="X18" s="7"/>
    </row>
    <row r="19" spans="1:24" x14ac:dyDescent="0.3">
      <c r="A19" s="7"/>
      <c r="B19" s="127"/>
      <c r="C19" s="118" t="s">
        <v>63</v>
      </c>
      <c r="D19" s="118"/>
      <c r="E19" s="119">
        <f>E17-E17*E18</f>
        <v>30.669599999999999</v>
      </c>
      <c r="F19" s="7"/>
      <c r="G19" s="7"/>
      <c r="H19" s="7"/>
      <c r="I19" s="7"/>
      <c r="J19" s="7"/>
      <c r="K19" s="128" t="s">
        <v>76</v>
      </c>
      <c r="L19" s="187" t="s">
        <v>59</v>
      </c>
      <c r="M19" s="187"/>
      <c r="N19" s="120"/>
      <c r="O19" s="187" t="s">
        <v>60</v>
      </c>
      <c r="P19" s="188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7"/>
      <c r="B20" s="127"/>
      <c r="C20" s="118" t="s">
        <v>64</v>
      </c>
      <c r="D20" s="118"/>
      <c r="E20" s="119">
        <v>30.5</v>
      </c>
      <c r="F20" s="7"/>
      <c r="G20" s="7"/>
      <c r="H20" s="7"/>
      <c r="I20" s="7"/>
      <c r="J20" s="7"/>
      <c r="K20" s="127"/>
      <c r="L20" s="118" t="s">
        <v>25</v>
      </c>
      <c r="M20" s="118" t="s">
        <v>26</v>
      </c>
      <c r="N20" s="118"/>
      <c r="O20" s="118" t="s">
        <v>25</v>
      </c>
      <c r="P20" s="119" t="s">
        <v>26</v>
      </c>
      <c r="Q20" s="7"/>
      <c r="R20" s="7"/>
      <c r="S20" s="7"/>
      <c r="T20" s="7"/>
      <c r="U20" s="7"/>
      <c r="V20" s="7"/>
      <c r="W20" s="7"/>
      <c r="X20" s="7"/>
    </row>
    <row r="21" spans="1:24" x14ac:dyDescent="0.3">
      <c r="A21" s="7"/>
      <c r="B21" s="127"/>
      <c r="C21" s="118" t="s">
        <v>69</v>
      </c>
      <c r="D21" s="118"/>
      <c r="E21" s="119">
        <v>26</v>
      </c>
      <c r="F21" s="7"/>
      <c r="G21" s="7"/>
      <c r="H21" s="7"/>
      <c r="I21" s="7"/>
      <c r="J21" s="7"/>
      <c r="K21" s="127"/>
      <c r="L21" s="118"/>
      <c r="M21" s="118"/>
      <c r="N21" s="118"/>
      <c r="O21" s="118"/>
      <c r="P21" s="119"/>
      <c r="Q21" s="7"/>
      <c r="R21" s="7"/>
      <c r="S21" s="7"/>
      <c r="T21" s="7"/>
      <c r="U21" s="7"/>
      <c r="V21" s="7"/>
      <c r="W21" s="7"/>
      <c r="X21" s="7"/>
    </row>
    <row r="22" spans="1:24" ht="15" thickBot="1" x14ac:dyDescent="0.35">
      <c r="A22" s="7"/>
      <c r="B22" s="127"/>
      <c r="C22" s="118" t="s">
        <v>70</v>
      </c>
      <c r="D22" s="118"/>
      <c r="E22" s="119">
        <f>E20-E21</f>
        <v>4.5</v>
      </c>
      <c r="F22" s="7"/>
      <c r="G22" s="7"/>
      <c r="H22" s="7"/>
      <c r="I22" s="7"/>
      <c r="J22" s="7"/>
      <c r="K22" s="129" t="s">
        <v>74</v>
      </c>
      <c r="L22" s="122">
        <f>L16*$L$17</f>
        <v>2310.2097327512315</v>
      </c>
      <c r="M22" s="122">
        <f>M16*$L$17</f>
        <v>10080.915197459919</v>
      </c>
      <c r="N22" s="122"/>
      <c r="O22" s="122">
        <f>O16*$L$17</f>
        <v>3625.7981097345128</v>
      </c>
      <c r="P22" s="123">
        <f>P16*$L$17</f>
        <v>15454.22145132743</v>
      </c>
      <c r="Q22" s="7"/>
      <c r="R22" s="7"/>
      <c r="S22" s="7"/>
      <c r="T22" s="7"/>
      <c r="U22" s="7"/>
      <c r="V22" s="7"/>
      <c r="W22" s="7"/>
      <c r="X22" s="7"/>
    </row>
    <row r="23" spans="1:24" x14ac:dyDescent="0.3">
      <c r="A23" s="7"/>
      <c r="B23" s="127"/>
      <c r="C23" s="118" t="s">
        <v>68</v>
      </c>
      <c r="D23" s="118"/>
      <c r="E23" s="119">
        <f>E22/2</f>
        <v>2.25</v>
      </c>
      <c r="F23" s="7"/>
      <c r="G23" s="7"/>
      <c r="H23" s="7"/>
      <c r="I23" s="7"/>
      <c r="J23" s="7"/>
      <c r="K23" s="189" t="s">
        <v>97</v>
      </c>
      <c r="L23" s="189"/>
      <c r="M23" s="189"/>
      <c r="N23" s="189"/>
      <c r="O23" s="189"/>
      <c r="P23" s="190"/>
      <c r="Q23" s="7"/>
      <c r="R23" s="7"/>
      <c r="S23" s="7"/>
      <c r="T23" s="7"/>
      <c r="U23" s="7"/>
      <c r="V23" s="7"/>
      <c r="W23" s="7"/>
      <c r="X23" s="7"/>
    </row>
    <row r="24" spans="1:24" ht="15" thickBot="1" x14ac:dyDescent="0.35">
      <c r="A24" s="7"/>
      <c r="B24" s="127"/>
      <c r="C24" s="118" t="s">
        <v>67</v>
      </c>
      <c r="D24" s="118"/>
      <c r="E24" s="119">
        <f>E23+E21</f>
        <v>28.25</v>
      </c>
      <c r="F24" s="7"/>
      <c r="G24" s="7"/>
      <c r="H24" s="7"/>
      <c r="I24" s="7"/>
      <c r="J24" s="7"/>
      <c r="K24" s="185" t="s">
        <v>130</v>
      </c>
      <c r="L24" s="185"/>
      <c r="M24" s="185"/>
      <c r="N24" s="185"/>
      <c r="O24" s="185"/>
      <c r="P24" s="186"/>
      <c r="Q24" s="7"/>
      <c r="R24" s="7"/>
      <c r="S24" s="7"/>
      <c r="T24" s="7"/>
      <c r="U24" s="7"/>
      <c r="V24" s="7"/>
      <c r="W24" s="7"/>
      <c r="X24" s="7"/>
    </row>
    <row r="25" spans="1:24" ht="15" thickBot="1" x14ac:dyDescent="0.35">
      <c r="A25" s="7"/>
      <c r="B25" s="129"/>
      <c r="C25" s="122" t="s">
        <v>58</v>
      </c>
      <c r="D25" s="122"/>
      <c r="E25" s="123">
        <f>E23/E24</f>
        <v>7.9646017699115043E-2</v>
      </c>
      <c r="F25" s="7"/>
      <c r="G25" s="7"/>
      <c r="H25" s="7"/>
      <c r="I25" s="7"/>
      <c r="J25" s="7"/>
      <c r="K25" s="31" t="s">
        <v>76</v>
      </c>
      <c r="L25" s="183" t="s">
        <v>59</v>
      </c>
      <c r="M25" s="183"/>
      <c r="N25" s="32"/>
      <c r="O25" s="183" t="s">
        <v>60</v>
      </c>
      <c r="P25" s="184"/>
      <c r="Q25" s="7"/>
      <c r="R25" s="7"/>
      <c r="S25" s="7"/>
      <c r="T25" s="7"/>
      <c r="U25" s="7"/>
      <c r="V25" s="7"/>
      <c r="W25" s="7"/>
      <c r="X25" s="7"/>
    </row>
    <row r="26" spans="1:24" x14ac:dyDescent="0.3">
      <c r="A26" s="7"/>
      <c r="B26" s="24"/>
      <c r="C26" s="7"/>
      <c r="D26" s="7"/>
      <c r="E26" s="7"/>
      <c r="F26" s="7"/>
      <c r="G26" s="7"/>
      <c r="H26" s="7"/>
      <c r="I26" s="7"/>
      <c r="J26" s="7"/>
      <c r="K26" s="33"/>
      <c r="L26" s="34" t="s">
        <v>25</v>
      </c>
      <c r="M26" s="34" t="s">
        <v>26</v>
      </c>
      <c r="N26" s="34"/>
      <c r="O26" s="34" t="s">
        <v>25</v>
      </c>
      <c r="P26" s="35" t="s">
        <v>26</v>
      </c>
      <c r="Q26" s="7"/>
      <c r="R26" s="7"/>
      <c r="S26" s="7"/>
      <c r="T26" s="7"/>
      <c r="U26" s="7"/>
      <c r="V26" s="7"/>
      <c r="W26" s="7"/>
      <c r="X26" s="7"/>
    </row>
    <row r="27" spans="1:24" ht="15" thickBot="1" x14ac:dyDescent="0.35">
      <c r="A27" s="7"/>
      <c r="B27" s="24"/>
      <c r="C27" s="7"/>
      <c r="D27" s="7"/>
      <c r="E27" s="7"/>
      <c r="F27" s="7"/>
      <c r="G27" s="7"/>
      <c r="H27" s="7"/>
      <c r="I27" s="7"/>
      <c r="J27" s="7"/>
      <c r="K27" s="33"/>
      <c r="L27" s="34"/>
      <c r="M27" s="34"/>
      <c r="N27" s="34"/>
      <c r="O27" s="34"/>
      <c r="P27" s="35"/>
      <c r="Q27" s="7"/>
      <c r="R27" s="7"/>
      <c r="S27" s="7"/>
      <c r="T27" s="7"/>
      <c r="U27" s="7"/>
      <c r="V27" s="7"/>
      <c r="W27" s="7"/>
      <c r="X27" s="7"/>
    </row>
    <row r="28" spans="1:24" ht="27" thickBot="1" x14ac:dyDescent="0.35">
      <c r="A28" s="7"/>
      <c r="B28" s="152" t="s">
        <v>82</v>
      </c>
      <c r="C28" s="153">
        <v>7.87</v>
      </c>
      <c r="D28" s="153">
        <v>8.7579999999999991</v>
      </c>
      <c r="E28" s="153">
        <v>9.5410000000000004</v>
      </c>
      <c r="F28" s="153">
        <v>10.044</v>
      </c>
      <c r="G28" s="154">
        <v>0.27600000000000002</v>
      </c>
      <c r="H28" s="121">
        <f>(D28-F28)/D28</f>
        <v>-0.14683717743777136</v>
      </c>
      <c r="I28" s="7"/>
      <c r="J28" s="7"/>
      <c r="K28" s="36" t="s">
        <v>74</v>
      </c>
      <c r="L28" s="37">
        <f>L22/$E$3</f>
        <v>192.5174777292693</v>
      </c>
      <c r="M28" s="37">
        <f>M22/$E$3</f>
        <v>840.07626645499329</v>
      </c>
      <c r="N28" s="37"/>
      <c r="O28" s="37">
        <f>O22/$E$3</f>
        <v>302.14984247787606</v>
      </c>
      <c r="P28" s="65">
        <f>P22/$E$3</f>
        <v>1287.8517876106191</v>
      </c>
      <c r="Q28" s="7"/>
      <c r="R28" s="7"/>
      <c r="S28" s="7"/>
      <c r="T28" s="7"/>
      <c r="U28" s="7"/>
      <c r="V28" s="7"/>
      <c r="W28" s="7"/>
      <c r="X28" s="7"/>
    </row>
    <row r="29" spans="1:24" x14ac:dyDescent="0.3">
      <c r="A29" s="7"/>
      <c r="B29" s="155"/>
      <c r="C29" s="156">
        <v>115187</v>
      </c>
      <c r="D29" s="156">
        <v>127470</v>
      </c>
      <c r="E29" s="156">
        <v>137820</v>
      </c>
      <c r="F29" s="156">
        <v>144510</v>
      </c>
      <c r="G29" s="157">
        <v>0.255</v>
      </c>
      <c r="H29" s="119">
        <f>(D29-F29)/D29</f>
        <v>-0.13367851259119792</v>
      </c>
      <c r="I29" s="7"/>
      <c r="J29" s="7"/>
      <c r="K29" s="7"/>
      <c r="L29" s="7"/>
      <c r="M29" s="7"/>
      <c r="N29" s="7"/>
      <c r="O29" s="7"/>
      <c r="P29" s="23"/>
      <c r="Q29" s="7"/>
      <c r="R29" s="7"/>
      <c r="S29" s="7"/>
      <c r="T29" s="7"/>
      <c r="U29" s="7"/>
      <c r="V29" s="7"/>
      <c r="W29" s="7"/>
      <c r="X29" s="7"/>
    </row>
    <row r="30" spans="1:24" x14ac:dyDescent="0.3">
      <c r="A30" s="7"/>
      <c r="B30" s="155"/>
      <c r="C30" s="156"/>
      <c r="D30" s="156"/>
      <c r="E30" s="156"/>
      <c r="F30" s="156"/>
      <c r="G30" s="157"/>
      <c r="H30" s="119"/>
      <c r="I30" s="7"/>
      <c r="J30" s="7"/>
      <c r="K30" s="7"/>
      <c r="L30" s="7"/>
      <c r="M30" s="7"/>
      <c r="N30" s="7"/>
      <c r="O30" s="7"/>
      <c r="P30" s="23"/>
      <c r="Q30" s="7"/>
      <c r="R30" s="7"/>
      <c r="S30" s="7"/>
      <c r="T30" s="7"/>
      <c r="U30" s="7"/>
      <c r="V30" s="7"/>
      <c r="W30" s="7"/>
      <c r="X30" s="7"/>
    </row>
    <row r="31" spans="1:24" x14ac:dyDescent="0.3">
      <c r="A31" s="7"/>
      <c r="B31" s="158">
        <v>14636</v>
      </c>
      <c r="C31" s="159">
        <v>14555</v>
      </c>
      <c r="D31" s="159">
        <v>14445</v>
      </c>
      <c r="E31" s="159">
        <v>14388</v>
      </c>
      <c r="F31" s="118"/>
      <c r="G31" s="118">
        <f>E31-F32</f>
        <v>14305.333333333334</v>
      </c>
      <c r="H31" s="119"/>
      <c r="I31" s="7"/>
      <c r="J31" s="7"/>
      <c r="K31" s="7"/>
      <c r="L31" s="7"/>
      <c r="M31" s="7"/>
      <c r="N31" s="7"/>
      <c r="O31" s="7"/>
      <c r="P31" s="23"/>
      <c r="Q31" s="7"/>
      <c r="R31" s="7"/>
      <c r="S31" s="7"/>
      <c r="T31" s="7"/>
      <c r="U31" s="7"/>
      <c r="V31" s="7"/>
      <c r="W31" s="7"/>
      <c r="X31" s="7"/>
    </row>
    <row r="32" spans="1:24" x14ac:dyDescent="0.3">
      <c r="A32" s="7"/>
      <c r="B32" s="127"/>
      <c r="C32" s="118">
        <f>B31-C31</f>
        <v>81</v>
      </c>
      <c r="D32" s="118">
        <f>C31-D31</f>
        <v>110</v>
      </c>
      <c r="E32" s="118">
        <f>D31-E31</f>
        <v>57</v>
      </c>
      <c r="F32" s="118">
        <f>AVERAGE(C32:E32)</f>
        <v>82.666666666666671</v>
      </c>
      <c r="G32" s="118"/>
      <c r="H32" s="119">
        <f>(C31-G31)/C31</f>
        <v>1.7153326462842053E-2</v>
      </c>
      <c r="I32" s="7"/>
      <c r="J32" s="7"/>
      <c r="K32" s="7"/>
      <c r="L32" s="7"/>
      <c r="M32" s="7"/>
      <c r="N32" s="7"/>
      <c r="O32" s="7"/>
      <c r="P32" s="23"/>
      <c r="Q32" s="7"/>
      <c r="R32" s="7"/>
      <c r="S32" s="7"/>
      <c r="T32" s="7"/>
      <c r="U32" s="7"/>
      <c r="V32" s="7"/>
      <c r="W32" s="7"/>
      <c r="X32" s="7"/>
    </row>
    <row r="33" spans="1:24" ht="15" thickBot="1" x14ac:dyDescent="0.35">
      <c r="A33" s="7"/>
      <c r="B33" s="129"/>
      <c r="C33" s="122"/>
      <c r="D33" s="122"/>
      <c r="E33" s="122"/>
      <c r="F33" s="122">
        <f>(C31-E31)/C31</f>
        <v>1.1473720371006527E-2</v>
      </c>
      <c r="G33" s="122"/>
      <c r="H33" s="123"/>
      <c r="I33" s="26"/>
      <c r="J33" s="26"/>
      <c r="K33" s="26"/>
      <c r="L33" s="26"/>
      <c r="M33" s="26"/>
      <c r="N33" s="26"/>
      <c r="O33" s="26"/>
      <c r="P33" s="27"/>
      <c r="Q33" s="7"/>
      <c r="R33" s="7"/>
      <c r="S33" s="7"/>
      <c r="T33" s="7"/>
      <c r="U33" s="7"/>
      <c r="V33" s="7"/>
      <c r="W33" s="7"/>
      <c r="X33" s="7"/>
    </row>
    <row r="34" spans="1:2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16">
    <mergeCell ref="K2:P2"/>
    <mergeCell ref="K7:P7"/>
    <mergeCell ref="K12:P12"/>
    <mergeCell ref="K18:P18"/>
    <mergeCell ref="L3:M3"/>
    <mergeCell ref="O3:P3"/>
    <mergeCell ref="L8:M8"/>
    <mergeCell ref="O8:P8"/>
    <mergeCell ref="L13:M13"/>
    <mergeCell ref="O13:P13"/>
    <mergeCell ref="K24:P24"/>
    <mergeCell ref="L25:M25"/>
    <mergeCell ref="O25:P25"/>
    <mergeCell ref="L19:M19"/>
    <mergeCell ref="O19:P19"/>
    <mergeCell ref="K23:P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CD39-452C-4FC3-BC88-B5A3B3C3B796}">
  <dimension ref="A1:AA41"/>
  <sheetViews>
    <sheetView workbookViewId="0">
      <selection activeCell="I9" sqref="I9"/>
    </sheetView>
  </sheetViews>
  <sheetFormatPr defaultRowHeight="14.4" x14ac:dyDescent="0.3"/>
  <cols>
    <col min="3" max="7" width="16.21875" customWidth="1"/>
    <col min="9" max="9" width="10.88671875" customWidth="1"/>
    <col min="10" max="10" width="26.109375" customWidth="1"/>
  </cols>
  <sheetData>
    <row r="1" spans="1:2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thickBot="1" x14ac:dyDescent="0.35">
      <c r="A3" s="7"/>
      <c r="B3" s="7"/>
      <c r="C3" s="196" t="s">
        <v>97</v>
      </c>
      <c r="D3" s="197"/>
      <c r="E3" s="197"/>
      <c r="F3" s="197"/>
      <c r="G3" s="197"/>
      <c r="H3" s="29"/>
      <c r="I3" s="29"/>
      <c r="J3" s="29"/>
      <c r="K3" s="128" t="s">
        <v>279</v>
      </c>
      <c r="L3" s="121">
        <v>100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2"/>
      <c r="X3" s="7"/>
      <c r="Y3" s="7"/>
      <c r="Z3" s="7"/>
      <c r="AA3" s="7"/>
    </row>
    <row r="4" spans="1:27" ht="42" thickBot="1" x14ac:dyDescent="0.35">
      <c r="A4" s="7"/>
      <c r="B4" s="7"/>
      <c r="C4" s="9"/>
      <c r="D4" s="10" t="s">
        <v>17</v>
      </c>
      <c r="E4" s="10" t="s">
        <v>18</v>
      </c>
      <c r="F4" s="10" t="s">
        <v>19</v>
      </c>
      <c r="G4" s="11" t="s">
        <v>20</v>
      </c>
      <c r="H4" s="7"/>
      <c r="I4" s="7"/>
      <c r="J4" s="128"/>
      <c r="K4" s="120"/>
      <c r="L4" s="120" t="s">
        <v>30</v>
      </c>
      <c r="M4" s="120"/>
      <c r="N4" s="120" t="s">
        <v>31</v>
      </c>
      <c r="O4" s="121"/>
      <c r="P4" s="7"/>
      <c r="Q4" s="195" t="s">
        <v>40</v>
      </c>
      <c r="R4" s="187"/>
      <c r="S4" s="187"/>
      <c r="T4" s="188"/>
      <c r="U4" s="7"/>
      <c r="V4" s="7"/>
      <c r="W4" s="23"/>
      <c r="X4" s="7"/>
      <c r="Y4" s="7"/>
      <c r="Z4" s="7"/>
      <c r="AA4" s="7"/>
    </row>
    <row r="5" spans="1:27" ht="15" thickBot="1" x14ac:dyDescent="0.35">
      <c r="A5" s="7"/>
      <c r="B5" s="7"/>
      <c r="C5" s="12" t="s">
        <v>21</v>
      </c>
      <c r="D5" s="13">
        <f t="shared" ref="D5:G9" si="0">L$11+L$9*$M23</f>
        <v>326.17471856196187</v>
      </c>
      <c r="E5" s="13">
        <f t="shared" si="0"/>
        <v>1207.4737177534166</v>
      </c>
      <c r="F5" s="13">
        <f t="shared" si="0"/>
        <v>427.29746316153916</v>
      </c>
      <c r="G5" s="14">
        <f t="shared" si="0"/>
        <v>1581.8223395883906</v>
      </c>
      <c r="H5" s="7"/>
      <c r="I5" s="7"/>
      <c r="J5" s="127"/>
      <c r="K5" s="118"/>
      <c r="L5" s="118" t="s">
        <v>25</v>
      </c>
      <c r="M5" s="118" t="s">
        <v>26</v>
      </c>
      <c r="N5" s="118" t="s">
        <v>25</v>
      </c>
      <c r="O5" s="119" t="s">
        <v>26</v>
      </c>
      <c r="P5" s="7"/>
      <c r="Q5" s="129">
        <f>L8+L13</f>
        <v>3806.0879999999997</v>
      </c>
      <c r="R5" s="122">
        <f>M8+M13</f>
        <v>14089.845000000001</v>
      </c>
      <c r="S5" s="122">
        <f>N8+N13</f>
        <v>4945.7719999999999</v>
      </c>
      <c r="T5" s="123">
        <f>O8+O13</f>
        <v>18308.8675</v>
      </c>
      <c r="U5" s="7"/>
      <c r="V5" s="7"/>
      <c r="W5" s="23"/>
      <c r="X5" s="7"/>
      <c r="Y5" s="7"/>
      <c r="Z5" s="7"/>
      <c r="AA5" s="7"/>
    </row>
    <row r="6" spans="1:27" x14ac:dyDescent="0.3">
      <c r="A6" s="7"/>
      <c r="B6" s="7"/>
      <c r="C6" s="12" t="s">
        <v>1</v>
      </c>
      <c r="D6" s="13">
        <f t="shared" si="0"/>
        <v>315.40066568056693</v>
      </c>
      <c r="E6" s="13">
        <f t="shared" si="0"/>
        <v>1167.5890027597911</v>
      </c>
      <c r="F6" s="13">
        <f t="shared" si="0"/>
        <v>413.18317041535329</v>
      </c>
      <c r="G6" s="14">
        <f t="shared" si="0"/>
        <v>1529.5723135568369</v>
      </c>
      <c r="H6" s="7"/>
      <c r="I6" s="7"/>
      <c r="J6" s="127" t="s">
        <v>24</v>
      </c>
      <c r="K6" s="118"/>
      <c r="L6" s="118">
        <v>5200</v>
      </c>
      <c r="M6" s="118">
        <v>19250</v>
      </c>
      <c r="N6" s="118">
        <v>5200</v>
      </c>
      <c r="O6" s="119">
        <v>19250</v>
      </c>
      <c r="P6" s="7"/>
      <c r="Q6" s="7"/>
      <c r="R6" s="7"/>
      <c r="S6" s="7"/>
      <c r="T6" s="7"/>
      <c r="U6" s="7"/>
      <c r="V6" s="7"/>
      <c r="W6" s="23"/>
      <c r="X6" s="7"/>
      <c r="Y6" s="7"/>
      <c r="Z6" s="7"/>
      <c r="AA6" s="7"/>
    </row>
    <row r="7" spans="1:27" x14ac:dyDescent="0.3">
      <c r="A7" s="7"/>
      <c r="B7" s="7"/>
      <c r="C7" s="12" t="s">
        <v>2</v>
      </c>
      <c r="D7" s="13">
        <f t="shared" si="0"/>
        <v>310.50336891629649</v>
      </c>
      <c r="E7" s="13">
        <f t="shared" si="0"/>
        <v>1149.4595868535978</v>
      </c>
      <c r="F7" s="13">
        <f t="shared" si="0"/>
        <v>406.76758280345058</v>
      </c>
      <c r="G7" s="14">
        <f t="shared" si="0"/>
        <v>1505.8223017243124</v>
      </c>
      <c r="H7" s="7"/>
      <c r="I7" s="7"/>
      <c r="J7" s="127" t="s">
        <v>29</v>
      </c>
      <c r="K7" s="118"/>
      <c r="L7" s="53">
        <v>0.29305999999999999</v>
      </c>
      <c r="M7" s="53">
        <f>L7</f>
        <v>0.29305999999999999</v>
      </c>
      <c r="N7" s="53">
        <v>7.3889999999999997E-2</v>
      </c>
      <c r="O7" s="71">
        <f>N7</f>
        <v>7.3889999999999997E-2</v>
      </c>
      <c r="P7" s="7"/>
      <c r="Q7" s="7"/>
      <c r="R7" s="7"/>
      <c r="S7" s="7"/>
      <c r="T7" s="7"/>
      <c r="U7" s="7"/>
      <c r="V7" s="7"/>
      <c r="W7" s="23"/>
      <c r="X7" s="7"/>
      <c r="Y7" s="7"/>
      <c r="Z7" s="7"/>
      <c r="AA7" s="7"/>
    </row>
    <row r="8" spans="1:27" x14ac:dyDescent="0.3">
      <c r="A8" s="7"/>
      <c r="B8" s="7"/>
      <c r="C8" s="12" t="s">
        <v>3</v>
      </c>
      <c r="D8" s="13">
        <f t="shared" si="0"/>
        <v>300.21904571132859</v>
      </c>
      <c r="E8" s="13">
        <f t="shared" si="0"/>
        <v>1111.3878134505917</v>
      </c>
      <c r="F8" s="13">
        <f t="shared" si="0"/>
        <v>393.29484881845497</v>
      </c>
      <c r="G8" s="14">
        <f t="shared" si="0"/>
        <v>1455.9472768760113</v>
      </c>
      <c r="H8" s="7"/>
      <c r="I8" s="7"/>
      <c r="J8" s="127" t="s">
        <v>33</v>
      </c>
      <c r="K8" s="118"/>
      <c r="L8" s="118">
        <f>L6-L6*L7</f>
        <v>3676.0879999999997</v>
      </c>
      <c r="M8" s="118">
        <f>M6-M6*M7</f>
        <v>13608.595000000001</v>
      </c>
      <c r="N8" s="118">
        <f>N6-N6*N7</f>
        <v>4815.7719999999999</v>
      </c>
      <c r="O8" s="119">
        <f>O6-O6*O7</f>
        <v>17827.6175</v>
      </c>
      <c r="P8" s="7"/>
      <c r="Q8" s="7"/>
      <c r="R8" s="7"/>
      <c r="S8" s="7"/>
      <c r="T8" s="7"/>
      <c r="U8" s="7"/>
      <c r="V8" s="7"/>
      <c r="W8" s="23"/>
      <c r="X8" s="7"/>
      <c r="Y8" s="7"/>
      <c r="Z8" s="7"/>
      <c r="AA8" s="7"/>
    </row>
    <row r="9" spans="1:27" x14ac:dyDescent="0.3">
      <c r="A9" s="7"/>
      <c r="B9" s="7"/>
      <c r="C9" s="12" t="s">
        <v>22</v>
      </c>
      <c r="D9" s="13">
        <f t="shared" si="0"/>
        <v>294.34228959420409</v>
      </c>
      <c r="E9" s="13">
        <f t="shared" si="0"/>
        <v>1089.6325143631595</v>
      </c>
      <c r="F9" s="13">
        <f t="shared" si="0"/>
        <v>385.59614368417169</v>
      </c>
      <c r="G9" s="14">
        <f t="shared" si="0"/>
        <v>1427.4472626769821</v>
      </c>
      <c r="H9" s="7"/>
      <c r="I9" s="7"/>
      <c r="J9" s="127" t="s">
        <v>34</v>
      </c>
      <c r="K9" s="118"/>
      <c r="L9" s="118">
        <f>0.1334867761*L8</f>
        <v>490.70913577989683</v>
      </c>
      <c r="M9" s="118">
        <f>0.1334867761*M8</f>
        <v>1816.5674738005798</v>
      </c>
      <c r="N9" s="118">
        <f>0.1334867761*N8</f>
        <v>642.84187871264919</v>
      </c>
      <c r="O9" s="119">
        <f>0.1334867761*O8</f>
        <v>2379.7511856189421</v>
      </c>
      <c r="P9" s="7"/>
      <c r="Q9" s="7"/>
      <c r="R9" s="7"/>
      <c r="S9" s="7"/>
      <c r="T9" s="7"/>
      <c r="U9" s="7"/>
      <c r="V9" s="7"/>
      <c r="W9" s="23"/>
      <c r="X9" s="7"/>
      <c r="Y9" s="7"/>
      <c r="Z9" s="7"/>
      <c r="AA9" s="7"/>
    </row>
    <row r="10" spans="1:27" x14ac:dyDescent="0.3">
      <c r="A10" s="7"/>
      <c r="B10" s="7"/>
      <c r="C10" s="12" t="s">
        <v>5</v>
      </c>
      <c r="D10" s="13">
        <f>L$11+L$9*$M28+L14</f>
        <v>312.99634444779844</v>
      </c>
      <c r="E10" s="13">
        <f>M$11+M$9*$M28+M14</f>
        <v>1158.6883905038694</v>
      </c>
      <c r="F10" s="13">
        <f>N$11+N$9*$M28+N14</f>
        <v>401.97276226631766</v>
      </c>
      <c r="G10" s="14">
        <f>O$11+O$9*$M28+O14</f>
        <v>1488.0722449281955</v>
      </c>
      <c r="H10" s="7"/>
      <c r="I10" s="7"/>
      <c r="J10" s="127" t="s">
        <v>35</v>
      </c>
      <c r="K10" s="118"/>
      <c r="L10" s="118">
        <f>L8-L9</f>
        <v>3185.378864220103</v>
      </c>
      <c r="M10" s="118">
        <f>M8-M9</f>
        <v>11792.027526199421</v>
      </c>
      <c r="N10" s="118">
        <f>N8-N9</f>
        <v>4172.9301212873506</v>
      </c>
      <c r="O10" s="119">
        <f>O8-O9</f>
        <v>15447.866314381059</v>
      </c>
      <c r="P10" s="7"/>
      <c r="Q10" s="7"/>
      <c r="R10" s="7"/>
      <c r="S10" s="7"/>
      <c r="T10" s="7"/>
      <c r="U10" s="7"/>
      <c r="V10" s="7"/>
      <c r="W10" s="23"/>
      <c r="X10" s="7"/>
      <c r="Y10" s="7"/>
      <c r="Z10" s="7"/>
      <c r="AA10" s="7"/>
    </row>
    <row r="11" spans="1:27" x14ac:dyDescent="0.3">
      <c r="A11" s="7"/>
      <c r="B11" s="7"/>
      <c r="C11" s="12" t="s">
        <v>6</v>
      </c>
      <c r="D11" s="13">
        <f>L$11+L$9*$M29+L16</f>
        <v>350.52715541851728</v>
      </c>
      <c r="E11" s="13">
        <f>M$11+M$9*$M29+M16</f>
        <v>1297.6245657320114</v>
      </c>
      <c r="F11" s="13">
        <f>N$11+N$9*$M29+N16</f>
        <v>439.0480859827469</v>
      </c>
      <c r="G11" s="14">
        <f>O$11+O$9*$M29+O16</f>
        <v>1625.3222413784381</v>
      </c>
      <c r="H11" s="7"/>
      <c r="I11" s="7"/>
      <c r="J11" s="127" t="s">
        <v>39</v>
      </c>
      <c r="K11" s="118"/>
      <c r="L11" s="118">
        <f>L10/12</f>
        <v>265.44823868500856</v>
      </c>
      <c r="M11" s="118">
        <f>M10/12</f>
        <v>982.66896051661843</v>
      </c>
      <c r="N11" s="118">
        <f>N10/12</f>
        <v>347.74417677394587</v>
      </c>
      <c r="O11" s="119">
        <f>O10/12</f>
        <v>1287.3221928650883</v>
      </c>
      <c r="P11" s="7"/>
      <c r="Q11" s="7"/>
      <c r="R11" s="7"/>
      <c r="S11" s="7"/>
      <c r="T11" s="7"/>
      <c r="U11" s="7"/>
      <c r="V11" s="7"/>
      <c r="W11" s="23"/>
      <c r="X11" s="7"/>
      <c r="Y11" s="7"/>
      <c r="Z11" s="7"/>
      <c r="AA11" s="7"/>
    </row>
    <row r="12" spans="1:27" x14ac:dyDescent="0.3">
      <c r="A12" s="7"/>
      <c r="B12" s="7"/>
      <c r="C12" s="12" t="s">
        <v>7</v>
      </c>
      <c r="D12" s="13">
        <f>L$11+L$9*$M30+L15</f>
        <v>324.03742574209025</v>
      </c>
      <c r="E12" s="13">
        <f>M$11+M$9*$M30+M15</f>
        <v>1199.561624141392</v>
      </c>
      <c r="F12" s="13">
        <f>N$11+N$9*$M30+N15</f>
        <v>412.40652722155659</v>
      </c>
      <c r="G12" s="14">
        <f>O$11+O$9*$M30+O15</f>
        <v>1526.6972401951857</v>
      </c>
      <c r="H12" s="7"/>
      <c r="I12" s="7"/>
      <c r="J12" s="127" t="s">
        <v>27</v>
      </c>
      <c r="K12" s="118"/>
      <c r="L12" s="118">
        <v>2.5000000000000001E-2</v>
      </c>
      <c r="M12" s="118">
        <v>2.5000000000000001E-2</v>
      </c>
      <c r="N12" s="118">
        <f t="shared" ref="N12:O12" si="1">M12</f>
        <v>2.5000000000000001E-2</v>
      </c>
      <c r="O12" s="119">
        <f t="shared" si="1"/>
        <v>2.5000000000000001E-2</v>
      </c>
      <c r="P12" s="7"/>
      <c r="Q12" s="7"/>
      <c r="R12" s="7"/>
      <c r="S12" s="7"/>
      <c r="T12" s="7"/>
      <c r="U12" s="7"/>
      <c r="V12" s="7"/>
      <c r="W12" s="23"/>
      <c r="X12" s="7"/>
      <c r="Y12" s="7"/>
      <c r="Z12" s="7"/>
      <c r="AA12" s="7"/>
    </row>
    <row r="13" spans="1:27" x14ac:dyDescent="0.3">
      <c r="A13" s="7"/>
      <c r="B13" s="7"/>
      <c r="C13" s="12" t="s">
        <v>8</v>
      </c>
      <c r="D13" s="13">
        <f t="shared" ref="D13:G16" si="2">L$11+L$9*$M31</f>
        <v>298.74985668204749</v>
      </c>
      <c r="E13" s="13">
        <f t="shared" si="2"/>
        <v>1105.9489886787337</v>
      </c>
      <c r="F13" s="13">
        <f t="shared" si="2"/>
        <v>391.37017253488415</v>
      </c>
      <c r="G13" s="14">
        <f t="shared" si="2"/>
        <v>1448.8222733262539</v>
      </c>
      <c r="H13" s="7"/>
      <c r="I13" s="7"/>
      <c r="J13" s="127" t="s">
        <v>28</v>
      </c>
      <c r="K13" s="118"/>
      <c r="L13" s="118">
        <f>L6*L12</f>
        <v>130</v>
      </c>
      <c r="M13" s="118">
        <f>M6*M12</f>
        <v>481.25</v>
      </c>
      <c r="N13" s="118">
        <f>N6*N12</f>
        <v>130</v>
      </c>
      <c r="O13" s="119">
        <f>O6*O12</f>
        <v>481.25</v>
      </c>
      <c r="P13" s="7"/>
      <c r="Q13" s="7"/>
      <c r="R13" s="7"/>
      <c r="S13" s="7"/>
      <c r="T13" s="7"/>
      <c r="U13" s="7"/>
      <c r="V13" s="7"/>
      <c r="W13" s="23"/>
      <c r="X13" s="7"/>
      <c r="Y13" s="7"/>
      <c r="Z13" s="7"/>
      <c r="AA13" s="7"/>
    </row>
    <row r="14" spans="1:27" x14ac:dyDescent="0.3">
      <c r="A14" s="7"/>
      <c r="B14" s="7"/>
      <c r="C14" s="12" t="s">
        <v>9</v>
      </c>
      <c r="D14" s="13">
        <f t="shared" si="2"/>
        <v>316.86985470984803</v>
      </c>
      <c r="E14" s="13">
        <f t="shared" si="2"/>
        <v>1173.0278275316491</v>
      </c>
      <c r="F14" s="13">
        <f t="shared" si="2"/>
        <v>415.10784669892405</v>
      </c>
      <c r="G14" s="14">
        <f t="shared" si="2"/>
        <v>1536.6973171065943</v>
      </c>
      <c r="H14" s="7"/>
      <c r="I14" s="7"/>
      <c r="J14" s="127" t="s">
        <v>111</v>
      </c>
      <c r="K14" s="118"/>
      <c r="L14" s="118">
        <f>L13/5</f>
        <v>26</v>
      </c>
      <c r="M14" s="118">
        <f>M13/5</f>
        <v>96.25</v>
      </c>
      <c r="N14" s="118">
        <f>N13/5</f>
        <v>26</v>
      </c>
      <c r="O14" s="119">
        <f>O13/5</f>
        <v>96.25</v>
      </c>
      <c r="P14" s="7"/>
      <c r="Q14" s="7"/>
      <c r="R14" s="7"/>
      <c r="S14" s="7"/>
      <c r="T14" s="7"/>
      <c r="U14" s="7"/>
      <c r="V14" s="7"/>
      <c r="W14" s="23"/>
      <c r="X14" s="7"/>
      <c r="Y14" s="7"/>
      <c r="Z14" s="7"/>
      <c r="AA14" s="7"/>
    </row>
    <row r="15" spans="1:27" x14ac:dyDescent="0.3">
      <c r="A15" s="7"/>
      <c r="B15" s="7"/>
      <c r="C15" s="12" t="s">
        <v>10</v>
      </c>
      <c r="D15" s="13">
        <f t="shared" si="2"/>
        <v>326.17471856196187</v>
      </c>
      <c r="E15" s="13">
        <f t="shared" si="2"/>
        <v>1207.4737177534166</v>
      </c>
      <c r="F15" s="13">
        <f t="shared" si="2"/>
        <v>427.29746316153916</v>
      </c>
      <c r="G15" s="14">
        <f t="shared" si="2"/>
        <v>1581.8223395883906</v>
      </c>
      <c r="H15" s="7"/>
      <c r="I15" s="7"/>
      <c r="J15" s="127" t="s">
        <v>110</v>
      </c>
      <c r="K15" s="118"/>
      <c r="L15" s="118">
        <f>L13*(3/10)</f>
        <v>39</v>
      </c>
      <c r="M15" s="118">
        <f>M13*(3/10)</f>
        <v>144.375</v>
      </c>
      <c r="N15" s="118">
        <f>N13*(3/10)</f>
        <v>39</v>
      </c>
      <c r="O15" s="119">
        <f>O13*(3/10)</f>
        <v>144.375</v>
      </c>
      <c r="P15" s="7"/>
      <c r="Q15" s="7"/>
      <c r="R15" s="7"/>
      <c r="S15" s="7"/>
      <c r="T15" s="7"/>
      <c r="U15" s="7"/>
      <c r="V15" s="7"/>
      <c r="W15" s="23"/>
      <c r="X15" s="7"/>
      <c r="Y15" s="7"/>
      <c r="Z15" s="7"/>
      <c r="AA15" s="7"/>
    </row>
    <row r="16" spans="1:27" ht="15" thickBot="1" x14ac:dyDescent="0.35">
      <c r="A16" s="7"/>
      <c r="B16" s="7"/>
      <c r="C16" s="12" t="s">
        <v>11</v>
      </c>
      <c r="D16" s="13">
        <f t="shared" si="2"/>
        <v>330.09255597337824</v>
      </c>
      <c r="E16" s="13">
        <f t="shared" si="2"/>
        <v>1221.9772504783714</v>
      </c>
      <c r="F16" s="13">
        <f t="shared" si="2"/>
        <v>432.42993325106136</v>
      </c>
      <c r="G16" s="14">
        <f t="shared" si="2"/>
        <v>1600.8223490544101</v>
      </c>
      <c r="H16" s="7"/>
      <c r="I16" s="7"/>
      <c r="J16" s="129" t="s">
        <v>37</v>
      </c>
      <c r="K16" s="122"/>
      <c r="L16" s="122">
        <f>L13/2</f>
        <v>65</v>
      </c>
      <c r="M16" s="122">
        <f>M13/2</f>
        <v>240.625</v>
      </c>
      <c r="N16" s="122">
        <f>N13/2</f>
        <v>65</v>
      </c>
      <c r="O16" s="123">
        <f>O13/2</f>
        <v>240.625</v>
      </c>
      <c r="P16" s="7"/>
      <c r="Q16" s="7"/>
      <c r="R16" s="7"/>
      <c r="S16" s="7"/>
      <c r="T16" s="7"/>
      <c r="U16" s="7"/>
      <c r="V16" s="7"/>
      <c r="W16" s="23"/>
      <c r="X16" s="7"/>
      <c r="Y16" s="7"/>
      <c r="Z16" s="7"/>
      <c r="AA16" s="7"/>
    </row>
    <row r="17" spans="1:27" ht="15" thickBot="1" x14ac:dyDescent="0.35">
      <c r="A17" s="7"/>
      <c r="B17" s="7"/>
      <c r="C17" s="15" t="s">
        <v>23</v>
      </c>
      <c r="D17" s="16">
        <f>SUM(D5:D16)</f>
        <v>3806.0880000000002</v>
      </c>
      <c r="E17" s="16">
        <f>SUM(E5:E16)</f>
        <v>14089.845000000001</v>
      </c>
      <c r="F17" s="16">
        <f>SUM(F5:F16)</f>
        <v>4945.771999999999</v>
      </c>
      <c r="G17" s="17">
        <f>SUM(G5:G16)</f>
        <v>18308.867500000004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23"/>
      <c r="X17" s="7"/>
      <c r="Y17" s="7"/>
      <c r="Z17" s="7"/>
      <c r="AA17" s="7"/>
    </row>
    <row r="18" spans="1:27" x14ac:dyDescent="0.3">
      <c r="A18" s="7"/>
      <c r="B18" s="7"/>
      <c r="C18" s="24"/>
      <c r="D18" s="7"/>
      <c r="E18" s="7"/>
      <c r="F18" s="7"/>
      <c r="G18" s="7"/>
      <c r="H18" s="7"/>
      <c r="I18" s="7"/>
      <c r="J18" s="128"/>
      <c r="K18" s="120" t="s">
        <v>0</v>
      </c>
      <c r="L18" s="120" t="s">
        <v>1</v>
      </c>
      <c r="M18" s="120" t="s">
        <v>2</v>
      </c>
      <c r="N18" s="120" t="s">
        <v>3</v>
      </c>
      <c r="O18" s="120" t="s">
        <v>4</v>
      </c>
      <c r="P18" s="120" t="s">
        <v>5</v>
      </c>
      <c r="Q18" s="120" t="s">
        <v>6</v>
      </c>
      <c r="R18" s="120" t="s">
        <v>7</v>
      </c>
      <c r="S18" s="120" t="s">
        <v>8</v>
      </c>
      <c r="T18" s="120" t="s">
        <v>9</v>
      </c>
      <c r="U18" s="120" t="s">
        <v>10</v>
      </c>
      <c r="V18" s="120" t="s">
        <v>11</v>
      </c>
      <c r="W18" s="121"/>
      <c r="X18" s="7"/>
      <c r="Y18" s="7"/>
      <c r="Z18" s="7"/>
      <c r="AA18" s="7"/>
    </row>
    <row r="19" spans="1:27" x14ac:dyDescent="0.3">
      <c r="A19" s="7"/>
      <c r="B19" s="7"/>
      <c r="C19" s="24"/>
      <c r="D19" s="7"/>
      <c r="E19" s="7"/>
      <c r="F19" s="7"/>
      <c r="G19" s="7"/>
      <c r="H19" s="7"/>
      <c r="I19" s="7"/>
      <c r="J19" s="127" t="s">
        <v>32</v>
      </c>
      <c r="K19" s="148">
        <v>12.4</v>
      </c>
      <c r="L19" s="148">
        <v>10.199999999999999</v>
      </c>
      <c r="M19" s="148">
        <v>9.1999999999999993</v>
      </c>
      <c r="N19" s="148">
        <v>7.1</v>
      </c>
      <c r="O19" s="148">
        <v>5.9</v>
      </c>
      <c r="P19" s="148">
        <v>4.4000000000000004</v>
      </c>
      <c r="Q19" s="148">
        <v>4.0999999999999996</v>
      </c>
      <c r="R19" s="148">
        <v>4</v>
      </c>
      <c r="S19" s="148">
        <v>6.8</v>
      </c>
      <c r="T19" s="148">
        <v>10.5</v>
      </c>
      <c r="U19" s="148">
        <v>12.4</v>
      </c>
      <c r="V19" s="148">
        <v>13.2</v>
      </c>
      <c r="W19" s="162">
        <f>SUM(K19:V19)</f>
        <v>100.2</v>
      </c>
      <c r="X19" s="7"/>
      <c r="Y19" s="7"/>
      <c r="Z19" s="7"/>
      <c r="AA19" s="7"/>
    </row>
    <row r="20" spans="1:27" ht="15" thickBot="1" x14ac:dyDescent="0.35">
      <c r="A20" s="7"/>
      <c r="B20" s="7"/>
      <c r="C20" s="24"/>
      <c r="D20" s="7"/>
      <c r="E20" s="7"/>
      <c r="F20" s="7"/>
      <c r="G20" s="7"/>
      <c r="H20" s="7"/>
      <c r="I20" s="7"/>
      <c r="J20" s="129" t="s">
        <v>36</v>
      </c>
      <c r="K20" s="122">
        <f t="shared" ref="K20:V20" si="3">K19/$L3</f>
        <v>0.124</v>
      </c>
      <c r="L20" s="122">
        <f t="shared" si="3"/>
        <v>0.10199999999999999</v>
      </c>
      <c r="M20" s="122">
        <f t="shared" si="3"/>
        <v>9.1999999999999998E-2</v>
      </c>
      <c r="N20" s="122">
        <f t="shared" si="3"/>
        <v>7.0999999999999994E-2</v>
      </c>
      <c r="O20" s="122">
        <f t="shared" si="3"/>
        <v>5.9000000000000004E-2</v>
      </c>
      <c r="P20" s="122">
        <f t="shared" si="3"/>
        <v>4.4000000000000004E-2</v>
      </c>
      <c r="Q20" s="122">
        <f t="shared" si="3"/>
        <v>4.0999999999999995E-2</v>
      </c>
      <c r="R20" s="122">
        <f t="shared" si="3"/>
        <v>0.04</v>
      </c>
      <c r="S20" s="122">
        <f t="shared" si="3"/>
        <v>6.8000000000000005E-2</v>
      </c>
      <c r="T20" s="122">
        <f t="shared" si="3"/>
        <v>0.105</v>
      </c>
      <c r="U20" s="122">
        <f t="shared" si="3"/>
        <v>0.124</v>
      </c>
      <c r="V20" s="122">
        <f t="shared" si="3"/>
        <v>0.13200000000000001</v>
      </c>
      <c r="W20" s="163">
        <f>SUM(K20:V20)</f>
        <v>1.002</v>
      </c>
      <c r="X20" s="7"/>
      <c r="Y20" s="7"/>
      <c r="Z20" s="7"/>
      <c r="AA20" s="7"/>
    </row>
    <row r="21" spans="1:27" ht="15" thickBot="1" x14ac:dyDescent="0.35">
      <c r="A21" s="7"/>
      <c r="B21" s="7"/>
      <c r="C21" s="2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3"/>
      <c r="X21" s="7"/>
      <c r="Y21" s="7"/>
      <c r="Z21" s="7"/>
      <c r="AA21" s="7"/>
    </row>
    <row r="22" spans="1:27" x14ac:dyDescent="0.3">
      <c r="A22" s="7"/>
      <c r="B22" s="7"/>
      <c r="C22" s="24"/>
      <c r="D22" s="7"/>
      <c r="E22" s="7"/>
      <c r="F22" s="7"/>
      <c r="G22" s="7"/>
      <c r="H22" s="7"/>
      <c r="I22" s="7"/>
      <c r="J22" s="54" t="s">
        <v>38</v>
      </c>
      <c r="K22" s="120" t="s">
        <v>32</v>
      </c>
      <c r="L22" s="120" t="s">
        <v>36</v>
      </c>
      <c r="M22" s="120" t="s">
        <v>41</v>
      </c>
      <c r="N22" s="120"/>
      <c r="O22" s="121"/>
      <c r="P22" s="7"/>
      <c r="Q22" s="7"/>
      <c r="R22" s="7"/>
      <c r="S22" s="7"/>
      <c r="T22" s="7"/>
      <c r="U22" s="7"/>
      <c r="V22" s="7"/>
      <c r="W22" s="23"/>
      <c r="X22" s="7"/>
      <c r="Y22" s="7"/>
      <c r="Z22" s="7"/>
      <c r="AA22" s="7"/>
    </row>
    <row r="23" spans="1:27" x14ac:dyDescent="0.3">
      <c r="A23" s="7"/>
      <c r="B23" s="7"/>
      <c r="C23" s="24"/>
      <c r="D23" s="7"/>
      <c r="E23" s="7"/>
      <c r="F23" s="7"/>
      <c r="G23" s="7"/>
      <c r="H23" s="7"/>
      <c r="I23" s="7"/>
      <c r="J23" s="127" t="s">
        <v>0</v>
      </c>
      <c r="K23" s="148">
        <v>12.4</v>
      </c>
      <c r="L23" s="118">
        <f>K23/$L3</f>
        <v>0.124</v>
      </c>
      <c r="M23" s="118">
        <f t="shared" ref="M23:M35" si="4">L23/1.002</f>
        <v>0.12375249500998003</v>
      </c>
      <c r="N23" s="118"/>
      <c r="O23" s="119"/>
      <c r="P23" s="7"/>
      <c r="Q23" s="7"/>
      <c r="R23" s="7"/>
      <c r="S23" s="7"/>
      <c r="T23" s="7"/>
      <c r="U23" s="7"/>
      <c r="V23" s="7"/>
      <c r="W23" s="23"/>
      <c r="X23" s="7"/>
      <c r="Y23" s="7"/>
      <c r="Z23" s="7"/>
      <c r="AA23" s="7"/>
    </row>
    <row r="24" spans="1:27" x14ac:dyDescent="0.3">
      <c r="A24" s="7"/>
      <c r="B24" s="7"/>
      <c r="C24" s="24"/>
      <c r="D24" s="7"/>
      <c r="E24" s="7"/>
      <c r="F24" s="7"/>
      <c r="G24" s="7"/>
      <c r="H24" s="7"/>
      <c r="I24" s="7"/>
      <c r="J24" s="127" t="s">
        <v>1</v>
      </c>
      <c r="K24" s="148">
        <v>10.199999999999999</v>
      </c>
      <c r="L24" s="118">
        <f>K24/$L3</f>
        <v>0.10199999999999999</v>
      </c>
      <c r="M24" s="118">
        <f t="shared" si="4"/>
        <v>0.10179640718562874</v>
      </c>
      <c r="N24" s="118"/>
      <c r="O24" s="119"/>
      <c r="P24" s="7"/>
      <c r="Q24" s="7"/>
      <c r="R24" s="7"/>
      <c r="S24" s="7"/>
      <c r="T24" s="7"/>
      <c r="U24" s="7"/>
      <c r="V24" s="7"/>
      <c r="W24" s="23"/>
      <c r="X24" s="7"/>
      <c r="Y24" s="7"/>
      <c r="Z24" s="7"/>
      <c r="AA24" s="7"/>
    </row>
    <row r="25" spans="1:27" x14ac:dyDescent="0.3">
      <c r="A25" s="7"/>
      <c r="B25" s="7"/>
      <c r="C25" s="24"/>
      <c r="D25" s="7"/>
      <c r="E25" s="7"/>
      <c r="F25" s="7"/>
      <c r="G25" s="7"/>
      <c r="H25" s="7"/>
      <c r="I25" s="7"/>
      <c r="J25" s="127" t="s">
        <v>2</v>
      </c>
      <c r="K25" s="148">
        <v>9.1999999999999993</v>
      </c>
      <c r="L25" s="118">
        <f>K25/$L3</f>
        <v>9.1999999999999998E-2</v>
      </c>
      <c r="M25" s="118">
        <f t="shared" si="4"/>
        <v>9.1816367265469059E-2</v>
      </c>
      <c r="N25" s="118"/>
      <c r="O25" s="119"/>
      <c r="P25" s="7"/>
      <c r="Q25" s="7"/>
      <c r="R25" s="7"/>
      <c r="S25" s="7"/>
      <c r="T25" s="7"/>
      <c r="U25" s="7"/>
      <c r="V25" s="7"/>
      <c r="W25" s="23"/>
      <c r="X25" s="7"/>
      <c r="Y25" s="7"/>
      <c r="Z25" s="7"/>
      <c r="AA25" s="7"/>
    </row>
    <row r="26" spans="1:27" x14ac:dyDescent="0.3">
      <c r="A26" s="7"/>
      <c r="B26" s="7"/>
      <c r="C26" s="24"/>
      <c r="D26" s="7"/>
      <c r="E26" s="7"/>
      <c r="F26" s="7"/>
      <c r="G26" s="7"/>
      <c r="H26" s="7"/>
      <c r="I26" s="7"/>
      <c r="J26" s="127" t="s">
        <v>3</v>
      </c>
      <c r="K26" s="148">
        <v>7.1</v>
      </c>
      <c r="L26" s="118">
        <f>K26/$L3</f>
        <v>7.0999999999999994E-2</v>
      </c>
      <c r="M26" s="118">
        <f t="shared" si="4"/>
        <v>7.0858283433133731E-2</v>
      </c>
      <c r="N26" s="118"/>
      <c r="O26" s="119"/>
      <c r="P26" s="7"/>
      <c r="Q26" s="7"/>
      <c r="R26" s="7"/>
      <c r="S26" s="7"/>
      <c r="T26" s="7"/>
      <c r="U26" s="7"/>
      <c r="V26" s="7"/>
      <c r="W26" s="23"/>
      <c r="X26" s="7"/>
      <c r="Y26" s="7"/>
      <c r="Z26" s="7"/>
      <c r="AA26" s="7"/>
    </row>
    <row r="27" spans="1:27" x14ac:dyDescent="0.3">
      <c r="A27" s="7"/>
      <c r="B27" s="7"/>
      <c r="C27" s="24"/>
      <c r="D27" s="7"/>
      <c r="E27" s="7"/>
      <c r="F27" s="7"/>
      <c r="G27" s="7"/>
      <c r="H27" s="7"/>
      <c r="I27" s="7"/>
      <c r="J27" s="127" t="s">
        <v>4</v>
      </c>
      <c r="K27" s="148">
        <v>5.9</v>
      </c>
      <c r="L27" s="118">
        <f>K27/$L3</f>
        <v>5.9000000000000004E-2</v>
      </c>
      <c r="M27" s="118">
        <f t="shared" si="4"/>
        <v>5.8882235528942117E-2</v>
      </c>
      <c r="N27" s="118"/>
      <c r="O27" s="119"/>
      <c r="P27" s="7"/>
      <c r="Q27" s="7"/>
      <c r="R27" s="7"/>
      <c r="S27" s="7"/>
      <c r="T27" s="7"/>
      <c r="U27" s="7"/>
      <c r="V27" s="7"/>
      <c r="W27" s="23"/>
      <c r="X27" s="7"/>
      <c r="Y27" s="7"/>
      <c r="Z27" s="7"/>
      <c r="AA27" s="7"/>
    </row>
    <row r="28" spans="1:27" x14ac:dyDescent="0.3">
      <c r="A28" s="7"/>
      <c r="B28" s="7"/>
      <c r="C28" s="24"/>
      <c r="D28" s="7"/>
      <c r="E28" s="7"/>
      <c r="F28" s="7"/>
      <c r="G28" s="7"/>
      <c r="H28" s="7"/>
      <c r="I28" s="7"/>
      <c r="J28" s="127" t="s">
        <v>5</v>
      </c>
      <c r="K28" s="148">
        <v>4.4000000000000004</v>
      </c>
      <c r="L28" s="118">
        <f>K28/$L3</f>
        <v>4.4000000000000004E-2</v>
      </c>
      <c r="M28" s="118">
        <f t="shared" si="4"/>
        <v>4.3912175648702596E-2</v>
      </c>
      <c r="N28" s="118"/>
      <c r="O28" s="119"/>
      <c r="P28" s="7"/>
      <c r="Q28" s="7"/>
      <c r="R28" s="7"/>
      <c r="S28" s="7"/>
      <c r="T28" s="7"/>
      <c r="U28" s="7"/>
      <c r="V28" s="7"/>
      <c r="W28" s="23"/>
      <c r="X28" s="7"/>
      <c r="Y28" s="7"/>
      <c r="Z28" s="7"/>
      <c r="AA28" s="7"/>
    </row>
    <row r="29" spans="1:27" x14ac:dyDescent="0.3">
      <c r="A29" s="7"/>
      <c r="B29" s="7"/>
      <c r="C29" s="24"/>
      <c r="D29" s="7"/>
      <c r="E29" s="7"/>
      <c r="F29" s="7"/>
      <c r="G29" s="7"/>
      <c r="H29" s="7"/>
      <c r="I29" s="7"/>
      <c r="J29" s="127" t="s">
        <v>6</v>
      </c>
      <c r="K29" s="148">
        <v>4.0999999999999996</v>
      </c>
      <c r="L29" s="118">
        <f>K29/$L3</f>
        <v>4.0999999999999995E-2</v>
      </c>
      <c r="M29" s="118">
        <f t="shared" si="4"/>
        <v>4.0918163672654682E-2</v>
      </c>
      <c r="N29" s="118"/>
      <c r="O29" s="119"/>
      <c r="P29" s="7"/>
      <c r="Q29" s="7"/>
      <c r="R29" s="7"/>
      <c r="S29" s="7"/>
      <c r="T29" s="7"/>
      <c r="U29" s="7"/>
      <c r="V29" s="7"/>
      <c r="W29" s="23"/>
      <c r="X29" s="7"/>
      <c r="Y29" s="7"/>
      <c r="Z29" s="7"/>
      <c r="AA29" s="7"/>
    </row>
    <row r="30" spans="1:27" x14ac:dyDescent="0.3">
      <c r="A30" s="7"/>
      <c r="B30" s="7"/>
      <c r="C30" s="24"/>
      <c r="D30" s="7"/>
      <c r="E30" s="7"/>
      <c r="F30" s="7"/>
      <c r="G30" s="7"/>
      <c r="H30" s="7"/>
      <c r="I30" s="7"/>
      <c r="J30" s="127" t="s">
        <v>7</v>
      </c>
      <c r="K30" s="148">
        <v>4</v>
      </c>
      <c r="L30" s="118">
        <f>K30/$L3</f>
        <v>0.04</v>
      </c>
      <c r="M30" s="118">
        <f t="shared" si="4"/>
        <v>3.9920159680638723E-2</v>
      </c>
      <c r="N30" s="118"/>
      <c r="O30" s="119"/>
      <c r="P30" s="7"/>
      <c r="Q30" s="7"/>
      <c r="R30" s="7"/>
      <c r="S30" s="7"/>
      <c r="T30" s="7"/>
      <c r="U30" s="7"/>
      <c r="V30" s="7"/>
      <c r="W30" s="23"/>
      <c r="X30" s="7"/>
      <c r="Y30" s="7"/>
      <c r="Z30" s="7"/>
      <c r="AA30" s="7"/>
    </row>
    <row r="31" spans="1:27" x14ac:dyDescent="0.3">
      <c r="A31" s="7"/>
      <c r="B31" s="7"/>
      <c r="C31" s="24"/>
      <c r="D31" s="7"/>
      <c r="E31" s="7"/>
      <c r="F31" s="7"/>
      <c r="G31" s="7"/>
      <c r="H31" s="7"/>
      <c r="I31" s="7"/>
      <c r="J31" s="127" t="s">
        <v>8</v>
      </c>
      <c r="K31" s="148">
        <v>6.8</v>
      </c>
      <c r="L31" s="118">
        <f>K31/$L3</f>
        <v>6.8000000000000005E-2</v>
      </c>
      <c r="M31" s="118">
        <f t="shared" si="4"/>
        <v>6.7864271457085831E-2</v>
      </c>
      <c r="N31" s="118"/>
      <c r="O31" s="119"/>
      <c r="P31" s="7"/>
      <c r="Q31" s="7"/>
      <c r="R31" s="7"/>
      <c r="S31" s="7"/>
      <c r="T31" s="7"/>
      <c r="U31" s="7"/>
      <c r="V31" s="7"/>
      <c r="W31" s="23"/>
      <c r="X31" s="7"/>
      <c r="Y31" s="7"/>
      <c r="Z31" s="7"/>
      <c r="AA31" s="7"/>
    </row>
    <row r="32" spans="1:27" x14ac:dyDescent="0.3">
      <c r="A32" s="7"/>
      <c r="B32" s="7"/>
      <c r="C32" s="24"/>
      <c r="D32" s="7"/>
      <c r="E32" s="7"/>
      <c r="F32" s="7"/>
      <c r="G32" s="7"/>
      <c r="H32" s="7"/>
      <c r="I32" s="7"/>
      <c r="J32" s="127" t="s">
        <v>9</v>
      </c>
      <c r="K32" s="148">
        <v>10.5</v>
      </c>
      <c r="L32" s="118">
        <f>K32/$L3</f>
        <v>0.105</v>
      </c>
      <c r="M32" s="118">
        <f t="shared" si="4"/>
        <v>0.10479041916167664</v>
      </c>
      <c r="N32" s="118"/>
      <c r="O32" s="119"/>
      <c r="P32" s="7"/>
      <c r="Q32" s="7"/>
      <c r="R32" s="7"/>
      <c r="S32" s="7"/>
      <c r="T32" s="7"/>
      <c r="U32" s="7"/>
      <c r="V32" s="7"/>
      <c r="W32" s="23"/>
      <c r="X32" s="7"/>
      <c r="Y32" s="7"/>
      <c r="Z32" s="7"/>
      <c r="AA32" s="7"/>
    </row>
    <row r="33" spans="1:27" x14ac:dyDescent="0.3">
      <c r="A33" s="7"/>
      <c r="B33" s="7"/>
      <c r="C33" s="24"/>
      <c r="D33" s="7"/>
      <c r="E33" s="7"/>
      <c r="F33" s="7"/>
      <c r="G33" s="7"/>
      <c r="H33" s="7"/>
      <c r="I33" s="7"/>
      <c r="J33" s="127" t="s">
        <v>10</v>
      </c>
      <c r="K33" s="148">
        <v>12.4</v>
      </c>
      <c r="L33" s="118">
        <f>K33/$L3</f>
        <v>0.124</v>
      </c>
      <c r="M33" s="118">
        <f t="shared" si="4"/>
        <v>0.12375249500998003</v>
      </c>
      <c r="N33" s="118"/>
      <c r="O33" s="119"/>
      <c r="P33" s="7"/>
      <c r="Q33" s="7"/>
      <c r="R33" s="7"/>
      <c r="S33" s="7"/>
      <c r="T33" s="7"/>
      <c r="U33" s="7"/>
      <c r="V33" s="7"/>
      <c r="W33" s="23"/>
      <c r="X33" s="7"/>
      <c r="Y33" s="7"/>
      <c r="Z33" s="7"/>
      <c r="AA33" s="7"/>
    </row>
    <row r="34" spans="1:27" x14ac:dyDescent="0.3">
      <c r="A34" s="7"/>
      <c r="B34" s="7"/>
      <c r="C34" s="24"/>
      <c r="D34" s="7"/>
      <c r="E34" s="7"/>
      <c r="F34" s="7"/>
      <c r="G34" s="7"/>
      <c r="H34" s="7"/>
      <c r="I34" s="7"/>
      <c r="J34" s="127" t="s">
        <v>11</v>
      </c>
      <c r="K34" s="148">
        <v>13.2</v>
      </c>
      <c r="L34" s="118">
        <f>K34/$L3</f>
        <v>0.13200000000000001</v>
      </c>
      <c r="M34" s="118">
        <f t="shared" si="4"/>
        <v>0.1317365269461078</v>
      </c>
      <c r="N34" s="118"/>
      <c r="O34" s="119"/>
      <c r="P34" s="7"/>
      <c r="Q34" s="7"/>
      <c r="R34" s="7"/>
      <c r="S34" s="7"/>
      <c r="T34" s="7"/>
      <c r="U34" s="7"/>
      <c r="V34" s="7"/>
      <c r="W34" s="23"/>
      <c r="X34" s="7"/>
      <c r="Y34" s="7"/>
      <c r="Z34" s="7"/>
      <c r="AA34" s="7"/>
    </row>
    <row r="35" spans="1:27" ht="15" thickBot="1" x14ac:dyDescent="0.35">
      <c r="A35" s="7"/>
      <c r="B35" s="7"/>
      <c r="C35" s="25"/>
      <c r="D35" s="26"/>
      <c r="E35" s="26"/>
      <c r="F35" s="26"/>
      <c r="G35" s="26"/>
      <c r="H35" s="26"/>
      <c r="I35" s="26"/>
      <c r="J35" s="129"/>
      <c r="K35" s="164">
        <f>SUM(K23:K34)</f>
        <v>100.2</v>
      </c>
      <c r="L35" s="125">
        <f>SUM(L23:L34)</f>
        <v>1.002</v>
      </c>
      <c r="M35" s="165">
        <f t="shared" si="4"/>
        <v>1</v>
      </c>
      <c r="N35" s="122"/>
      <c r="O35" s="123"/>
      <c r="P35" s="26"/>
      <c r="Q35" s="26"/>
      <c r="R35" s="26"/>
      <c r="S35" s="26"/>
      <c r="T35" s="26"/>
      <c r="U35" s="26"/>
      <c r="V35" s="26"/>
      <c r="W35" s="27"/>
      <c r="X35" s="7"/>
      <c r="Y35" s="7"/>
      <c r="Z35" s="7"/>
      <c r="AA35" s="7"/>
    </row>
    <row r="36" spans="1:27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</sheetData>
  <mergeCells count="2">
    <mergeCell ref="Q4:T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5B72-1420-4D96-8A19-3E4297CEF37B}">
  <dimension ref="A1:P24"/>
  <sheetViews>
    <sheetView workbookViewId="0">
      <selection activeCell="D22" sqref="D22"/>
    </sheetView>
  </sheetViews>
  <sheetFormatPr defaultRowHeight="14.4" x14ac:dyDescent="0.3"/>
  <cols>
    <col min="4" max="4" width="12" bestFit="1" customWidth="1"/>
  </cols>
  <sheetData>
    <row r="1" spans="1:16" ht="15" thickBot="1" x14ac:dyDescent="0.35">
      <c r="A1" s="7"/>
      <c r="B1" s="7"/>
      <c r="C1" s="28"/>
      <c r="D1" s="29"/>
      <c r="E1" s="29"/>
      <c r="F1" s="29"/>
      <c r="G1" s="29"/>
      <c r="H1" s="29"/>
      <c r="I1" s="128" t="s">
        <v>271</v>
      </c>
      <c r="J1" s="120"/>
      <c r="K1" s="120"/>
      <c r="L1" s="120"/>
      <c r="M1" s="120"/>
      <c r="N1" s="121"/>
      <c r="O1" s="7"/>
      <c r="P1" s="7"/>
    </row>
    <row r="2" spans="1:16" ht="15" thickBot="1" x14ac:dyDescent="0.35">
      <c r="A2" s="7"/>
      <c r="B2" s="7"/>
      <c r="C2" s="166" t="s">
        <v>42</v>
      </c>
      <c r="D2" s="120"/>
      <c r="E2" s="120"/>
      <c r="F2" s="121"/>
      <c r="G2" s="7"/>
      <c r="H2" s="7"/>
      <c r="I2" s="129" t="s">
        <v>272</v>
      </c>
      <c r="J2" s="122"/>
      <c r="K2" s="122"/>
      <c r="L2" s="122"/>
      <c r="M2" s="122"/>
      <c r="N2" s="123"/>
      <c r="O2" s="7"/>
      <c r="P2" s="7"/>
    </row>
    <row r="3" spans="1:16" x14ac:dyDescent="0.3">
      <c r="A3" s="7"/>
      <c r="B3" s="7"/>
      <c r="C3" s="127" t="s">
        <v>99</v>
      </c>
      <c r="D3" s="118"/>
      <c r="E3" s="118"/>
      <c r="F3" s="119" t="s">
        <v>25</v>
      </c>
      <c r="G3" s="7"/>
      <c r="H3" s="7"/>
      <c r="I3" s="7"/>
      <c r="J3" s="7"/>
      <c r="K3" s="7"/>
      <c r="L3" s="7"/>
      <c r="M3" s="7"/>
      <c r="N3" s="23"/>
      <c r="O3" s="7"/>
      <c r="P3" s="7"/>
    </row>
    <row r="4" spans="1:16" x14ac:dyDescent="0.3">
      <c r="A4" s="7"/>
      <c r="B4" s="7"/>
      <c r="C4" s="127" t="s">
        <v>98</v>
      </c>
      <c r="D4" s="118">
        <v>900</v>
      </c>
      <c r="E4" s="118"/>
      <c r="F4" s="119">
        <v>200</v>
      </c>
      <c r="G4" s="7"/>
      <c r="H4" s="7"/>
      <c r="I4" s="7"/>
      <c r="J4" s="7"/>
      <c r="K4" s="7"/>
      <c r="L4" s="7"/>
      <c r="M4" s="7"/>
      <c r="N4" s="23"/>
      <c r="O4" s="7"/>
      <c r="P4" s="7"/>
    </row>
    <row r="5" spans="1:16" x14ac:dyDescent="0.3">
      <c r="A5" s="7"/>
      <c r="B5" s="7"/>
      <c r="C5" s="127" t="s">
        <v>100</v>
      </c>
      <c r="D5" s="118">
        <v>5</v>
      </c>
      <c r="E5" s="118"/>
      <c r="F5" s="119">
        <v>3</v>
      </c>
      <c r="G5" s="7"/>
      <c r="H5" s="7"/>
      <c r="I5" s="7"/>
      <c r="J5" s="7"/>
      <c r="K5" s="7"/>
      <c r="L5" s="7"/>
      <c r="M5" s="7"/>
      <c r="N5" s="23"/>
      <c r="O5" s="7"/>
      <c r="P5" s="7"/>
    </row>
    <row r="6" spans="1:16" x14ac:dyDescent="0.3">
      <c r="A6" s="7"/>
      <c r="B6" s="7"/>
      <c r="C6" s="127" t="s">
        <v>101</v>
      </c>
      <c r="D6" s="118">
        <f>D4/D5</f>
        <v>180</v>
      </c>
      <c r="E6" s="118"/>
      <c r="F6" s="119">
        <f>F4/F5</f>
        <v>66.666666666666671</v>
      </c>
      <c r="G6" s="7"/>
      <c r="H6" s="7"/>
      <c r="I6" s="7"/>
      <c r="J6" s="7"/>
      <c r="K6" s="7"/>
      <c r="L6" s="7"/>
      <c r="M6" s="7"/>
      <c r="N6" s="23"/>
      <c r="O6" s="7"/>
      <c r="P6" s="7"/>
    </row>
    <row r="7" spans="1:16" x14ac:dyDescent="0.3">
      <c r="A7" s="7"/>
      <c r="B7" s="7"/>
      <c r="C7" s="127"/>
      <c r="D7" s="118"/>
      <c r="E7" s="118"/>
      <c r="F7" s="119"/>
      <c r="G7" s="7"/>
      <c r="H7" s="7"/>
      <c r="I7" s="7"/>
      <c r="J7" s="7"/>
      <c r="K7" s="7"/>
      <c r="L7" s="7"/>
      <c r="M7" s="7"/>
      <c r="N7" s="23"/>
      <c r="O7" s="7"/>
      <c r="P7" s="7"/>
    </row>
    <row r="8" spans="1:16" x14ac:dyDescent="0.3">
      <c r="A8" s="7"/>
      <c r="B8" s="7"/>
      <c r="C8" s="127" t="s">
        <v>102</v>
      </c>
      <c r="D8" s="118">
        <f>D6^0.5</f>
        <v>13.416407864998739</v>
      </c>
      <c r="E8" s="118"/>
      <c r="F8" s="119">
        <f>F6^0.5</f>
        <v>8.1649658092772608</v>
      </c>
      <c r="G8" s="7"/>
      <c r="H8" s="7"/>
      <c r="I8" s="7"/>
      <c r="J8" s="7"/>
      <c r="K8" s="7"/>
      <c r="L8" s="7"/>
      <c r="M8" s="7"/>
      <c r="N8" s="23"/>
      <c r="O8" s="7"/>
      <c r="P8" s="7"/>
    </row>
    <row r="9" spans="1:16" x14ac:dyDescent="0.3">
      <c r="A9" s="7"/>
      <c r="B9" s="7"/>
      <c r="C9" s="127" t="s">
        <v>103</v>
      </c>
      <c r="D9" s="118">
        <v>35</v>
      </c>
      <c r="E9" s="118"/>
      <c r="F9" s="119">
        <v>35</v>
      </c>
      <c r="G9" s="7"/>
      <c r="H9" s="7"/>
      <c r="I9" s="7"/>
      <c r="J9" s="7"/>
      <c r="K9" s="7"/>
      <c r="L9" s="7"/>
      <c r="M9" s="7"/>
      <c r="N9" s="23"/>
      <c r="O9" s="7"/>
      <c r="P9" s="7"/>
    </row>
    <row r="10" spans="1:16" x14ac:dyDescent="0.3">
      <c r="A10" s="7"/>
      <c r="B10" s="7"/>
      <c r="C10" s="127" t="s">
        <v>107</v>
      </c>
      <c r="D10" s="118">
        <v>0.70020753821000004</v>
      </c>
      <c r="E10" s="118"/>
      <c r="F10" s="119">
        <f>D10</f>
        <v>0.70020753821000004</v>
      </c>
      <c r="G10" s="7"/>
      <c r="H10" s="7"/>
      <c r="I10" s="7"/>
      <c r="J10" s="7"/>
      <c r="K10" s="7"/>
      <c r="L10" s="7"/>
      <c r="M10" s="7"/>
      <c r="N10" s="23"/>
      <c r="O10" s="7"/>
      <c r="P10" s="7"/>
    </row>
    <row r="11" spans="1:16" x14ac:dyDescent="0.3">
      <c r="A11" s="7"/>
      <c r="B11" s="7"/>
      <c r="C11" s="127" t="s">
        <v>106</v>
      </c>
      <c r="D11" s="118">
        <f>D10*D8</f>
        <v>9.3942699227720485</v>
      </c>
      <c r="E11" s="118"/>
      <c r="F11" s="119">
        <f>F10*F8</f>
        <v>5.7171706088828511</v>
      </c>
      <c r="G11" s="7"/>
      <c r="H11" s="7"/>
      <c r="I11" s="7"/>
      <c r="J11" s="7"/>
      <c r="K11" s="7"/>
      <c r="L11" s="7"/>
      <c r="M11" s="7"/>
      <c r="N11" s="23"/>
      <c r="O11" s="7"/>
      <c r="P11" s="7"/>
    </row>
    <row r="12" spans="1:16" x14ac:dyDescent="0.3">
      <c r="A12" s="7"/>
      <c r="B12" s="7"/>
      <c r="C12" s="127" t="s">
        <v>104</v>
      </c>
      <c r="D12" s="118">
        <f>(D11^2+D8^2)^0.5</f>
        <v>16.378409794052033</v>
      </c>
      <c r="E12" s="118"/>
      <c r="F12" s="119">
        <f>(F11^2+F8^2)^0.5</f>
        <v>9.9675827780731563</v>
      </c>
      <c r="G12" s="7"/>
      <c r="H12" s="7"/>
      <c r="I12" s="7"/>
      <c r="J12" s="7"/>
      <c r="K12" s="7"/>
      <c r="L12" s="7"/>
      <c r="M12" s="7"/>
      <c r="N12" s="23"/>
      <c r="O12" s="7"/>
      <c r="P12" s="7"/>
    </row>
    <row r="13" spans="1:16" ht="15" thickBot="1" x14ac:dyDescent="0.35">
      <c r="A13" s="7"/>
      <c r="B13" s="7"/>
      <c r="C13" s="129" t="s">
        <v>105</v>
      </c>
      <c r="D13" s="122">
        <f>D12*D8</f>
        <v>219.73942597709205</v>
      </c>
      <c r="E13" s="122"/>
      <c r="F13" s="123">
        <f>F12*F8</f>
        <v>81.384972584108169</v>
      </c>
      <c r="G13" s="7"/>
      <c r="H13" s="7"/>
      <c r="I13" s="7"/>
      <c r="J13" s="7"/>
      <c r="K13" s="7"/>
      <c r="L13" s="7"/>
      <c r="M13" s="7"/>
      <c r="N13" s="23"/>
      <c r="O13" s="7"/>
      <c r="P13" s="7"/>
    </row>
    <row r="14" spans="1:16" x14ac:dyDescent="0.3">
      <c r="A14" s="7"/>
      <c r="B14" s="7"/>
      <c r="C14" s="24"/>
      <c r="D14" s="7"/>
      <c r="E14" s="7"/>
      <c r="F14" s="7"/>
      <c r="G14" s="7"/>
      <c r="H14" s="7"/>
      <c r="I14" s="7"/>
      <c r="J14" s="7"/>
      <c r="K14" s="7"/>
      <c r="L14" s="7"/>
      <c r="M14" s="7"/>
      <c r="N14" s="23"/>
      <c r="O14" s="7"/>
      <c r="P14" s="7"/>
    </row>
    <row r="15" spans="1:16" ht="15" thickBot="1" x14ac:dyDescent="0.35">
      <c r="A15" s="7"/>
      <c r="B15" s="7"/>
      <c r="C15" s="24"/>
      <c r="D15" s="7"/>
      <c r="E15" s="7"/>
      <c r="F15" s="7"/>
      <c r="G15" s="7"/>
      <c r="H15" s="7"/>
      <c r="I15" s="7"/>
      <c r="J15" s="7"/>
      <c r="K15" s="7"/>
      <c r="L15" s="7"/>
      <c r="M15" s="7"/>
      <c r="N15" s="23"/>
      <c r="O15" s="7"/>
      <c r="P15" s="7"/>
    </row>
    <row r="16" spans="1:16" x14ac:dyDescent="0.3">
      <c r="A16" s="7"/>
      <c r="B16" s="7"/>
      <c r="C16" s="166" t="s">
        <v>137</v>
      </c>
      <c r="D16" s="120"/>
      <c r="E16" s="120"/>
      <c r="F16" s="121"/>
      <c r="G16" s="7"/>
      <c r="H16" s="7"/>
      <c r="I16" s="7"/>
      <c r="J16" s="7"/>
      <c r="K16" s="7"/>
      <c r="L16" s="7"/>
      <c r="M16" s="7"/>
      <c r="N16" s="23"/>
      <c r="O16" s="7"/>
      <c r="P16" s="7"/>
    </row>
    <row r="17" spans="1:16" x14ac:dyDescent="0.3">
      <c r="A17" s="7"/>
      <c r="B17" s="7"/>
      <c r="C17" s="127"/>
      <c r="D17" s="118"/>
      <c r="E17" s="118"/>
      <c r="F17" s="119"/>
      <c r="G17" s="7"/>
      <c r="H17" s="7"/>
      <c r="I17" s="7"/>
      <c r="J17" s="7"/>
      <c r="K17" s="7"/>
      <c r="L17" s="7"/>
      <c r="M17" s="7"/>
      <c r="N17" s="23"/>
      <c r="O17" s="7"/>
      <c r="P17" s="7"/>
    </row>
    <row r="18" spans="1:16" x14ac:dyDescent="0.3">
      <c r="A18" s="7"/>
      <c r="B18" s="7"/>
      <c r="C18" s="127" t="s">
        <v>138</v>
      </c>
      <c r="D18" s="118">
        <f>(20+9)/2</f>
        <v>14.5</v>
      </c>
      <c r="E18" s="118"/>
      <c r="F18" s="119">
        <f>(10+7)/2</f>
        <v>8.5</v>
      </c>
      <c r="G18" s="7"/>
      <c r="H18" s="7"/>
      <c r="I18" s="7"/>
      <c r="J18" s="7"/>
      <c r="K18" s="7"/>
      <c r="L18" s="7"/>
      <c r="M18" s="7"/>
      <c r="N18" s="23"/>
      <c r="O18" s="7"/>
      <c r="P18" s="7"/>
    </row>
    <row r="19" spans="1:16" x14ac:dyDescent="0.3">
      <c r="A19" s="7"/>
      <c r="B19" s="7"/>
      <c r="C19" s="127" t="s">
        <v>139</v>
      </c>
      <c r="D19" s="118">
        <v>14</v>
      </c>
      <c r="E19" s="118"/>
      <c r="F19" s="119">
        <v>9</v>
      </c>
      <c r="G19" s="7"/>
      <c r="H19" s="7"/>
      <c r="I19" s="7"/>
      <c r="J19" s="7"/>
      <c r="K19" s="7"/>
      <c r="L19" s="7"/>
      <c r="M19" s="7"/>
      <c r="N19" s="23"/>
      <c r="O19" s="7"/>
      <c r="P19" s="7"/>
    </row>
    <row r="20" spans="1:16" x14ac:dyDescent="0.3">
      <c r="A20" s="7"/>
      <c r="B20" s="7"/>
      <c r="C20" s="127" t="s">
        <v>140</v>
      </c>
      <c r="D20" s="118">
        <f>PRODUCT(D18:D19)</f>
        <v>203</v>
      </c>
      <c r="E20" s="118"/>
      <c r="F20" s="119">
        <f>PRODUCT(F18:F19)</f>
        <v>76.5</v>
      </c>
      <c r="G20" s="7"/>
      <c r="H20" s="7"/>
      <c r="I20" s="7"/>
      <c r="J20" s="7"/>
      <c r="K20" s="7"/>
      <c r="L20" s="7"/>
      <c r="M20" s="7"/>
      <c r="N20" s="23"/>
      <c r="O20" s="7"/>
      <c r="P20" s="7"/>
    </row>
    <row r="21" spans="1:16" x14ac:dyDescent="0.3">
      <c r="A21" s="7"/>
      <c r="B21" s="7"/>
      <c r="C21" s="127" t="s">
        <v>141</v>
      </c>
      <c r="D21" s="118">
        <f>1/3</f>
        <v>0.33333333333333331</v>
      </c>
      <c r="E21" s="118"/>
      <c r="F21" s="119">
        <f>1/3</f>
        <v>0.33333333333333331</v>
      </c>
      <c r="G21" s="7"/>
      <c r="H21" s="7"/>
      <c r="I21" s="7"/>
      <c r="J21" s="7"/>
      <c r="K21" s="7"/>
      <c r="L21" s="7"/>
      <c r="M21" s="7"/>
      <c r="N21" s="23"/>
      <c r="O21" s="7"/>
      <c r="P21" s="7"/>
    </row>
    <row r="22" spans="1:16" ht="15" thickBot="1" x14ac:dyDescent="0.35">
      <c r="A22" s="7"/>
      <c r="B22" s="7"/>
      <c r="C22" s="129" t="s">
        <v>142</v>
      </c>
      <c r="D22" s="122">
        <f>D21*D20</f>
        <v>67.666666666666657</v>
      </c>
      <c r="E22" s="122"/>
      <c r="F22" s="163">
        <f>F21*F20</f>
        <v>25.5</v>
      </c>
      <c r="G22" s="7"/>
      <c r="H22" s="7"/>
      <c r="I22" s="7"/>
      <c r="J22" s="7"/>
      <c r="K22" s="7"/>
      <c r="L22" s="7"/>
      <c r="M22" s="7"/>
      <c r="N22" s="23"/>
      <c r="O22" s="7"/>
      <c r="P22" s="7"/>
    </row>
    <row r="23" spans="1:16" ht="15" thickBot="1" x14ac:dyDescent="0.35">
      <c r="A23" s="7"/>
      <c r="B23" s="7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7"/>
      <c r="P23" s="7"/>
    </row>
    <row r="24" spans="1:16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7A02-0E10-4C97-A41F-78052FEC4571}">
  <dimension ref="B1:R39"/>
  <sheetViews>
    <sheetView workbookViewId="0">
      <selection activeCell="H22" sqref="H22"/>
    </sheetView>
  </sheetViews>
  <sheetFormatPr defaultRowHeight="14.4" x14ac:dyDescent="0.3"/>
  <cols>
    <col min="8" max="8" width="11.88671875" customWidth="1"/>
    <col min="9" max="10" width="9" customWidth="1"/>
  </cols>
  <sheetData>
    <row r="1" spans="2:18" ht="15" thickBot="1" x14ac:dyDescent="0.35"/>
    <row r="2" spans="2:18" x14ac:dyDescent="0.3">
      <c r="B2" s="7"/>
      <c r="C2" s="198" t="s">
        <v>122</v>
      </c>
      <c r="D2" s="199"/>
      <c r="E2" s="199"/>
      <c r="F2" s="199"/>
      <c r="G2" s="55"/>
      <c r="H2" s="55" t="s">
        <v>282</v>
      </c>
      <c r="I2" s="56">
        <f>0.267</f>
        <v>0.26700000000000002</v>
      </c>
      <c r="J2" s="29"/>
      <c r="K2" s="29"/>
      <c r="L2" s="29"/>
      <c r="M2" s="29"/>
      <c r="N2" s="29"/>
      <c r="O2" s="29"/>
      <c r="P2" s="29"/>
      <c r="Q2" s="22"/>
      <c r="R2" s="7"/>
    </row>
    <row r="3" spans="2:18" x14ac:dyDescent="0.3">
      <c r="B3" s="7"/>
      <c r="C3" s="57"/>
      <c r="D3" s="58"/>
      <c r="E3" s="58"/>
      <c r="F3" s="58"/>
      <c r="G3" s="58"/>
      <c r="H3" s="58" t="s">
        <v>124</v>
      </c>
      <c r="I3" s="59">
        <f>0.21</f>
        <v>0.21</v>
      </c>
      <c r="J3" s="7"/>
      <c r="K3" s="7"/>
      <c r="L3" s="7"/>
      <c r="M3" s="7"/>
      <c r="N3" s="7"/>
      <c r="O3" s="7"/>
      <c r="P3" s="7"/>
      <c r="Q3" s="23"/>
      <c r="R3" s="7"/>
    </row>
    <row r="4" spans="2:18" ht="15" thickBot="1" x14ac:dyDescent="0.35">
      <c r="B4" s="7"/>
      <c r="C4" s="60"/>
      <c r="D4" s="61"/>
      <c r="E4" s="61"/>
      <c r="F4" s="61"/>
      <c r="G4" s="61"/>
      <c r="H4" s="62" t="s">
        <v>46</v>
      </c>
      <c r="I4" s="63">
        <f>I3/I2</f>
        <v>0.78651685393258419</v>
      </c>
      <c r="J4" s="7"/>
      <c r="K4" s="7"/>
      <c r="L4" s="7"/>
      <c r="M4" s="7"/>
      <c r="N4" s="7"/>
      <c r="O4" s="7"/>
      <c r="P4" s="7"/>
      <c r="Q4" s="23"/>
      <c r="R4" s="7"/>
    </row>
    <row r="5" spans="2:18" x14ac:dyDescent="0.3">
      <c r="B5" s="7"/>
      <c r="C5" s="2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3"/>
      <c r="R5" s="7"/>
    </row>
    <row r="6" spans="2:18" ht="15" thickBot="1" x14ac:dyDescent="0.35">
      <c r="B6" s="7"/>
      <c r="C6" s="24"/>
      <c r="D6" s="7"/>
      <c r="E6" s="13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3"/>
      <c r="R6" s="7"/>
    </row>
    <row r="7" spans="2:18" x14ac:dyDescent="0.3">
      <c r="B7" s="7"/>
      <c r="C7" s="31" t="s">
        <v>109</v>
      </c>
      <c r="D7" s="32"/>
      <c r="E7" s="64"/>
      <c r="F7" s="7"/>
      <c r="G7" s="31" t="s">
        <v>112</v>
      </c>
      <c r="H7" s="32"/>
      <c r="I7" s="64"/>
      <c r="J7" s="7"/>
      <c r="K7" s="31" t="s">
        <v>113</v>
      </c>
      <c r="L7" s="32"/>
      <c r="M7" s="64"/>
      <c r="N7" s="7"/>
      <c r="O7" s="31" t="s">
        <v>114</v>
      </c>
      <c r="P7" s="32"/>
      <c r="Q7" s="64"/>
      <c r="R7" s="7"/>
    </row>
    <row r="8" spans="2:18" x14ac:dyDescent="0.3">
      <c r="B8" s="7"/>
      <c r="C8" s="33"/>
      <c r="D8" s="34" t="s">
        <v>282</v>
      </c>
      <c r="E8" s="35" t="s">
        <v>123</v>
      </c>
      <c r="F8" s="7"/>
      <c r="G8" s="33"/>
      <c r="H8" s="34" t="s">
        <v>282</v>
      </c>
      <c r="I8" s="35" t="s">
        <v>123</v>
      </c>
      <c r="J8" s="7"/>
      <c r="K8" s="33"/>
      <c r="L8" s="34" t="s">
        <v>282</v>
      </c>
      <c r="M8" s="35" t="s">
        <v>123</v>
      </c>
      <c r="N8" s="7"/>
      <c r="O8" s="33"/>
      <c r="P8" s="34" t="s">
        <v>282</v>
      </c>
      <c r="Q8" s="35" t="s">
        <v>123</v>
      </c>
      <c r="R8" s="7"/>
    </row>
    <row r="9" spans="2:18" ht="15" thickBot="1" x14ac:dyDescent="0.35">
      <c r="B9" s="7"/>
      <c r="C9" s="36">
        <v>2050</v>
      </c>
      <c r="D9" s="37">
        <v>0.17</v>
      </c>
      <c r="E9" s="65">
        <f>D9*I4</f>
        <v>0.13370786516853933</v>
      </c>
      <c r="F9" s="7"/>
      <c r="G9" s="36">
        <v>2050</v>
      </c>
      <c r="H9" s="37">
        <f>0.17+0.0005*34</f>
        <v>0.187</v>
      </c>
      <c r="I9" s="65">
        <f>H9*I4</f>
        <v>0.14707865168539325</v>
      </c>
      <c r="J9" s="7"/>
      <c r="K9" s="36">
        <v>2050</v>
      </c>
      <c r="L9" s="37">
        <f>0.17+0.001*34</f>
        <v>0.20400000000000001</v>
      </c>
      <c r="M9" s="65">
        <f>L9*I4</f>
        <v>0.16044943820224719</v>
      </c>
      <c r="N9" s="7"/>
      <c r="O9" s="36">
        <v>2050</v>
      </c>
      <c r="P9" s="37">
        <f>0.17+0.0015*34</f>
        <v>0.22100000000000003</v>
      </c>
      <c r="Q9" s="65">
        <f>P9*I4</f>
        <v>0.17382022471910114</v>
      </c>
      <c r="R9" s="7"/>
    </row>
    <row r="10" spans="2:18" ht="15" thickBot="1" x14ac:dyDescent="0.35">
      <c r="B10" s="7"/>
      <c r="C10" s="2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3"/>
      <c r="R10" s="7"/>
    </row>
    <row r="11" spans="2:18" x14ac:dyDescent="0.3">
      <c r="B11" s="7"/>
      <c r="C11" s="31" t="s">
        <v>115</v>
      </c>
      <c r="D11" s="32"/>
      <c r="E11" s="64"/>
      <c r="F11" s="7"/>
      <c r="G11" s="31" t="s">
        <v>116</v>
      </c>
      <c r="H11" s="32"/>
      <c r="I11" s="64"/>
      <c r="J11" s="7"/>
      <c r="K11" s="31" t="s">
        <v>116</v>
      </c>
      <c r="L11" s="32"/>
      <c r="M11" s="64"/>
      <c r="N11" s="7"/>
      <c r="O11" s="31" t="s">
        <v>251</v>
      </c>
      <c r="P11" s="32"/>
      <c r="Q11" s="64"/>
      <c r="R11" s="7"/>
    </row>
    <row r="12" spans="2:18" x14ac:dyDescent="0.3">
      <c r="B12" s="7"/>
      <c r="C12" s="33"/>
      <c r="D12" s="34" t="s">
        <v>282</v>
      </c>
      <c r="E12" s="35" t="s">
        <v>123</v>
      </c>
      <c r="F12" s="7"/>
      <c r="G12" s="33"/>
      <c r="H12" s="34" t="s">
        <v>282</v>
      </c>
      <c r="I12" s="35" t="s">
        <v>123</v>
      </c>
      <c r="J12" s="7"/>
      <c r="K12" s="33"/>
      <c r="L12" s="34" t="s">
        <v>282</v>
      </c>
      <c r="M12" s="35" t="s">
        <v>123</v>
      </c>
      <c r="N12" s="7"/>
      <c r="O12" s="33"/>
      <c r="P12" s="34" t="s">
        <v>282</v>
      </c>
      <c r="Q12" s="35" t="s">
        <v>123</v>
      </c>
      <c r="R12" s="7"/>
    </row>
    <row r="13" spans="2:18" ht="15" thickBot="1" x14ac:dyDescent="0.35">
      <c r="B13" s="7"/>
      <c r="C13" s="36"/>
      <c r="D13" s="37">
        <f>0.17+0.002*34</f>
        <v>0.23800000000000002</v>
      </c>
      <c r="E13" s="65">
        <f>D13*I4</f>
        <v>0.18719101123595505</v>
      </c>
      <c r="F13" s="26"/>
      <c r="G13" s="36"/>
      <c r="H13" s="37">
        <f>0.17+0.0025*34</f>
        <v>0.255</v>
      </c>
      <c r="I13" s="65">
        <f>H13*I4</f>
        <v>0.20056179775280897</v>
      </c>
      <c r="J13" s="26"/>
      <c r="K13" s="36"/>
      <c r="L13" s="37">
        <f>0.17+0.003*34</f>
        <v>0.27200000000000002</v>
      </c>
      <c r="M13" s="65">
        <f>L13*I4</f>
        <v>0.21393258426966291</v>
      </c>
      <c r="N13" s="26"/>
      <c r="O13" s="36">
        <v>2050</v>
      </c>
      <c r="P13" s="37">
        <f>0.17+0.0017*34</f>
        <v>0.2278</v>
      </c>
      <c r="Q13" s="65">
        <f>P13*I4</f>
        <v>0.17916853932584267</v>
      </c>
      <c r="R13" s="7"/>
    </row>
    <row r="14" spans="2:18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2:18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18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2:18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2:18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39" spans="2:3" x14ac:dyDescent="0.3">
      <c r="B39" s="1"/>
      <c r="C39" s="1"/>
    </row>
  </sheetData>
  <mergeCells count="1">
    <mergeCell ref="C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6229-DE2F-4911-BA36-CB54D087A020}">
  <dimension ref="A1:D12"/>
  <sheetViews>
    <sheetView workbookViewId="0">
      <selection activeCell="F7" sqref="F7"/>
    </sheetView>
  </sheetViews>
  <sheetFormatPr defaultRowHeight="14.4" x14ac:dyDescent="0.3"/>
  <cols>
    <col min="2" max="2" width="16.109375" customWidth="1"/>
  </cols>
  <sheetData>
    <row r="1" spans="1:4" ht="15" thickBot="1" x14ac:dyDescent="0.35"/>
    <row r="2" spans="1:4" x14ac:dyDescent="0.3">
      <c r="A2" s="7"/>
      <c r="B2" s="166" t="s">
        <v>134</v>
      </c>
      <c r="C2" s="121"/>
      <c r="D2" s="7"/>
    </row>
    <row r="3" spans="1:4" x14ac:dyDescent="0.3">
      <c r="A3" s="7"/>
      <c r="B3" s="127" t="s">
        <v>135</v>
      </c>
      <c r="C3" s="119">
        <v>1</v>
      </c>
      <c r="D3" s="7"/>
    </row>
    <row r="4" spans="1:4" x14ac:dyDescent="0.3">
      <c r="A4" s="7"/>
      <c r="B4" s="127" t="s">
        <v>132</v>
      </c>
      <c r="C4" s="119">
        <v>0.8</v>
      </c>
      <c r="D4" s="7"/>
    </row>
    <row r="5" spans="1:4" x14ac:dyDescent="0.3">
      <c r="A5" s="7"/>
      <c r="B5" s="127" t="s">
        <v>133</v>
      </c>
      <c r="C5" s="119">
        <v>0.52</v>
      </c>
      <c r="D5" s="7"/>
    </row>
    <row r="6" spans="1:4" x14ac:dyDescent="0.3">
      <c r="A6" s="7"/>
      <c r="B6" s="127" t="s">
        <v>244</v>
      </c>
      <c r="C6" s="119">
        <v>0.92</v>
      </c>
      <c r="D6" s="7"/>
    </row>
    <row r="7" spans="1:4" ht="15" thickBot="1" x14ac:dyDescent="0.35">
      <c r="A7" s="7"/>
      <c r="B7" s="129" t="s">
        <v>136</v>
      </c>
      <c r="C7" s="167">
        <f>PRODUCT(C3:C6)</f>
        <v>0.38272000000000006</v>
      </c>
      <c r="D7" s="7"/>
    </row>
    <row r="8" spans="1:4" ht="15" thickBot="1" x14ac:dyDescent="0.35">
      <c r="A8" s="7"/>
      <c r="B8" s="24"/>
      <c r="C8" s="23"/>
      <c r="D8" s="7"/>
    </row>
    <row r="9" spans="1:4" x14ac:dyDescent="0.3">
      <c r="A9" s="7"/>
      <c r="B9" s="128" t="s">
        <v>269</v>
      </c>
      <c r="C9" s="121"/>
      <c r="D9" s="7"/>
    </row>
    <row r="10" spans="1:4" ht="15" thickBot="1" x14ac:dyDescent="0.35">
      <c r="A10" s="7"/>
      <c r="B10" s="129"/>
      <c r="C10" s="123">
        <f>C4*C6</f>
        <v>0.7360000000000001</v>
      </c>
      <c r="D10" s="7"/>
    </row>
    <row r="11" spans="1:4" x14ac:dyDescent="0.3">
      <c r="A11" s="7"/>
      <c r="B11" s="7"/>
      <c r="C11" s="7"/>
      <c r="D11" s="7"/>
    </row>
    <row r="12" spans="1:4" x14ac:dyDescent="0.3">
      <c r="A12" s="7"/>
      <c r="B12" s="7"/>
      <c r="C12" s="7"/>
      <c r="D1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B718-9430-492B-AB25-D3BC775C78FF}">
  <dimension ref="A1:W43"/>
  <sheetViews>
    <sheetView topLeftCell="D1" workbookViewId="0">
      <selection activeCell="L2" sqref="L2"/>
    </sheetView>
  </sheetViews>
  <sheetFormatPr defaultRowHeight="14.4" x14ac:dyDescent="0.3"/>
  <cols>
    <col min="3" max="3" width="22.109375" customWidth="1"/>
    <col min="4" max="7" width="16.88671875" customWidth="1"/>
    <col min="8" max="8" width="8.77734375" customWidth="1"/>
    <col min="11" max="12" width="23.44140625" customWidth="1"/>
    <col min="14" max="14" width="9.5546875" bestFit="1" customWidth="1"/>
  </cols>
  <sheetData>
    <row r="1" spans="1:23" ht="15" thickBot="1" x14ac:dyDescent="0.35">
      <c r="A1" s="7"/>
      <c r="B1" s="7"/>
      <c r="C1" s="28"/>
      <c r="D1" s="29"/>
      <c r="E1" s="29"/>
      <c r="F1" s="29"/>
      <c r="G1" s="29"/>
      <c r="H1" s="29"/>
      <c r="I1" s="29"/>
      <c r="J1" s="29"/>
      <c r="K1" s="200" t="s">
        <v>117</v>
      </c>
      <c r="L1" s="201"/>
      <c r="M1" s="29"/>
      <c r="N1" s="29"/>
      <c r="O1" s="22"/>
      <c r="P1" s="7"/>
      <c r="Q1" s="7"/>
      <c r="R1" s="7"/>
      <c r="S1" s="7"/>
      <c r="T1" s="7"/>
      <c r="U1" s="7"/>
      <c r="V1" s="7"/>
      <c r="W1" s="7"/>
    </row>
    <row r="2" spans="1:23" x14ac:dyDescent="0.3">
      <c r="A2" s="7"/>
      <c r="B2" s="7"/>
      <c r="C2" s="182" t="s">
        <v>97</v>
      </c>
      <c r="D2" s="183"/>
      <c r="E2" s="183"/>
      <c r="F2" s="32"/>
      <c r="G2" s="64"/>
      <c r="H2" s="7"/>
      <c r="I2" s="7"/>
      <c r="J2" s="7"/>
      <c r="K2" s="66" t="s">
        <v>121</v>
      </c>
      <c r="L2" s="67">
        <v>0.27200000000000002</v>
      </c>
      <c r="M2" s="7"/>
      <c r="N2" s="7"/>
      <c r="O2" s="23"/>
      <c r="P2" s="7"/>
      <c r="Q2" s="7"/>
      <c r="R2" s="7"/>
      <c r="S2" s="7"/>
      <c r="T2" s="7"/>
      <c r="U2" s="7"/>
      <c r="V2" s="7"/>
      <c r="W2" s="7"/>
    </row>
    <row r="3" spans="1:23" ht="15" thickBot="1" x14ac:dyDescent="0.35">
      <c r="A3" s="7"/>
      <c r="B3" s="7"/>
      <c r="C3" s="20"/>
      <c r="D3" s="18" t="s">
        <v>248</v>
      </c>
      <c r="E3" s="18" t="s">
        <v>245</v>
      </c>
      <c r="F3" s="18" t="s">
        <v>249</v>
      </c>
      <c r="G3" s="21" t="s">
        <v>250</v>
      </c>
      <c r="H3" s="7"/>
      <c r="I3" s="7"/>
      <c r="J3" s="7"/>
      <c r="K3" s="68" t="s">
        <v>120</v>
      </c>
      <c r="L3" s="42">
        <f>L2*'PV efficiency'!I4</f>
        <v>0.21393258426966291</v>
      </c>
      <c r="M3" s="7"/>
      <c r="N3" s="7"/>
      <c r="O3" s="23"/>
      <c r="P3" s="7"/>
      <c r="Q3" s="7"/>
      <c r="R3" s="7"/>
      <c r="S3" s="7"/>
      <c r="T3" s="7"/>
      <c r="U3" s="7"/>
      <c r="V3" s="7"/>
      <c r="W3" s="7"/>
    </row>
    <row r="4" spans="1:23" x14ac:dyDescent="0.3">
      <c r="A4" s="7"/>
      <c r="B4" s="7"/>
      <c r="C4" s="12" t="s">
        <v>21</v>
      </c>
      <c r="D4" s="13">
        <f t="shared" ref="D4:D15" si="0">$K31*L$20+$L31*L$26</f>
        <v>885.44323996988817</v>
      </c>
      <c r="E4" s="13">
        <f t="shared" ref="E4:E15" si="1">$K31*M$20+$L31*M$26</f>
        <v>2381.8489397465396</v>
      </c>
      <c r="F4" s="13">
        <f t="shared" ref="F4:F15" si="2">$K31*N$20+$L31*L$26</f>
        <v>677.00947855667869</v>
      </c>
      <c r="G4" s="14">
        <f t="shared" ref="G4:G15" si="3">$K31*O$20+$L31*M$26</f>
        <v>1819.0777839308739</v>
      </c>
      <c r="H4" s="7"/>
      <c r="I4" s="7"/>
      <c r="J4" s="7"/>
      <c r="K4" s="68" t="s">
        <v>108</v>
      </c>
      <c r="L4" s="42">
        <v>0.9</v>
      </c>
      <c r="M4" s="7"/>
      <c r="N4" s="7"/>
      <c r="O4" s="23"/>
      <c r="P4" s="7"/>
      <c r="Q4" s="7"/>
      <c r="R4" s="7"/>
      <c r="S4" s="7"/>
      <c r="T4" s="7"/>
      <c r="U4" s="7"/>
      <c r="V4" s="7"/>
      <c r="W4" s="7"/>
    </row>
    <row r="5" spans="1:23" x14ac:dyDescent="0.3">
      <c r="A5" s="7"/>
      <c r="B5" s="7"/>
      <c r="C5" s="12" t="s">
        <v>1</v>
      </c>
      <c r="D5" s="13">
        <f t="shared" si="0"/>
        <v>1271.8087253631645</v>
      </c>
      <c r="E5" s="13">
        <f t="shared" si="1"/>
        <v>3422.1445306977153</v>
      </c>
      <c r="F5" s="13">
        <f t="shared" si="2"/>
        <v>966.15644229391114</v>
      </c>
      <c r="G5" s="14">
        <f t="shared" si="3"/>
        <v>2596.883366410731</v>
      </c>
      <c r="H5" s="7"/>
      <c r="I5" s="7"/>
      <c r="J5" s="7"/>
      <c r="K5" s="68" t="s">
        <v>145</v>
      </c>
      <c r="L5" s="42">
        <v>1</v>
      </c>
      <c r="M5" s="7"/>
      <c r="N5" s="7"/>
      <c r="O5" s="23"/>
      <c r="P5" s="7"/>
      <c r="Q5" s="7"/>
      <c r="R5" s="7"/>
      <c r="S5" s="7"/>
      <c r="T5" s="7"/>
      <c r="U5" s="7"/>
      <c r="V5" s="7"/>
      <c r="W5" s="7"/>
    </row>
    <row r="6" spans="1:23" x14ac:dyDescent="0.3">
      <c r="A6" s="7"/>
      <c r="B6" s="7"/>
      <c r="C6" s="12" t="s">
        <v>2</v>
      </c>
      <c r="D6" s="13">
        <f t="shared" si="0"/>
        <v>2025.0119125276019</v>
      </c>
      <c r="E6" s="13">
        <f t="shared" si="1"/>
        <v>5451.2828357438548</v>
      </c>
      <c r="F6" s="13">
        <f t="shared" si="2"/>
        <v>1522.5568118542192</v>
      </c>
      <c r="G6" s="14">
        <f t="shared" si="3"/>
        <v>4094.6540639257214</v>
      </c>
      <c r="H6" s="7"/>
      <c r="I6" s="7"/>
      <c r="J6" s="7"/>
      <c r="K6" s="68" t="s">
        <v>131</v>
      </c>
      <c r="L6" s="42">
        <v>0.99</v>
      </c>
      <c r="M6" s="7"/>
      <c r="N6" s="7"/>
      <c r="O6" s="23"/>
      <c r="P6" s="7"/>
      <c r="Q6" s="7"/>
      <c r="R6" s="7"/>
      <c r="S6" s="7"/>
      <c r="T6" s="7"/>
      <c r="U6" s="7"/>
      <c r="V6" s="7"/>
      <c r="W6" s="7"/>
    </row>
    <row r="7" spans="1:23" x14ac:dyDescent="0.3">
      <c r="A7" s="7"/>
      <c r="B7" s="7"/>
      <c r="C7" s="12" t="s">
        <v>3</v>
      </c>
      <c r="D7" s="13">
        <f t="shared" si="0"/>
        <v>2443.7797316559399</v>
      </c>
      <c r="E7" s="13">
        <f t="shared" si="1"/>
        <v>6580.5000453571502</v>
      </c>
      <c r="F7" s="13">
        <f t="shared" si="2"/>
        <v>1825.1063843038683</v>
      </c>
      <c r="G7" s="14">
        <f t="shared" si="3"/>
        <v>4910.0820075065567</v>
      </c>
      <c r="H7" s="7"/>
      <c r="I7" s="7"/>
      <c r="J7" s="7"/>
      <c r="K7" s="68" t="s">
        <v>128</v>
      </c>
      <c r="L7" s="42">
        <v>1000</v>
      </c>
      <c r="M7" s="7"/>
      <c r="N7" s="7"/>
      <c r="O7" s="23"/>
      <c r="P7" s="7"/>
      <c r="Q7" s="7"/>
      <c r="R7" s="7"/>
      <c r="S7" s="7"/>
      <c r="T7" s="7"/>
      <c r="U7" s="7"/>
      <c r="V7" s="7"/>
      <c r="W7" s="7"/>
    </row>
    <row r="8" spans="1:23" x14ac:dyDescent="0.3">
      <c r="A8" s="7"/>
      <c r="B8" s="7"/>
      <c r="C8" s="12" t="s">
        <v>4</v>
      </c>
      <c r="D8" s="13">
        <f t="shared" si="0"/>
        <v>2875.7147416894081</v>
      </c>
      <c r="E8" s="13">
        <f t="shared" si="1"/>
        <v>7744.5449052334852</v>
      </c>
      <c r="F8" s="13">
        <f t="shared" si="2"/>
        <v>2141.5519793729154</v>
      </c>
      <c r="G8" s="14">
        <f t="shared" si="3"/>
        <v>5762.3054469789558</v>
      </c>
      <c r="H8" s="7"/>
      <c r="I8" s="7"/>
      <c r="J8" s="7"/>
      <c r="K8" s="68" t="s">
        <v>127</v>
      </c>
      <c r="L8" s="42">
        <v>800</v>
      </c>
      <c r="M8" s="7"/>
      <c r="N8" s="7"/>
      <c r="O8" s="23"/>
      <c r="P8" s="7"/>
      <c r="Q8" s="7"/>
      <c r="R8" s="7"/>
      <c r="S8" s="7"/>
      <c r="T8" s="7"/>
      <c r="U8" s="7"/>
      <c r="V8" s="7"/>
      <c r="W8" s="7"/>
    </row>
    <row r="9" spans="1:23" x14ac:dyDescent="0.3">
      <c r="A9" s="7"/>
      <c r="B9" s="7"/>
      <c r="C9" s="12" t="s">
        <v>5</v>
      </c>
      <c r="D9" s="13">
        <f t="shared" si="0"/>
        <v>2981.1843938458951</v>
      </c>
      <c r="E9" s="13">
        <f t="shared" si="1"/>
        <v>8028.7521576172603</v>
      </c>
      <c r="F9" s="13">
        <f t="shared" si="2"/>
        <v>2219.006243958268</v>
      </c>
      <c r="G9" s="14">
        <f t="shared" si="3"/>
        <v>5970.8711529206666</v>
      </c>
      <c r="H9" s="7"/>
      <c r="I9" s="7"/>
      <c r="J9" s="7"/>
      <c r="K9" s="68" t="s">
        <v>126</v>
      </c>
      <c r="L9" s="42">
        <f>L7*L4*L2*L6*L5</f>
        <v>242.352</v>
      </c>
      <c r="M9" s="7"/>
      <c r="N9" s="7"/>
      <c r="O9" s="23"/>
      <c r="P9" s="7"/>
      <c r="Q9" s="7"/>
      <c r="R9" s="7"/>
      <c r="S9" s="7"/>
      <c r="T9" s="7"/>
      <c r="U9" s="7"/>
      <c r="V9" s="7"/>
      <c r="W9" s="7"/>
    </row>
    <row r="10" spans="1:23" ht="15" thickBot="1" x14ac:dyDescent="0.35">
      <c r="A10" s="7"/>
      <c r="B10" s="7"/>
      <c r="C10" s="12" t="s">
        <v>6</v>
      </c>
      <c r="D10" s="13">
        <f t="shared" si="0"/>
        <v>3177.809040920632</v>
      </c>
      <c r="E10" s="13">
        <f t="shared" si="1"/>
        <v>8558.1144782194115</v>
      </c>
      <c r="F10" s="13">
        <f t="shared" si="2"/>
        <v>2366.4972992110488</v>
      </c>
      <c r="G10" s="14">
        <f t="shared" si="3"/>
        <v>6367.5727756035376</v>
      </c>
      <c r="H10" s="7"/>
      <c r="I10" s="7"/>
      <c r="J10" s="7"/>
      <c r="K10" s="69" t="s">
        <v>125</v>
      </c>
      <c r="L10" s="70">
        <f>L3*L4*L8*L6*L5</f>
        <v>152.49114606741574</v>
      </c>
      <c r="M10" s="7"/>
      <c r="N10" s="7"/>
      <c r="O10" s="23"/>
      <c r="P10" s="7"/>
      <c r="Q10" s="7"/>
      <c r="R10" s="7"/>
      <c r="S10" s="7"/>
      <c r="T10" s="7"/>
      <c r="U10" s="7"/>
      <c r="V10" s="7"/>
      <c r="W10" s="7"/>
    </row>
    <row r="11" spans="1:23" ht="15" thickBot="1" x14ac:dyDescent="0.35">
      <c r="A11" s="7"/>
      <c r="B11" s="7"/>
      <c r="C11" s="12" t="s">
        <v>7</v>
      </c>
      <c r="D11" s="13">
        <f t="shared" si="0"/>
        <v>2836.0856461200437</v>
      </c>
      <c r="E11" s="13">
        <f t="shared" si="1"/>
        <v>7637.0161793921234</v>
      </c>
      <c r="F11" s="13">
        <f t="shared" si="2"/>
        <v>2117.2390353204537</v>
      </c>
      <c r="G11" s="14">
        <f t="shared" si="3"/>
        <v>5696.1303302332299</v>
      </c>
      <c r="H11" s="7"/>
      <c r="I11" s="7"/>
      <c r="J11" s="7"/>
      <c r="K11" s="7"/>
      <c r="L11" s="7"/>
      <c r="M11" s="7"/>
      <c r="N11" s="7"/>
      <c r="O11" s="23"/>
      <c r="P11" s="7"/>
      <c r="Q11" s="7"/>
      <c r="R11" s="7"/>
      <c r="S11" s="7"/>
      <c r="T11" s="7"/>
      <c r="U11" s="7"/>
      <c r="V11" s="7"/>
      <c r="W11" s="7"/>
    </row>
    <row r="12" spans="1:23" x14ac:dyDescent="0.3">
      <c r="A12" s="7"/>
      <c r="B12" s="7"/>
      <c r="C12" s="12" t="s">
        <v>8</v>
      </c>
      <c r="D12" s="13">
        <f t="shared" si="0"/>
        <v>2121.5468941407216</v>
      </c>
      <c r="E12" s="13">
        <f t="shared" si="1"/>
        <v>5711.7991756772517</v>
      </c>
      <c r="F12" s="13">
        <f t="shared" si="2"/>
        <v>1590.959505796221</v>
      </c>
      <c r="G12" s="14">
        <f t="shared" si="3"/>
        <v>4279.2132271471</v>
      </c>
      <c r="H12" s="7"/>
      <c r="I12" s="7"/>
      <c r="J12" s="7"/>
      <c r="K12" s="128"/>
      <c r="L12" s="172" t="s">
        <v>248</v>
      </c>
      <c r="M12" s="172" t="s">
        <v>245</v>
      </c>
      <c r="N12" s="120" t="s">
        <v>246</v>
      </c>
      <c r="O12" s="121" t="s">
        <v>247</v>
      </c>
      <c r="P12" s="7"/>
      <c r="Q12" s="7"/>
      <c r="R12" s="7"/>
      <c r="S12" s="7"/>
      <c r="T12" s="7"/>
      <c r="U12" s="7"/>
      <c r="V12" s="7"/>
      <c r="W12" s="7"/>
    </row>
    <row r="13" spans="1:23" x14ac:dyDescent="0.3">
      <c r="A13" s="7"/>
      <c r="B13" s="7"/>
      <c r="C13" s="12" t="s">
        <v>9</v>
      </c>
      <c r="D13" s="13">
        <f t="shared" si="0"/>
        <v>1437.8899615723897</v>
      </c>
      <c r="E13" s="13">
        <f t="shared" si="1"/>
        <v>3870.2290368742256</v>
      </c>
      <c r="F13" s="13">
        <f t="shared" si="2"/>
        <v>1084.5779231202916</v>
      </c>
      <c r="G13" s="14">
        <f t="shared" si="3"/>
        <v>2916.286533053561</v>
      </c>
      <c r="H13" s="7"/>
      <c r="I13" s="7"/>
      <c r="J13" s="7"/>
      <c r="K13" s="57" t="s">
        <v>42</v>
      </c>
      <c r="L13" s="118"/>
      <c r="M13" s="118"/>
      <c r="N13" s="118"/>
      <c r="O13" s="119"/>
      <c r="P13" s="7"/>
      <c r="Q13" s="7"/>
      <c r="R13" s="7"/>
      <c r="S13" s="7"/>
      <c r="T13" s="7"/>
      <c r="U13" s="7"/>
      <c r="V13" s="7"/>
      <c r="W13" s="7"/>
    </row>
    <row r="14" spans="1:23" x14ac:dyDescent="0.3">
      <c r="A14" s="7"/>
      <c r="B14" s="7"/>
      <c r="C14" s="12" t="s">
        <v>10</v>
      </c>
      <c r="D14" s="13">
        <f t="shared" si="0"/>
        <v>870.44707404512019</v>
      </c>
      <c r="E14" s="13">
        <f t="shared" si="1"/>
        <v>2342.2331932331113</v>
      </c>
      <c r="F14" s="13">
        <f t="shared" si="2"/>
        <v>660.86257394594134</v>
      </c>
      <c r="G14" s="14">
        <f t="shared" si="3"/>
        <v>1776.3550429653285</v>
      </c>
      <c r="H14" s="7"/>
      <c r="I14" s="7"/>
      <c r="J14" s="7"/>
      <c r="K14" s="127" t="s">
        <v>43</v>
      </c>
      <c r="L14" s="118">
        <f>L9</f>
        <v>242.352</v>
      </c>
      <c r="M14" s="118">
        <f>L9</f>
        <v>242.352</v>
      </c>
      <c r="N14" s="118"/>
      <c r="O14" s="119"/>
      <c r="P14" s="7"/>
      <c r="Q14" s="7"/>
      <c r="R14" s="7"/>
      <c r="S14" s="7"/>
      <c r="T14" s="7"/>
      <c r="U14" s="7"/>
      <c r="V14" s="7"/>
      <c r="W14" s="7"/>
    </row>
    <row r="15" spans="1:23" x14ac:dyDescent="0.3">
      <c r="A15" s="7"/>
      <c r="B15" s="7"/>
      <c r="C15" s="12" t="s">
        <v>11</v>
      </c>
      <c r="D15" s="13">
        <f t="shared" si="0"/>
        <v>685.61373857208036</v>
      </c>
      <c r="E15" s="13">
        <f t="shared" si="1"/>
        <v>1844.3914371698875</v>
      </c>
      <c r="F15" s="13">
        <f t="shared" si="2"/>
        <v>523.66815997793185</v>
      </c>
      <c r="G15" s="14">
        <f t="shared" si="3"/>
        <v>1407.1383749656866</v>
      </c>
      <c r="H15" s="7"/>
      <c r="I15" s="7"/>
      <c r="J15" s="7"/>
      <c r="K15" s="127" t="s">
        <v>50</v>
      </c>
      <c r="L15" s="53">
        <v>0</v>
      </c>
      <c r="M15" s="53">
        <v>0</v>
      </c>
      <c r="N15" s="53">
        <v>0.3</v>
      </c>
      <c r="O15" s="71">
        <f>N15</f>
        <v>0.3</v>
      </c>
      <c r="P15" s="7"/>
      <c r="Q15" s="7"/>
      <c r="R15" s="7"/>
      <c r="S15" s="7"/>
      <c r="T15" s="7"/>
      <c r="U15" s="7"/>
      <c r="V15" s="7"/>
      <c r="W15" s="7"/>
    </row>
    <row r="16" spans="1:23" ht="15" thickBot="1" x14ac:dyDescent="0.35">
      <c r="A16" s="7"/>
      <c r="B16" s="7"/>
      <c r="C16" s="15" t="s">
        <v>23</v>
      </c>
      <c r="D16" s="16">
        <f>SUM(D4:D15)</f>
        <v>23612.335100422886</v>
      </c>
      <c r="E16" s="16">
        <f>SUM(E4:E15)</f>
        <v>63572.856914962016</v>
      </c>
      <c r="F16" s="16">
        <f>SUM(F4:F15)</f>
        <v>17695.191837711751</v>
      </c>
      <c r="G16" s="17">
        <f>SUM(G4:G15)</f>
        <v>47596.570105641949</v>
      </c>
      <c r="H16" s="7"/>
      <c r="I16" s="7"/>
      <c r="J16" s="7"/>
      <c r="K16" s="127" t="s">
        <v>51</v>
      </c>
      <c r="L16" s="118">
        <f>'rooftopfacade area'!F13</f>
        <v>81.384972584108169</v>
      </c>
      <c r="M16" s="118">
        <f>'rooftopfacade area'!D13</f>
        <v>219.73942597709205</v>
      </c>
      <c r="N16" s="118">
        <f>'rooftopfacade area'!F13</f>
        <v>81.384972584108169</v>
      </c>
      <c r="O16" s="119">
        <f>'rooftopfacade area'!D13</f>
        <v>219.73942597709205</v>
      </c>
      <c r="P16" s="7"/>
      <c r="Q16" s="7"/>
      <c r="R16" s="7"/>
      <c r="S16" s="7"/>
      <c r="T16" s="7"/>
      <c r="U16" s="7"/>
      <c r="V16" s="7"/>
      <c r="W16" s="7"/>
    </row>
    <row r="17" spans="1:23" x14ac:dyDescent="0.3">
      <c r="A17" s="7"/>
      <c r="B17" s="7"/>
      <c r="C17" s="4"/>
      <c r="H17" s="7"/>
      <c r="I17" s="7"/>
      <c r="J17" s="7"/>
      <c r="K17" s="127" t="s">
        <v>52</v>
      </c>
      <c r="L17" s="118">
        <f>L16</f>
        <v>81.384972584108169</v>
      </c>
      <c r="M17" s="118">
        <f>M16</f>
        <v>219.73942597709205</v>
      </c>
      <c r="N17" s="118">
        <f>N16*(1-N15)</f>
        <v>56.969480808875716</v>
      </c>
      <c r="O17" s="119">
        <f>O16*(1-O15)</f>
        <v>153.81759818396444</v>
      </c>
      <c r="P17" s="7">
        <v>56.969480808875701</v>
      </c>
      <c r="Q17" s="7">
        <v>153.81759818396444</v>
      </c>
      <c r="R17" s="7"/>
      <c r="S17" s="7"/>
      <c r="T17" s="7"/>
      <c r="U17" s="7"/>
      <c r="V17" s="7"/>
      <c r="W17" s="7"/>
    </row>
    <row r="18" spans="1:23" x14ac:dyDescent="0.3">
      <c r="A18" s="7"/>
      <c r="B18" s="7"/>
      <c r="C18" s="4"/>
      <c r="H18" s="7"/>
      <c r="I18" s="7"/>
      <c r="J18" s="7"/>
      <c r="K18" s="127" t="s">
        <v>280</v>
      </c>
      <c r="L18" s="118">
        <v>0</v>
      </c>
      <c r="M18" s="118">
        <v>0</v>
      </c>
      <c r="N18" s="118">
        <f t="shared" ref="N18" si="4">L18</f>
        <v>0</v>
      </c>
      <c r="O18" s="119">
        <f t="shared" ref="O18" si="5">M18</f>
        <v>0</v>
      </c>
      <c r="P18" s="7"/>
      <c r="Q18" s="7"/>
      <c r="R18" s="7"/>
      <c r="S18" s="7"/>
      <c r="T18" s="7"/>
      <c r="U18" s="7"/>
      <c r="V18" s="7"/>
      <c r="W18" s="7"/>
    </row>
    <row r="19" spans="1:23" x14ac:dyDescent="0.3">
      <c r="A19" s="7"/>
      <c r="B19" s="7"/>
      <c r="C19" s="4"/>
      <c r="H19" s="7"/>
      <c r="I19" s="7"/>
      <c r="J19" s="7"/>
      <c r="K19" s="127" t="s">
        <v>49</v>
      </c>
      <c r="L19" s="118">
        <f>L17-L18</f>
        <v>81.384972584108169</v>
      </c>
      <c r="M19" s="118">
        <f>M17-M18</f>
        <v>219.73942597709205</v>
      </c>
      <c r="N19" s="118">
        <f>N17-N18</f>
        <v>56.969480808875716</v>
      </c>
      <c r="O19" s="119">
        <f>O17-O18</f>
        <v>153.81759818396444</v>
      </c>
      <c r="P19" s="7"/>
      <c r="Q19" s="7"/>
      <c r="R19" s="7"/>
      <c r="S19" s="7"/>
      <c r="T19" s="7"/>
      <c r="U19" s="7"/>
      <c r="V19" s="7"/>
      <c r="W19" s="7"/>
    </row>
    <row r="20" spans="1:23" ht="15" thickBot="1" x14ac:dyDescent="0.35">
      <c r="A20" s="7"/>
      <c r="B20" s="7"/>
      <c r="C20" s="4"/>
      <c r="H20" s="7"/>
      <c r="I20" s="7"/>
      <c r="J20" s="7"/>
      <c r="K20" s="129" t="s">
        <v>44</v>
      </c>
      <c r="L20" s="122">
        <f>L14*L19</f>
        <v>19723.810875703784</v>
      </c>
      <c r="M20" s="122">
        <f>M14*M19</f>
        <v>53254.289364400218</v>
      </c>
      <c r="N20" s="122">
        <f>N19*L14</f>
        <v>13806.667612992647</v>
      </c>
      <c r="O20" s="123">
        <f>O19*M14</f>
        <v>37278.002555080151</v>
      </c>
      <c r="P20" s="7"/>
      <c r="Q20" s="7"/>
      <c r="R20" s="7"/>
      <c r="S20" s="7"/>
      <c r="T20" s="7"/>
      <c r="U20" s="7"/>
      <c r="V20" s="7"/>
      <c r="W20" s="7"/>
    </row>
    <row r="21" spans="1:23" ht="15" thickBot="1" x14ac:dyDescent="0.35">
      <c r="A21" s="7"/>
      <c r="B21" s="7"/>
      <c r="C21" s="4"/>
      <c r="H21" s="7"/>
      <c r="I21" s="7"/>
      <c r="J21" s="7"/>
      <c r="K21" s="7"/>
      <c r="L21" s="7"/>
      <c r="M21" s="7"/>
      <c r="N21" s="7"/>
      <c r="O21" s="23"/>
      <c r="P21" s="7"/>
      <c r="Q21" s="7"/>
      <c r="R21" s="7"/>
      <c r="S21" s="7"/>
      <c r="T21" s="7"/>
      <c r="U21" s="7"/>
      <c r="V21" s="7"/>
      <c r="W21" s="7"/>
    </row>
    <row r="22" spans="1:23" x14ac:dyDescent="0.3">
      <c r="A22" s="7"/>
      <c r="B22" s="7"/>
      <c r="C22" s="4"/>
      <c r="H22" s="7"/>
      <c r="I22" s="7"/>
      <c r="J22" s="7"/>
      <c r="K22" s="72" t="s">
        <v>45</v>
      </c>
      <c r="L22" s="120"/>
      <c r="M22" s="121"/>
      <c r="N22" s="7"/>
      <c r="O22" s="23"/>
      <c r="P22" s="7"/>
      <c r="Q22" s="7"/>
      <c r="R22" s="7"/>
      <c r="S22" s="7"/>
      <c r="T22" s="7"/>
      <c r="U22" s="7"/>
      <c r="V22" s="7"/>
      <c r="W22" s="7"/>
    </row>
    <row r="23" spans="1:23" x14ac:dyDescent="0.3">
      <c r="A23" s="7"/>
      <c r="B23" s="7"/>
      <c r="C23" s="4"/>
      <c r="H23" s="7"/>
      <c r="I23" s="7"/>
      <c r="J23" s="7"/>
      <c r="K23" s="127" t="s">
        <v>43</v>
      </c>
      <c r="L23" s="118">
        <f>L10</f>
        <v>152.49114606741574</v>
      </c>
      <c r="M23" s="119">
        <f>L10</f>
        <v>152.49114606741574</v>
      </c>
      <c r="N23" s="7"/>
      <c r="O23" s="23"/>
      <c r="P23" s="7"/>
      <c r="Q23" s="7"/>
      <c r="R23" s="7"/>
      <c r="S23" s="7"/>
      <c r="T23" s="7"/>
      <c r="U23" s="7"/>
      <c r="V23" s="7"/>
      <c r="W23" s="7"/>
    </row>
    <row r="24" spans="1:23" x14ac:dyDescent="0.3">
      <c r="A24" s="7"/>
      <c r="B24" s="7"/>
      <c r="C24" s="4"/>
      <c r="H24" s="7"/>
      <c r="I24" s="7"/>
      <c r="J24" s="7"/>
      <c r="K24" s="127"/>
      <c r="L24" s="118"/>
      <c r="M24" s="119"/>
      <c r="N24" s="7"/>
      <c r="O24" s="23"/>
      <c r="P24" s="7"/>
      <c r="Q24" s="7"/>
      <c r="R24" s="7"/>
      <c r="S24" s="7"/>
      <c r="T24" s="7"/>
      <c r="U24" s="7"/>
      <c r="V24" s="7"/>
      <c r="W24" s="7"/>
    </row>
    <row r="25" spans="1:23" x14ac:dyDescent="0.3">
      <c r="A25" s="7"/>
      <c r="B25" s="7"/>
      <c r="C25" s="4"/>
      <c r="H25" s="7"/>
      <c r="I25" s="7"/>
      <c r="J25" s="7"/>
      <c r="K25" s="127" t="s">
        <v>47</v>
      </c>
      <c r="L25" s="118">
        <f>'rooftopfacade area'!F22</f>
        <v>25.5</v>
      </c>
      <c r="M25" s="119">
        <f>'rooftopfacade area'!D22</f>
        <v>67.666666666666657</v>
      </c>
      <c r="N25" s="7"/>
      <c r="O25" s="23"/>
      <c r="P25" s="7"/>
      <c r="Q25" s="7"/>
      <c r="R25" s="7"/>
      <c r="S25" s="7"/>
      <c r="T25" s="7"/>
      <c r="U25" s="7"/>
      <c r="V25" s="7"/>
      <c r="W25" s="7"/>
    </row>
    <row r="26" spans="1:23" x14ac:dyDescent="0.3">
      <c r="A26" s="7"/>
      <c r="B26" s="7"/>
      <c r="C26" s="4"/>
      <c r="H26" s="7"/>
      <c r="I26" s="7"/>
      <c r="J26" s="7"/>
      <c r="K26" s="168" t="s">
        <v>44</v>
      </c>
      <c r="L26" s="169">
        <f>L25*L23</f>
        <v>3888.5242247191013</v>
      </c>
      <c r="M26" s="170">
        <f>M25*M23</f>
        <v>10318.567550561796</v>
      </c>
      <c r="N26" s="7"/>
      <c r="O26" s="23"/>
      <c r="P26" s="7"/>
      <c r="Q26" s="7"/>
      <c r="R26" s="7"/>
      <c r="S26" s="7"/>
      <c r="T26" s="7"/>
      <c r="U26" s="7"/>
      <c r="V26" s="7"/>
      <c r="W26" s="7"/>
    </row>
    <row r="27" spans="1:23" x14ac:dyDescent="0.3">
      <c r="A27" s="7"/>
      <c r="B27" s="7"/>
      <c r="C27" s="4"/>
      <c r="H27" s="7"/>
      <c r="I27" s="7"/>
      <c r="J27" s="7"/>
      <c r="K27" s="127"/>
      <c r="L27" s="118"/>
      <c r="M27" s="119"/>
      <c r="N27" s="7"/>
      <c r="O27" s="23"/>
      <c r="P27" s="7"/>
      <c r="Q27" s="7"/>
      <c r="R27" s="7"/>
      <c r="S27" s="7"/>
      <c r="T27" s="7"/>
      <c r="U27" s="7"/>
      <c r="V27" s="7"/>
      <c r="W27" s="7"/>
    </row>
    <row r="28" spans="1:23" ht="15" thickBot="1" x14ac:dyDescent="0.35">
      <c r="A28" s="7"/>
      <c r="B28" s="7"/>
      <c r="C28" s="24"/>
      <c r="D28" s="7"/>
      <c r="E28" s="7"/>
      <c r="F28" s="7"/>
      <c r="G28" s="7"/>
      <c r="H28" s="7"/>
      <c r="I28" s="7"/>
      <c r="J28" s="7"/>
      <c r="K28" s="129" t="s">
        <v>48</v>
      </c>
      <c r="L28" s="122">
        <f>L26+L20</f>
        <v>23612.335100422886</v>
      </c>
      <c r="M28" s="123">
        <f>M26+M20</f>
        <v>63572.856914962016</v>
      </c>
      <c r="N28" s="7"/>
      <c r="O28" s="23"/>
      <c r="P28" s="7"/>
      <c r="Q28" s="7"/>
      <c r="R28" s="7"/>
      <c r="S28" s="7"/>
      <c r="T28" s="7"/>
      <c r="U28" s="7"/>
      <c r="V28" s="7"/>
      <c r="W28" s="7"/>
    </row>
    <row r="29" spans="1:23" ht="15" thickBot="1" x14ac:dyDescent="0.35">
      <c r="A29" s="7"/>
      <c r="B29" s="7"/>
      <c r="C29" s="4"/>
      <c r="H29" s="7"/>
      <c r="I29" s="7"/>
      <c r="J29" s="7"/>
      <c r="K29" s="7"/>
      <c r="L29" s="7"/>
      <c r="M29" s="7"/>
      <c r="N29" s="7"/>
      <c r="O29" s="23"/>
      <c r="P29" s="7"/>
      <c r="Q29" s="7"/>
      <c r="R29" s="7"/>
      <c r="S29" s="7"/>
      <c r="T29" s="7"/>
      <c r="U29" s="7"/>
      <c r="V29" s="7"/>
      <c r="W29" s="7"/>
    </row>
    <row r="30" spans="1:23" x14ac:dyDescent="0.3">
      <c r="A30" s="7"/>
      <c r="B30" s="7"/>
      <c r="C30" s="4"/>
      <c r="H30" s="7"/>
      <c r="I30" s="7"/>
      <c r="J30" s="7"/>
      <c r="K30" s="128" t="s">
        <v>119</v>
      </c>
      <c r="L30" s="121" t="s">
        <v>118</v>
      </c>
      <c r="M30" s="7"/>
      <c r="N30" s="7"/>
      <c r="O30" s="23"/>
      <c r="P30" s="7"/>
      <c r="Q30" s="7"/>
      <c r="R30" s="7"/>
      <c r="S30" s="7"/>
      <c r="T30" s="7"/>
      <c r="U30" s="7"/>
      <c r="V30" s="7"/>
      <c r="W30" s="7"/>
    </row>
    <row r="31" spans="1:23" x14ac:dyDescent="0.3">
      <c r="A31" s="7"/>
      <c r="B31" s="7"/>
      <c r="C31" s="4"/>
      <c r="H31" s="7"/>
      <c r="I31" s="7"/>
      <c r="J31" s="7"/>
      <c r="K31" s="127">
        <v>3.5225403908457777E-2</v>
      </c>
      <c r="L31" s="119">
        <v>4.9032492596330232E-2</v>
      </c>
      <c r="M31" s="7"/>
      <c r="N31" s="7"/>
      <c r="O31" s="23"/>
      <c r="P31" s="7"/>
      <c r="Q31" s="7"/>
      <c r="R31" s="7"/>
      <c r="S31" s="7"/>
      <c r="T31" s="7"/>
      <c r="U31" s="7"/>
      <c r="V31" s="7"/>
      <c r="W31" s="7"/>
    </row>
    <row r="32" spans="1:23" x14ac:dyDescent="0.3">
      <c r="A32" s="7"/>
      <c r="B32" s="7"/>
      <c r="C32" s="4"/>
      <c r="H32" s="7"/>
      <c r="I32" s="7"/>
      <c r="J32" s="7"/>
      <c r="K32" s="127">
        <v>5.1655379884990103E-2</v>
      </c>
      <c r="L32" s="119">
        <v>6.5054958431501136E-2</v>
      </c>
      <c r="M32" s="7"/>
      <c r="N32" s="7"/>
      <c r="O32" s="23"/>
      <c r="P32" s="7"/>
      <c r="Q32" s="7"/>
      <c r="R32" s="7"/>
      <c r="S32" s="7"/>
      <c r="T32" s="7"/>
      <c r="U32" s="7"/>
      <c r="V32" s="7"/>
      <c r="W32" s="7"/>
    </row>
    <row r="33" spans="1:23" x14ac:dyDescent="0.3">
      <c r="A33" s="7"/>
      <c r="B33" s="7"/>
      <c r="C33" s="4"/>
      <c r="H33" s="7"/>
      <c r="I33" s="7"/>
      <c r="J33" s="7"/>
      <c r="K33" s="127">
        <v>8.4915148808340057E-2</v>
      </c>
      <c r="L33" s="119">
        <v>9.0049992417098573E-2</v>
      </c>
      <c r="M33" s="7"/>
      <c r="N33" s="7"/>
      <c r="O33" s="23"/>
      <c r="P33" s="7"/>
      <c r="Q33" s="7"/>
      <c r="R33" s="7"/>
      <c r="S33" s="7"/>
      <c r="T33" s="7"/>
      <c r="U33" s="7"/>
      <c r="V33" s="7"/>
      <c r="W33" s="7"/>
    </row>
    <row r="34" spans="1:23" x14ac:dyDescent="0.3">
      <c r="A34" s="7"/>
      <c r="B34" s="7"/>
      <c r="C34" s="4"/>
      <c r="H34" s="7"/>
      <c r="I34" s="7"/>
      <c r="J34" s="7"/>
      <c r="K34" s="127">
        <v>0.10455608726779517</v>
      </c>
      <c r="L34" s="119">
        <v>9.8118262464966133E-2</v>
      </c>
      <c r="M34" s="7"/>
      <c r="N34" s="7"/>
      <c r="O34" s="23"/>
      <c r="P34" s="7"/>
      <c r="Q34" s="7"/>
      <c r="R34" s="7"/>
      <c r="S34" s="7"/>
      <c r="T34" s="7"/>
      <c r="U34" s="7"/>
      <c r="V34" s="7"/>
      <c r="W34" s="7"/>
    </row>
    <row r="35" spans="1:23" x14ac:dyDescent="0.3">
      <c r="A35" s="7"/>
      <c r="B35" s="7"/>
      <c r="C35" s="4"/>
      <c r="H35" s="7"/>
      <c r="I35" s="7"/>
      <c r="J35" s="7"/>
      <c r="K35" s="127">
        <v>0.12407385282405876</v>
      </c>
      <c r="L35" s="119">
        <v>0.11019747060948848</v>
      </c>
      <c r="M35" s="7"/>
      <c r="N35" s="7"/>
      <c r="O35" s="23"/>
      <c r="P35" s="7"/>
      <c r="Q35" s="7"/>
      <c r="R35" s="7"/>
      <c r="S35" s="7"/>
      <c r="T35" s="7"/>
      <c r="U35" s="7"/>
      <c r="V35" s="7"/>
      <c r="W35" s="7"/>
    </row>
    <row r="36" spans="1:23" x14ac:dyDescent="0.3">
      <c r="A36" s="7"/>
      <c r="B36" s="7"/>
      <c r="C36" s="4"/>
      <c r="H36" s="7"/>
      <c r="I36" s="7"/>
      <c r="J36" s="7"/>
      <c r="K36" s="127">
        <v>0.12880846652653294</v>
      </c>
      <c r="L36" s="119">
        <v>0.11330534038757738</v>
      </c>
      <c r="M36" s="7"/>
      <c r="N36" s="7"/>
      <c r="O36" s="23"/>
      <c r="P36" s="7"/>
      <c r="Q36" s="7"/>
      <c r="R36" s="7"/>
      <c r="S36" s="7"/>
      <c r="T36" s="7"/>
      <c r="U36" s="7"/>
      <c r="V36" s="7"/>
      <c r="W36" s="7"/>
    </row>
    <row r="37" spans="1:23" x14ac:dyDescent="0.3">
      <c r="A37" s="7"/>
      <c r="B37" s="7"/>
      <c r="C37" s="4"/>
      <c r="H37" s="7"/>
      <c r="I37" s="7"/>
      <c r="J37" s="7"/>
      <c r="K37" s="127">
        <v>0.13711206669987797</v>
      </c>
      <c r="L37" s="119">
        <v>0.12175224871835696</v>
      </c>
      <c r="M37" s="7"/>
      <c r="N37" s="7"/>
      <c r="O37" s="23"/>
      <c r="P37" s="7"/>
      <c r="Q37" s="7"/>
      <c r="R37" s="7"/>
      <c r="S37" s="7"/>
      <c r="T37" s="7"/>
      <c r="U37" s="7"/>
      <c r="V37" s="7"/>
      <c r="W37" s="7"/>
    </row>
    <row r="38" spans="1:23" x14ac:dyDescent="0.3">
      <c r="A38" s="7"/>
      <c r="B38" s="7"/>
      <c r="C38" s="4"/>
      <c r="H38" s="7"/>
      <c r="I38" s="7"/>
      <c r="J38" s="7"/>
      <c r="K38" s="127">
        <v>0.12148541599958267</v>
      </c>
      <c r="L38" s="119">
        <v>0.11313553712523332</v>
      </c>
      <c r="M38" s="7"/>
      <c r="N38" s="7"/>
      <c r="O38" s="23"/>
      <c r="P38" s="7"/>
      <c r="Q38" s="7"/>
      <c r="R38" s="7"/>
      <c r="S38" s="7"/>
      <c r="T38" s="7"/>
      <c r="U38" s="7"/>
      <c r="V38" s="7"/>
      <c r="W38" s="7"/>
    </row>
    <row r="39" spans="1:23" x14ac:dyDescent="0.3">
      <c r="A39" s="7"/>
      <c r="B39" s="7"/>
      <c r="C39" s="4"/>
      <c r="H39" s="7"/>
      <c r="I39" s="7"/>
      <c r="J39" s="7"/>
      <c r="K39" s="127">
        <v>8.9669518682803456E-2</v>
      </c>
      <c r="L39" s="119">
        <v>9.075995054427459E-2</v>
      </c>
      <c r="M39" s="7"/>
      <c r="N39" s="7"/>
      <c r="O39" s="23"/>
      <c r="P39" s="7"/>
      <c r="Q39" s="7"/>
      <c r="R39" s="7"/>
      <c r="S39" s="7"/>
      <c r="T39" s="7"/>
      <c r="U39" s="7"/>
      <c r="V39" s="7"/>
      <c r="W39" s="7"/>
    </row>
    <row r="40" spans="1:23" x14ac:dyDescent="0.3">
      <c r="A40" s="7"/>
      <c r="B40" s="7"/>
      <c r="C40" s="4"/>
      <c r="H40" s="7"/>
      <c r="I40" s="7"/>
      <c r="J40" s="7"/>
      <c r="K40" s="127">
        <v>5.9709901005543041E-2</v>
      </c>
      <c r="L40" s="119">
        <v>6.6910517125776309E-2</v>
      </c>
      <c r="M40" s="7"/>
      <c r="N40" s="7"/>
      <c r="O40" s="23"/>
      <c r="P40" s="7"/>
      <c r="Q40" s="7"/>
      <c r="R40" s="7"/>
      <c r="S40" s="7"/>
      <c r="T40" s="7"/>
      <c r="U40" s="7"/>
      <c r="V40" s="7"/>
      <c r="W40" s="7"/>
    </row>
    <row r="41" spans="1:23" x14ac:dyDescent="0.3">
      <c r="A41" s="7"/>
      <c r="B41" s="7"/>
      <c r="C41" s="4"/>
      <c r="H41" s="7"/>
      <c r="I41" s="7"/>
      <c r="J41" s="7"/>
      <c r="K41" s="127">
        <v>3.5419879288700995E-2</v>
      </c>
      <c r="L41" s="119">
        <v>4.4189534071100475E-2</v>
      </c>
      <c r="M41" s="7"/>
      <c r="N41" s="7"/>
      <c r="O41" s="23"/>
      <c r="P41" s="7"/>
      <c r="Q41" s="7"/>
      <c r="R41" s="7"/>
      <c r="S41" s="7"/>
      <c r="T41" s="7"/>
      <c r="U41" s="7"/>
      <c r="V41" s="7"/>
      <c r="W41" s="7"/>
    </row>
    <row r="42" spans="1:23" x14ac:dyDescent="0.3">
      <c r="A42" s="7"/>
      <c r="B42" s="7"/>
      <c r="C42" s="4"/>
      <c r="H42" s="7"/>
      <c r="I42" s="7"/>
      <c r="J42" s="7"/>
      <c r="K42" s="127">
        <v>2.7368879103317111E-2</v>
      </c>
      <c r="L42" s="119">
        <v>3.7493695508296392E-2</v>
      </c>
      <c r="M42" s="7"/>
      <c r="N42" s="7"/>
      <c r="O42" s="23"/>
      <c r="P42" s="7"/>
      <c r="Q42" s="7"/>
      <c r="R42" s="7"/>
      <c r="S42" s="7"/>
      <c r="T42" s="7"/>
      <c r="U42" s="7"/>
      <c r="V42" s="7"/>
      <c r="W42" s="7"/>
    </row>
    <row r="43" spans="1:23" ht="15" thickBot="1" x14ac:dyDescent="0.35">
      <c r="A43" s="7"/>
      <c r="B43" s="7"/>
      <c r="C43" s="5"/>
      <c r="D43" s="6"/>
      <c r="E43" s="6"/>
      <c r="F43" s="6"/>
      <c r="G43" s="6"/>
      <c r="H43" s="26"/>
      <c r="I43" s="26"/>
      <c r="J43" s="26"/>
      <c r="K43" s="171">
        <f>SUM(K31:K42)</f>
        <v>1</v>
      </c>
      <c r="L43" s="123">
        <v>1</v>
      </c>
      <c r="M43" s="26"/>
      <c r="N43" s="26"/>
      <c r="O43" s="27"/>
      <c r="P43" s="7"/>
      <c r="Q43" s="7"/>
      <c r="R43" s="7"/>
      <c r="S43" s="7"/>
      <c r="T43" s="7"/>
      <c r="U43" s="7"/>
      <c r="V43" s="7"/>
      <c r="W43" s="7"/>
    </row>
  </sheetData>
  <mergeCells count="2">
    <mergeCell ref="C2:E2"/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8809-DCA3-4DE7-8078-C4115C3BC263}">
  <dimension ref="B2:T12"/>
  <sheetViews>
    <sheetView workbookViewId="0">
      <selection activeCell="C29" sqref="C29"/>
    </sheetView>
  </sheetViews>
  <sheetFormatPr defaultRowHeight="14.4" x14ac:dyDescent="0.3"/>
  <sheetData>
    <row r="2" spans="2:20" ht="15" thickBot="1" x14ac:dyDescent="0.35"/>
    <row r="3" spans="2:20" x14ac:dyDescent="0.3">
      <c r="B3" s="17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294</v>
      </c>
      <c r="Q3" s="3"/>
      <c r="R3" s="3">
        <v>3.8</v>
      </c>
      <c r="S3" s="3">
        <v>36000</v>
      </c>
      <c r="T3" s="175">
        <v>1</v>
      </c>
    </row>
    <row r="4" spans="2:20" x14ac:dyDescent="0.3">
      <c r="B4" s="4" t="s">
        <v>285</v>
      </c>
      <c r="C4" s="176"/>
      <c r="D4" s="176" t="s">
        <v>192</v>
      </c>
      <c r="E4" s="176"/>
      <c r="F4" s="176" t="s">
        <v>208</v>
      </c>
      <c r="G4" s="176"/>
      <c r="H4" s="176" t="s">
        <v>283</v>
      </c>
      <c r="I4" s="176"/>
      <c r="J4" s="176" t="s">
        <v>184</v>
      </c>
      <c r="K4" s="176"/>
      <c r="L4" s="176" t="s">
        <v>284</v>
      </c>
      <c r="M4" s="176"/>
      <c r="N4" s="176"/>
      <c r="O4" s="176"/>
      <c r="P4" s="176" t="s">
        <v>169</v>
      </c>
      <c r="Q4" s="176" t="s">
        <v>99</v>
      </c>
      <c r="R4" s="176"/>
      <c r="S4" s="176"/>
      <c r="T4" s="177"/>
    </row>
    <row r="5" spans="2:20" ht="15" thickBot="1" x14ac:dyDescent="0.35">
      <c r="B5" s="5">
        <v>0.04</v>
      </c>
      <c r="C5" s="6"/>
      <c r="D5" s="6">
        <f>2/3</f>
        <v>0.66666666666666663</v>
      </c>
      <c r="E5" s="6"/>
      <c r="F5" s="6">
        <v>600</v>
      </c>
      <c r="G5" s="6"/>
      <c r="H5" s="6">
        <f>1/3</f>
        <v>0.33333333333333331</v>
      </c>
      <c r="I5" s="6"/>
      <c r="J5" s="6">
        <v>0.5</v>
      </c>
      <c r="K5" s="6"/>
      <c r="L5" s="6">
        <v>200</v>
      </c>
      <c r="M5" s="6"/>
      <c r="N5" s="6"/>
      <c r="O5" s="6"/>
      <c r="P5" s="6">
        <f>S3*T3</f>
        <v>36000</v>
      </c>
      <c r="Q5" s="6">
        <f>P5*R3</f>
        <v>136800</v>
      </c>
      <c r="R5" s="6"/>
      <c r="S5" s="6"/>
      <c r="T5" s="178"/>
    </row>
    <row r="9" spans="2:20" ht="15" thickBot="1" x14ac:dyDescent="0.35"/>
    <row r="10" spans="2:20" x14ac:dyDescent="0.3">
      <c r="B10" s="174"/>
      <c r="C10" s="3" t="s">
        <v>296</v>
      </c>
      <c r="D10" s="175" t="s">
        <v>295</v>
      </c>
    </row>
    <row r="11" spans="2:20" x14ac:dyDescent="0.3">
      <c r="B11" s="4" t="s">
        <v>309</v>
      </c>
      <c r="C11" s="176">
        <v>0</v>
      </c>
      <c r="D11" s="177">
        <f>0.155</f>
        <v>0.155</v>
      </c>
      <c r="F11" s="179"/>
    </row>
    <row r="12" spans="2:20" ht="15" thickBot="1" x14ac:dyDescent="0.35">
      <c r="B12" s="5" t="s">
        <v>166</v>
      </c>
      <c r="C12" s="6">
        <v>0.21</v>
      </c>
      <c r="D12" s="178">
        <v>0.31</v>
      </c>
      <c r="F1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DHW real</vt:lpstr>
      <vt:lpstr>space heat</vt:lpstr>
      <vt:lpstr>Spatial dimension</vt:lpstr>
      <vt:lpstr>Electricity demand</vt:lpstr>
      <vt:lpstr>rooftopfacade area</vt:lpstr>
      <vt:lpstr>PV efficiency</vt:lpstr>
      <vt:lpstr>Storage eff.</vt:lpstr>
      <vt:lpstr>Electricity prod.</vt:lpstr>
      <vt:lpstr>sensitivity</vt:lpstr>
      <vt:lpstr>Cases</vt:lpstr>
      <vt:lpstr>price table</vt:lpstr>
      <vt:lpstr>1Price SNPU</vt:lpstr>
      <vt:lpstr>2Price SNPR</vt:lpstr>
      <vt:lpstr>3Price SNCU</vt:lpstr>
      <vt:lpstr>4Price SNCR</vt:lpstr>
      <vt:lpstr>5Price SRPU</vt:lpstr>
      <vt:lpstr>6Price SRPR</vt:lpstr>
      <vt:lpstr>7Price SRCU</vt:lpstr>
      <vt:lpstr>8Price SRCR</vt:lpstr>
      <vt:lpstr>1Price MNPU</vt:lpstr>
      <vt:lpstr>2Price MNPR</vt:lpstr>
      <vt:lpstr>3Price MNCU</vt:lpstr>
      <vt:lpstr>4Price MNCR</vt:lpstr>
      <vt:lpstr>5Price MRPU</vt:lpstr>
      <vt:lpstr>6Price MRPR</vt:lpstr>
      <vt:lpstr>7Price MRCU</vt:lpstr>
      <vt:lpstr>8Price MRCR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Ursin</dc:creator>
  <cp:lastModifiedBy>Ursin</cp:lastModifiedBy>
  <cp:lastPrinted>2018-12-21T10:35:22Z</cp:lastPrinted>
  <dcterms:created xsi:type="dcterms:W3CDTF">2018-11-01T23:25:00Z</dcterms:created>
  <dcterms:modified xsi:type="dcterms:W3CDTF">2019-07-31T12:05:32Z</dcterms:modified>
</cp:coreProperties>
</file>