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sin\OneDrive\Dokumente\Masterarbeit\Paper\publishingExcel\"/>
    </mc:Choice>
  </mc:AlternateContent>
  <xr:revisionPtr revIDLastSave="44946" documentId="8_{E3F9766F-CD31-4814-BF7F-4F7D9A7DB177}" xr6:coauthVersionLast="43" xr6:coauthVersionMax="43" xr10:uidLastSave="{907A1E39-6A0A-4BCF-9B12-160297AE302E}"/>
  <bookViews>
    <workbookView xWindow="-108" yWindow="-108" windowWidth="23256" windowHeight="12576" tabRatio="804" firstSheet="5" activeTab="9" xr2:uid="{096819B6-19D8-40DC-A4EB-C8BAA3F99899}"/>
  </bookViews>
  <sheets>
    <sheet name="DHW real" sheetId="7" r:id="rId1"/>
    <sheet name="space heat" sheetId="2" r:id="rId2"/>
    <sheet name="Spatial dimension" sheetId="5" r:id="rId3"/>
    <sheet name="Electricity demand" sheetId="3" r:id="rId4"/>
    <sheet name="rooftopfacade area" sheetId="11" r:id="rId5"/>
    <sheet name="PV efficiency" sheetId="12" r:id="rId6"/>
    <sheet name="Storage eff." sheetId="15" r:id="rId7"/>
    <sheet name="Electricity prod." sheetId="4" r:id="rId8"/>
    <sheet name="75%LCOE sheet " sheetId="41" r:id="rId9"/>
    <sheet name="Cases" sheetId="6" r:id="rId10"/>
    <sheet name="sensitivity" sheetId="42" r:id="rId11"/>
    <sheet name="1Price SNPU" sheetId="30" r:id="rId12"/>
    <sheet name="2Price SNPR" sheetId="33" r:id="rId13"/>
    <sheet name="3Price SNCU" sheetId="34" r:id="rId14"/>
    <sheet name="4Price SNCR" sheetId="35" r:id="rId15"/>
    <sheet name="5Price SRPU" sheetId="36" r:id="rId16"/>
    <sheet name="6Price SRPR" sheetId="37" r:id="rId17"/>
    <sheet name="7Price SRCU" sheetId="38" r:id="rId18"/>
    <sheet name="8Price SRCR" sheetId="39" r:id="rId19"/>
    <sheet name="1Price MNPU" sheetId="31" r:id="rId20"/>
    <sheet name="2Price MNPR" sheetId="32" r:id="rId21"/>
    <sheet name="3Price MNCU" sheetId="24" r:id="rId22"/>
    <sheet name="4Price MNCR" sheetId="25" r:id="rId23"/>
    <sheet name="5Price MRPU" sheetId="26" r:id="rId24"/>
    <sheet name="6Price MRPR" sheetId="27" r:id="rId25"/>
    <sheet name="7Price MRCU" sheetId="28" r:id="rId26"/>
    <sheet name="8Price MRCR" sheetId="29" r:id="rId27"/>
    <sheet name="cost splitting" sheetId="43" r:id="rId28"/>
  </sheets>
  <definedNames>
    <definedName name="solver_adj" localSheetId="9" hidden="1">Cases!$D$39,Cases!$C$40</definedName>
    <definedName name="solver_cvg" localSheetId="9" hidden="1">0.0001</definedName>
    <definedName name="solver_drv" localSheetId="9" hidden="1">1</definedName>
    <definedName name="solver_eng" localSheetId="8" hidden="1">1</definedName>
    <definedName name="solver_eng" localSheetId="9" hidden="1">1</definedName>
    <definedName name="solver_eng" localSheetId="7" hidden="1">1</definedName>
    <definedName name="solver_est" localSheetId="9" hidden="1">1</definedName>
    <definedName name="solver_itr" localSheetId="9" hidden="1">2147483647</definedName>
    <definedName name="solver_lhs1" localSheetId="9" hidden="1">Cases!$C$39</definedName>
    <definedName name="solver_lhs2" localSheetId="9" hidden="1">Cases!$C$40</definedName>
    <definedName name="solver_lhs3" localSheetId="9" hidden="1">Cases!$S$38</definedName>
    <definedName name="solver_mip" localSheetId="9" hidden="1">2147483647</definedName>
    <definedName name="solver_mni" localSheetId="9" hidden="1">30</definedName>
    <definedName name="solver_mrt" localSheetId="9" hidden="1">0.075</definedName>
    <definedName name="solver_msl" localSheetId="9" hidden="1">2</definedName>
    <definedName name="solver_neg" localSheetId="8" hidden="1">1</definedName>
    <definedName name="solver_neg" localSheetId="9" hidden="1">1</definedName>
    <definedName name="solver_neg" localSheetId="7" hidden="1">1</definedName>
    <definedName name="solver_nod" localSheetId="9" hidden="1">2147483647</definedName>
    <definedName name="solver_num" localSheetId="8" hidden="1">0</definedName>
    <definedName name="solver_num" localSheetId="9" hidden="1">2</definedName>
    <definedName name="solver_num" localSheetId="7" hidden="1">0</definedName>
    <definedName name="solver_nwt" localSheetId="9" hidden="1">1</definedName>
    <definedName name="solver_opt" localSheetId="8" hidden="1">'75%LCOE sheet '!$AF$11</definedName>
    <definedName name="solver_opt" localSheetId="9" hidden="1">Cases!$C$38</definedName>
    <definedName name="solver_opt" localSheetId="7" hidden="1">'Electricity prod.'!$L$3</definedName>
    <definedName name="solver_pre" localSheetId="9" hidden="1">0.000001</definedName>
    <definedName name="solver_rbv" localSheetId="9" hidden="1">1</definedName>
    <definedName name="solver_rel1" localSheetId="9" hidden="1">1</definedName>
    <definedName name="solver_rel2" localSheetId="9" hidden="1">1</definedName>
    <definedName name="solver_rel3" localSheetId="9" hidden="1">3</definedName>
    <definedName name="solver_rhs1" localSheetId="9" hidden="1">1</definedName>
    <definedName name="solver_rhs2" localSheetId="9" hidden="1">8</definedName>
    <definedName name="solver_rhs3" localSheetId="9" hidden="1">0</definedName>
    <definedName name="solver_rlx" localSheetId="9" hidden="1">2</definedName>
    <definedName name="solver_rsd" localSheetId="9" hidden="1">0</definedName>
    <definedName name="solver_scl" localSheetId="9" hidden="1">1</definedName>
    <definedName name="solver_sho" localSheetId="9" hidden="1">2</definedName>
    <definedName name="solver_ssz" localSheetId="9" hidden="1">100</definedName>
    <definedName name="solver_tim" localSheetId="9" hidden="1">2147483647</definedName>
    <definedName name="solver_tol" localSheetId="9" hidden="1">0.01</definedName>
    <definedName name="solver_typ" localSheetId="8" hidden="1">1</definedName>
    <definedName name="solver_typ" localSheetId="9" hidden="1">3</definedName>
    <definedName name="solver_typ" localSheetId="7" hidden="1">1</definedName>
    <definedName name="solver_val" localSheetId="8" hidden="1">0</definedName>
    <definedName name="solver_val" localSheetId="9" hidden="1">0</definedName>
    <definedName name="solver_val" localSheetId="7" hidden="1">0</definedName>
    <definedName name="solver_ver" localSheetId="8" hidden="1">3</definedName>
    <definedName name="solver_ver" localSheetId="9" hidden="1">3</definedName>
    <definedName name="solver_ver" localSheetId="7" hidden="1">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4" l="1"/>
  <c r="C5" i="32"/>
  <c r="F40" i="6" l="1"/>
  <c r="C62" i="33" l="1"/>
  <c r="H60" i="33"/>
  <c r="H60" i="31"/>
  <c r="C10" i="15" l="1"/>
  <c r="C7" i="15"/>
  <c r="H60" i="30" l="1"/>
  <c r="C62" i="30"/>
  <c r="C64" i="30" s="1"/>
  <c r="P5" i="42" l="1"/>
  <c r="C37" i="38" s="1"/>
  <c r="D31" i="41"/>
  <c r="E31" i="41"/>
  <c r="F31" i="41"/>
  <c r="G31" i="41"/>
  <c r="H31" i="41"/>
  <c r="I31" i="41"/>
  <c r="J31" i="41"/>
  <c r="K31" i="41"/>
  <c r="M31" i="41"/>
  <c r="N31" i="41"/>
  <c r="O31" i="41"/>
  <c r="P31" i="41"/>
  <c r="Q31" i="41"/>
  <c r="R31" i="41"/>
  <c r="S31" i="41"/>
  <c r="T31" i="41"/>
  <c r="V31" i="41"/>
  <c r="W31" i="41"/>
  <c r="X31" i="41"/>
  <c r="Y31" i="41"/>
  <c r="Z31" i="41"/>
  <c r="AA31" i="41"/>
  <c r="AB31" i="41"/>
  <c r="AC31" i="41"/>
  <c r="AE31" i="41"/>
  <c r="AF31" i="41"/>
  <c r="AG31" i="41"/>
  <c r="AH31" i="41"/>
  <c r="AI31" i="41"/>
  <c r="AJ31" i="41"/>
  <c r="AK31" i="41"/>
  <c r="AL31" i="41"/>
  <c r="AL27" i="41"/>
  <c r="C37" i="39"/>
  <c r="C37" i="37"/>
  <c r="C37" i="36"/>
  <c r="C37" i="35"/>
  <c r="C37" i="34"/>
  <c r="C37" i="33"/>
  <c r="C37" i="30"/>
  <c r="Q5" i="42"/>
  <c r="C39" i="27" s="1"/>
  <c r="C39" i="24" l="1"/>
  <c r="C39" i="28"/>
  <c r="C39" i="25"/>
  <c r="C39" i="29"/>
  <c r="C39" i="31"/>
  <c r="C39" i="26"/>
  <c r="C39" i="32"/>
  <c r="C39" i="6"/>
  <c r="L51" i="43" l="1"/>
  <c r="P51" i="43"/>
  <c r="E52" i="43"/>
  <c r="L52" i="43"/>
  <c r="M52" i="43"/>
  <c r="E53" i="43"/>
  <c r="F53" i="43"/>
  <c r="M53" i="43"/>
  <c r="N53" i="43"/>
  <c r="D53" i="43"/>
  <c r="D54" i="43"/>
  <c r="L38" i="43"/>
  <c r="P38" i="43"/>
  <c r="E39" i="43"/>
  <c r="L39" i="43"/>
  <c r="M39" i="43"/>
  <c r="E40" i="43"/>
  <c r="F40" i="43"/>
  <c r="L40" i="43"/>
  <c r="P40" i="43"/>
  <c r="Q40" i="43"/>
  <c r="AJ25" i="43"/>
  <c r="AI25" i="43"/>
  <c r="AH25" i="43"/>
  <c r="AG25" i="43"/>
  <c r="AF25" i="43"/>
  <c r="AE25" i="43"/>
  <c r="AD25" i="43"/>
  <c r="AC25" i="43"/>
  <c r="AB25" i="43"/>
  <c r="AA25" i="43"/>
  <c r="Z25" i="43"/>
  <c r="Y25" i="43"/>
  <c r="X25" i="43"/>
  <c r="W25" i="43"/>
  <c r="V25" i="43"/>
  <c r="U25" i="43"/>
  <c r="AJ10" i="43"/>
  <c r="AI10" i="43"/>
  <c r="AH10" i="43"/>
  <c r="AG10" i="43"/>
  <c r="AF10" i="43"/>
  <c r="AE10" i="43"/>
  <c r="AD10" i="43"/>
  <c r="AC10" i="43"/>
  <c r="AB10" i="43"/>
  <c r="AA10" i="43"/>
  <c r="Z10" i="43"/>
  <c r="Y10" i="43"/>
  <c r="X10" i="43"/>
  <c r="W10" i="43"/>
  <c r="V10" i="43"/>
  <c r="U10" i="43"/>
  <c r="M27" i="43"/>
  <c r="M51" i="43" s="1"/>
  <c r="N27" i="43"/>
  <c r="N52" i="43" s="1"/>
  <c r="O27" i="43"/>
  <c r="O53" i="43" s="1"/>
  <c r="P27" i="43"/>
  <c r="P54" i="43" s="1"/>
  <c r="Q27" i="43"/>
  <c r="Q51" i="43" s="1"/>
  <c r="R27" i="43"/>
  <c r="R52" i="43" s="1"/>
  <c r="S27" i="43"/>
  <c r="S53" i="43" s="1"/>
  <c r="L27" i="43"/>
  <c r="L54" i="43" s="1"/>
  <c r="E27" i="43"/>
  <c r="E51" i="43" s="1"/>
  <c r="F27" i="43"/>
  <c r="F52" i="43" s="1"/>
  <c r="G27" i="43"/>
  <c r="G53" i="43" s="1"/>
  <c r="H27" i="43"/>
  <c r="H54" i="43" s="1"/>
  <c r="I27" i="43"/>
  <c r="I51" i="43" s="1"/>
  <c r="J27" i="43"/>
  <c r="J52" i="43" s="1"/>
  <c r="K27" i="43"/>
  <c r="K53" i="43" s="1"/>
  <c r="D27" i="43"/>
  <c r="D51" i="43" s="1"/>
  <c r="M12" i="43"/>
  <c r="M38" i="43" s="1"/>
  <c r="N12" i="43"/>
  <c r="N39" i="43" s="1"/>
  <c r="O12" i="43"/>
  <c r="O40" i="43" s="1"/>
  <c r="P12" i="43"/>
  <c r="P41" i="43" s="1"/>
  <c r="Q12" i="43"/>
  <c r="Q38" i="43" s="1"/>
  <c r="R12" i="43"/>
  <c r="R39" i="43" s="1"/>
  <c r="S12" i="43"/>
  <c r="S40" i="43" s="1"/>
  <c r="L12" i="43"/>
  <c r="L41" i="43" s="1"/>
  <c r="E12" i="43"/>
  <c r="E38" i="43" s="1"/>
  <c r="F12" i="43"/>
  <c r="F39" i="43" s="1"/>
  <c r="G12" i="43"/>
  <c r="G40" i="43" s="1"/>
  <c r="H12" i="43"/>
  <c r="H41" i="43" s="1"/>
  <c r="I12" i="43"/>
  <c r="I38" i="43" s="1"/>
  <c r="J12" i="43"/>
  <c r="J39" i="43" s="1"/>
  <c r="K12" i="43"/>
  <c r="K40" i="43" s="1"/>
  <c r="D12" i="43"/>
  <c r="D40" i="43" s="1"/>
  <c r="C19" i="29"/>
  <c r="C2" i="29"/>
  <c r="N78" i="29"/>
  <c r="L87" i="29"/>
  <c r="C2" i="28"/>
  <c r="C19" i="28"/>
  <c r="N78" i="28"/>
  <c r="L87" i="28"/>
  <c r="C19" i="27"/>
  <c r="C2" i="27"/>
  <c r="N78" i="27"/>
  <c r="L87" i="27"/>
  <c r="C2" i="26"/>
  <c r="C19" i="26"/>
  <c r="N78" i="26"/>
  <c r="L87" i="26"/>
  <c r="C2" i="25"/>
  <c r="C19" i="25"/>
  <c r="K57" i="25"/>
  <c r="N78" i="25"/>
  <c r="L87" i="25"/>
  <c r="C2" i="24"/>
  <c r="C19" i="24"/>
  <c r="N78" i="24"/>
  <c r="L87" i="24"/>
  <c r="C2" i="32"/>
  <c r="C19" i="32"/>
  <c r="K57" i="32"/>
  <c r="N78" i="32"/>
  <c r="L87" i="32"/>
  <c r="C2" i="31"/>
  <c r="C19" i="31"/>
  <c r="N78" i="31"/>
  <c r="L87" i="31"/>
  <c r="C2" i="39"/>
  <c r="C19" i="39"/>
  <c r="M57" i="39"/>
  <c r="N78" i="39"/>
  <c r="L87" i="39"/>
  <c r="C19" i="38"/>
  <c r="C2" i="38"/>
  <c r="N78" i="38"/>
  <c r="L87" i="38"/>
  <c r="L87" i="37"/>
  <c r="N78" i="37"/>
  <c r="M57" i="37"/>
  <c r="C19" i="37"/>
  <c r="C2" i="37"/>
  <c r="L87" i="36"/>
  <c r="N78" i="36"/>
  <c r="C19" i="36"/>
  <c r="C2" i="36"/>
  <c r="C2" i="35"/>
  <c r="C19" i="35"/>
  <c r="K57" i="35"/>
  <c r="N78" i="35"/>
  <c r="L87" i="35"/>
  <c r="L87" i="34"/>
  <c r="N78" i="34"/>
  <c r="M57" i="34"/>
  <c r="C19" i="34"/>
  <c r="C2" i="34"/>
  <c r="L87" i="33"/>
  <c r="N78" i="33"/>
  <c r="M57" i="33"/>
  <c r="C19" i="33"/>
  <c r="C2" i="33"/>
  <c r="C2" i="30"/>
  <c r="C19" i="30"/>
  <c r="N78" i="30"/>
  <c r="L87" i="30"/>
  <c r="H5" i="42"/>
  <c r="M57" i="25" s="1"/>
  <c r="D5" i="42"/>
  <c r="K57" i="29" s="1"/>
  <c r="C39" i="30"/>
  <c r="M57" i="27" l="1"/>
  <c r="M57" i="29"/>
  <c r="K57" i="30"/>
  <c r="K57" i="34"/>
  <c r="K57" i="36"/>
  <c r="K57" i="38"/>
  <c r="M57" i="31"/>
  <c r="K57" i="24"/>
  <c r="K57" i="26"/>
  <c r="M57" i="28"/>
  <c r="M57" i="36"/>
  <c r="M57" i="38"/>
  <c r="K57" i="31"/>
  <c r="M57" i="24"/>
  <c r="M57" i="26"/>
  <c r="K57" i="28"/>
  <c r="M57" i="30"/>
  <c r="K57" i="33"/>
  <c r="M57" i="35"/>
  <c r="K57" i="37"/>
  <c r="K57" i="39"/>
  <c r="M57" i="32"/>
  <c r="K57" i="27"/>
  <c r="J40" i="43"/>
  <c r="N40" i="43"/>
  <c r="I40" i="43"/>
  <c r="Q39" i="43"/>
  <c r="I39" i="43"/>
  <c r="R53" i="43"/>
  <c r="J53" i="43"/>
  <c r="Q52" i="43"/>
  <c r="I52" i="43"/>
  <c r="R40" i="43"/>
  <c r="M40" i="43"/>
  <c r="H40" i="43"/>
  <c r="P39" i="43"/>
  <c r="H39" i="43"/>
  <c r="H38" i="43"/>
  <c r="Q53" i="43"/>
  <c r="I53" i="43"/>
  <c r="P52" i="43"/>
  <c r="H52" i="43"/>
  <c r="H51" i="43"/>
  <c r="S41" i="43"/>
  <c r="O41" i="43"/>
  <c r="G41" i="43"/>
  <c r="S54" i="43"/>
  <c r="O54" i="43"/>
  <c r="K54" i="43"/>
  <c r="G54" i="43"/>
  <c r="R41" i="43"/>
  <c r="N41" i="43"/>
  <c r="J41" i="43"/>
  <c r="K38" i="43"/>
  <c r="N54" i="43"/>
  <c r="F54" i="43"/>
  <c r="O51" i="43"/>
  <c r="Q41" i="43"/>
  <c r="M41" i="43"/>
  <c r="I41" i="43"/>
  <c r="E41" i="43"/>
  <c r="S39" i="43"/>
  <c r="O39" i="43"/>
  <c r="K39" i="43"/>
  <c r="G39" i="43"/>
  <c r="R38" i="43"/>
  <c r="N38" i="43"/>
  <c r="J38" i="43"/>
  <c r="F38" i="43"/>
  <c r="D52" i="43"/>
  <c r="Q54" i="43"/>
  <c r="M54" i="43"/>
  <c r="I54" i="43"/>
  <c r="E54" i="43"/>
  <c r="P53" i="43"/>
  <c r="L53" i="43"/>
  <c r="H53" i="43"/>
  <c r="S52" i="43"/>
  <c r="O52" i="43"/>
  <c r="K52" i="43"/>
  <c r="G52" i="43"/>
  <c r="R51" i="43"/>
  <c r="N51" i="43"/>
  <c r="J51" i="43"/>
  <c r="F51" i="43"/>
  <c r="K41" i="43"/>
  <c r="F41" i="43"/>
  <c r="S38" i="43"/>
  <c r="O38" i="43"/>
  <c r="G38" i="43"/>
  <c r="R54" i="43"/>
  <c r="J54" i="43"/>
  <c r="S51" i="43"/>
  <c r="K51" i="43"/>
  <c r="G51" i="43"/>
  <c r="N16" i="4"/>
  <c r="C39" i="39" l="1"/>
  <c r="C39" i="38"/>
  <c r="C39" i="37"/>
  <c r="C39" i="36"/>
  <c r="C39" i="35"/>
  <c r="C39" i="34"/>
  <c r="C39" i="33"/>
  <c r="AP10" i="41" l="1"/>
  <c r="AQ10" i="41"/>
  <c r="AR10" i="41"/>
  <c r="AS10" i="41"/>
  <c r="AT10" i="41"/>
  <c r="AU10" i="41"/>
  <c r="AV10" i="41"/>
  <c r="AX10" i="41"/>
  <c r="AY10" i="41"/>
  <c r="AZ10" i="41"/>
  <c r="BA10" i="41"/>
  <c r="BB10" i="41"/>
  <c r="BC10" i="41"/>
  <c r="BD10" i="41"/>
  <c r="BE10" i="41"/>
  <c r="AP11" i="41"/>
  <c r="AQ11" i="41"/>
  <c r="AR11" i="41"/>
  <c r="AS11" i="41"/>
  <c r="AT11" i="41"/>
  <c r="AU11" i="41"/>
  <c r="AV11" i="41"/>
  <c r="AX11" i="41"/>
  <c r="AY11" i="41"/>
  <c r="AZ11" i="41"/>
  <c r="BA11" i="41"/>
  <c r="BB11" i="41"/>
  <c r="BC11" i="41"/>
  <c r="BD11" i="41"/>
  <c r="BE11" i="41"/>
  <c r="AP12" i="41"/>
  <c r="AQ12" i="41"/>
  <c r="AR12" i="41"/>
  <c r="AS12" i="41"/>
  <c r="AT12" i="41"/>
  <c r="AU12" i="41"/>
  <c r="AV12" i="41"/>
  <c r="AX12" i="41"/>
  <c r="AY12" i="41"/>
  <c r="AZ12" i="41"/>
  <c r="BA12" i="41"/>
  <c r="BB12" i="41"/>
  <c r="BC12" i="41"/>
  <c r="BD12" i="41"/>
  <c r="BE12" i="41"/>
  <c r="AP13" i="41"/>
  <c r="AQ13" i="41"/>
  <c r="AR13" i="41"/>
  <c r="AS13" i="41"/>
  <c r="AT13" i="41"/>
  <c r="AU13" i="41"/>
  <c r="AV13" i="41"/>
  <c r="AX13" i="41"/>
  <c r="AY13" i="41"/>
  <c r="AZ13" i="41"/>
  <c r="BA13" i="41"/>
  <c r="BB13" i="41"/>
  <c r="BC13" i="41"/>
  <c r="BD13" i="41"/>
  <c r="BE13" i="41"/>
  <c r="AP14" i="41"/>
  <c r="AQ14" i="41"/>
  <c r="AR14" i="41"/>
  <c r="AS14" i="41"/>
  <c r="AT14" i="41"/>
  <c r="AU14" i="41"/>
  <c r="AV14" i="41"/>
  <c r="AX14" i="41"/>
  <c r="AY14" i="41"/>
  <c r="AZ14" i="41"/>
  <c r="BA14" i="41"/>
  <c r="BB14" i="41"/>
  <c r="BC14" i="41"/>
  <c r="BD14" i="41"/>
  <c r="BE14" i="41"/>
  <c r="AP15" i="41"/>
  <c r="AQ15" i="41"/>
  <c r="AR15" i="41"/>
  <c r="AS15" i="41"/>
  <c r="AT15" i="41"/>
  <c r="AU15" i="41"/>
  <c r="AV15" i="41"/>
  <c r="AX15" i="41"/>
  <c r="AY15" i="41"/>
  <c r="AZ15" i="41"/>
  <c r="BA15" i="41"/>
  <c r="BB15" i="41"/>
  <c r="BC15" i="41"/>
  <c r="BD15" i="41"/>
  <c r="BE15" i="41"/>
  <c r="AP16" i="41"/>
  <c r="AQ16" i="41"/>
  <c r="AR16" i="41"/>
  <c r="AS16" i="41"/>
  <c r="AT16" i="41"/>
  <c r="AU16" i="41"/>
  <c r="AV16" i="41"/>
  <c r="AX16" i="41"/>
  <c r="AY16" i="41"/>
  <c r="AZ16" i="41"/>
  <c r="BA16" i="41"/>
  <c r="BB16" i="41"/>
  <c r="BC16" i="41"/>
  <c r="BD16" i="41"/>
  <c r="BE16" i="41"/>
  <c r="AP17" i="41"/>
  <c r="AQ17" i="41"/>
  <c r="AR17" i="41"/>
  <c r="AS17" i="41"/>
  <c r="AT17" i="41"/>
  <c r="AU17" i="41"/>
  <c r="AV17" i="41"/>
  <c r="AX17" i="41"/>
  <c r="AY17" i="41"/>
  <c r="AZ17" i="41"/>
  <c r="BA17" i="41"/>
  <c r="BB17" i="41"/>
  <c r="BC17" i="41"/>
  <c r="BD17" i="41"/>
  <c r="BE17" i="41"/>
  <c r="AO11" i="41"/>
  <c r="AO12" i="41"/>
  <c r="AO13" i="41"/>
  <c r="AO14" i="41"/>
  <c r="AO15" i="41"/>
  <c r="AO16" i="41"/>
  <c r="AO17" i="41"/>
  <c r="AO10" i="41"/>
  <c r="BP10" i="41"/>
  <c r="BQ10" i="41"/>
  <c r="BR10" i="41"/>
  <c r="BS10" i="41"/>
  <c r="BT10" i="41"/>
  <c r="BU10" i="41"/>
  <c r="BV10" i="41"/>
  <c r="BW10" i="41"/>
  <c r="BP11" i="41"/>
  <c r="BQ11" i="41"/>
  <c r="BR11" i="41"/>
  <c r="BS11" i="41"/>
  <c r="BT11" i="41"/>
  <c r="BU11" i="41"/>
  <c r="BV11" i="41"/>
  <c r="BW11" i="41"/>
  <c r="BP12" i="41"/>
  <c r="BQ12" i="41"/>
  <c r="BR12" i="41"/>
  <c r="BS12" i="41"/>
  <c r="BT12" i="41"/>
  <c r="BU12" i="41"/>
  <c r="BV12" i="41"/>
  <c r="BW12" i="41"/>
  <c r="BP13" i="41"/>
  <c r="BQ13" i="41"/>
  <c r="BR13" i="41"/>
  <c r="BS13" i="41"/>
  <c r="BT13" i="41"/>
  <c r="BU13" i="41"/>
  <c r="BV13" i="41"/>
  <c r="BW13" i="41"/>
  <c r="BP14" i="41"/>
  <c r="BQ14" i="41"/>
  <c r="BR14" i="41"/>
  <c r="BS14" i="41"/>
  <c r="BT14" i="41"/>
  <c r="BU14" i="41"/>
  <c r="BV14" i="41"/>
  <c r="BW14" i="41"/>
  <c r="BP15" i="41"/>
  <c r="BQ15" i="41"/>
  <c r="BR15" i="41"/>
  <c r="BS15" i="41"/>
  <c r="BT15" i="41"/>
  <c r="BU15" i="41"/>
  <c r="BV15" i="41"/>
  <c r="BW15" i="41"/>
  <c r="BP16" i="41"/>
  <c r="BQ16" i="41"/>
  <c r="BR16" i="41"/>
  <c r="BS16" i="41"/>
  <c r="BT16" i="41"/>
  <c r="BU16" i="41"/>
  <c r="BV16" i="41"/>
  <c r="BW16" i="41"/>
  <c r="BP17" i="41"/>
  <c r="BQ17" i="41"/>
  <c r="BR17" i="41"/>
  <c r="BS17" i="41"/>
  <c r="BT17" i="41"/>
  <c r="BU17" i="41"/>
  <c r="BV17" i="41"/>
  <c r="BW17" i="41"/>
  <c r="BG11" i="41"/>
  <c r="BH11" i="41"/>
  <c r="BI11" i="41"/>
  <c r="BJ11" i="41"/>
  <c r="BK11" i="41"/>
  <c r="BL11" i="41"/>
  <c r="BM11" i="41"/>
  <c r="BN11" i="41"/>
  <c r="BG12" i="41"/>
  <c r="BH12" i="41"/>
  <c r="BI12" i="41"/>
  <c r="BJ12" i="41"/>
  <c r="BK12" i="41"/>
  <c r="BL12" i="41"/>
  <c r="BM12" i="41"/>
  <c r="BN12" i="41"/>
  <c r="BG13" i="41"/>
  <c r="BH13" i="41"/>
  <c r="BI13" i="41"/>
  <c r="BJ13" i="41"/>
  <c r="BK13" i="41"/>
  <c r="BL13" i="41"/>
  <c r="BM13" i="41"/>
  <c r="BN13" i="41"/>
  <c r="BG14" i="41"/>
  <c r="BH14" i="41"/>
  <c r="BI14" i="41"/>
  <c r="BJ14" i="41"/>
  <c r="BK14" i="41"/>
  <c r="BL14" i="41"/>
  <c r="BM14" i="41"/>
  <c r="BN14" i="41"/>
  <c r="BG15" i="41"/>
  <c r="BH15" i="41"/>
  <c r="BI15" i="41"/>
  <c r="BJ15" i="41"/>
  <c r="BK15" i="41"/>
  <c r="BL15" i="41"/>
  <c r="BM15" i="41"/>
  <c r="BN15" i="41"/>
  <c r="BG16" i="41"/>
  <c r="BH16" i="41"/>
  <c r="BI16" i="41"/>
  <c r="BJ16" i="41"/>
  <c r="BK16" i="41"/>
  <c r="BL16" i="41"/>
  <c r="BM16" i="41"/>
  <c r="BN16" i="41"/>
  <c r="BG17" i="41"/>
  <c r="BH17" i="41"/>
  <c r="BI17" i="41"/>
  <c r="BJ17" i="41"/>
  <c r="BK17" i="41"/>
  <c r="BL17" i="41"/>
  <c r="BM17" i="41"/>
  <c r="BN17" i="41"/>
  <c r="BH10" i="41"/>
  <c r="BI10" i="41"/>
  <c r="BJ10" i="41"/>
  <c r="BK10" i="41"/>
  <c r="BL10" i="41"/>
  <c r="BM10" i="41"/>
  <c r="BN10" i="41"/>
  <c r="BG10" i="41"/>
  <c r="BP23" i="41"/>
  <c r="BQ23" i="41"/>
  <c r="BR23" i="41"/>
  <c r="BS23" i="41"/>
  <c r="BT23" i="41"/>
  <c r="BU23" i="41"/>
  <c r="BV23" i="41"/>
  <c r="BW23" i="41"/>
  <c r="BP24" i="41"/>
  <c r="BQ24" i="41"/>
  <c r="BR24" i="41"/>
  <c r="BS24" i="41"/>
  <c r="BT24" i="41"/>
  <c r="BU24" i="41"/>
  <c r="BV24" i="41"/>
  <c r="BW24" i="41"/>
  <c r="BP25" i="41"/>
  <c r="BQ25" i="41"/>
  <c r="BR25" i="41"/>
  <c r="BS25" i="41"/>
  <c r="BT25" i="41"/>
  <c r="BU25" i="41"/>
  <c r="BV25" i="41"/>
  <c r="BW25" i="41"/>
  <c r="BP26" i="41"/>
  <c r="BQ26" i="41"/>
  <c r="BR26" i="41"/>
  <c r="BS26" i="41"/>
  <c r="BT26" i="41"/>
  <c r="BU26" i="41"/>
  <c r="BV26" i="41"/>
  <c r="BW26" i="41"/>
  <c r="BP27" i="41"/>
  <c r="BQ27" i="41"/>
  <c r="BR27" i="41"/>
  <c r="BS27" i="41"/>
  <c r="BT27" i="41"/>
  <c r="BU27" i="41"/>
  <c r="BV27" i="41"/>
  <c r="BW27" i="41"/>
  <c r="BP28" i="41"/>
  <c r="BQ28" i="41"/>
  <c r="BR28" i="41"/>
  <c r="BS28" i="41"/>
  <c r="BT28" i="41"/>
  <c r="BU28" i="41"/>
  <c r="BV28" i="41"/>
  <c r="BW28" i="41"/>
  <c r="BP29" i="41"/>
  <c r="BQ29" i="41"/>
  <c r="BR29" i="41"/>
  <c r="BS29" i="41"/>
  <c r="BT29" i="41"/>
  <c r="BU29" i="41"/>
  <c r="BV29" i="41"/>
  <c r="BW29" i="41"/>
  <c r="BP30" i="41"/>
  <c r="BQ30" i="41"/>
  <c r="BR30" i="41"/>
  <c r="BS30" i="41"/>
  <c r="BT30" i="41"/>
  <c r="BU30" i="41"/>
  <c r="BV30" i="41"/>
  <c r="BW30" i="41"/>
  <c r="BH23" i="41"/>
  <c r="BI23" i="41"/>
  <c r="BJ23" i="41"/>
  <c r="BK23" i="41"/>
  <c r="BL23" i="41"/>
  <c r="BM23" i="41"/>
  <c r="BN23" i="41"/>
  <c r="BH24" i="41"/>
  <c r="BI24" i="41"/>
  <c r="BJ24" i="41"/>
  <c r="BK24" i="41"/>
  <c r="BL24" i="41"/>
  <c r="BM24" i="41"/>
  <c r="BN24" i="41"/>
  <c r="BH25" i="41"/>
  <c r="BI25" i="41"/>
  <c r="BJ25" i="41"/>
  <c r="BK25" i="41"/>
  <c r="BL25" i="41"/>
  <c r="BM25" i="41"/>
  <c r="BN25" i="41"/>
  <c r="BH26" i="41"/>
  <c r="BI26" i="41"/>
  <c r="BJ26" i="41"/>
  <c r="BK26" i="41"/>
  <c r="BL26" i="41"/>
  <c r="BM26" i="41"/>
  <c r="BN26" i="41"/>
  <c r="BH27" i="41"/>
  <c r="BI27" i="41"/>
  <c r="BJ27" i="41"/>
  <c r="BK27" i="41"/>
  <c r="BL27" i="41"/>
  <c r="BM27" i="41"/>
  <c r="BN27" i="41"/>
  <c r="BH28" i="41"/>
  <c r="BI28" i="41"/>
  <c r="BJ28" i="41"/>
  <c r="BK28" i="41"/>
  <c r="BL28" i="41"/>
  <c r="BM28" i="41"/>
  <c r="BN28" i="41"/>
  <c r="BH29" i="41"/>
  <c r="BI29" i="41"/>
  <c r="BJ29" i="41"/>
  <c r="BK29" i="41"/>
  <c r="BL29" i="41"/>
  <c r="BM29" i="41"/>
  <c r="BN29" i="41"/>
  <c r="BH30" i="41"/>
  <c r="BI30" i="41"/>
  <c r="BJ30" i="41"/>
  <c r="BK30" i="41"/>
  <c r="BL30" i="41"/>
  <c r="BM30" i="41"/>
  <c r="BN30" i="41"/>
  <c r="BG24" i="41"/>
  <c r="BG25" i="41"/>
  <c r="BG26" i="41"/>
  <c r="BG27" i="41"/>
  <c r="BG28" i="41"/>
  <c r="BG29" i="41"/>
  <c r="BG30" i="41"/>
  <c r="BG23" i="41"/>
  <c r="AX23" i="41"/>
  <c r="AY23" i="41"/>
  <c r="AZ23" i="41"/>
  <c r="BA23" i="41"/>
  <c r="BB23" i="41"/>
  <c r="BC23" i="41"/>
  <c r="BD23" i="41"/>
  <c r="BE23" i="41"/>
  <c r="AX24" i="41"/>
  <c r="AY24" i="41"/>
  <c r="AZ24" i="41"/>
  <c r="BA24" i="41"/>
  <c r="BB24" i="41"/>
  <c r="BC24" i="41"/>
  <c r="BD24" i="41"/>
  <c r="BE24" i="41"/>
  <c r="AX25" i="41"/>
  <c r="AY25" i="41"/>
  <c r="AZ25" i="41"/>
  <c r="BA25" i="41"/>
  <c r="BB25" i="41"/>
  <c r="BC25" i="41"/>
  <c r="BD25" i="41"/>
  <c r="BE25" i="41"/>
  <c r="AX26" i="41"/>
  <c r="AY26" i="41"/>
  <c r="AZ26" i="41"/>
  <c r="BA26" i="41"/>
  <c r="BB26" i="41"/>
  <c r="BC26" i="41"/>
  <c r="BD26" i="41"/>
  <c r="BE26" i="41"/>
  <c r="AX27" i="41"/>
  <c r="AY27" i="41"/>
  <c r="AZ27" i="41"/>
  <c r="BA27" i="41"/>
  <c r="BB27" i="41"/>
  <c r="BC27" i="41"/>
  <c r="BD27" i="41"/>
  <c r="BE27" i="41"/>
  <c r="AX28" i="41"/>
  <c r="AY28" i="41"/>
  <c r="AZ28" i="41"/>
  <c r="BA28" i="41"/>
  <c r="BB28" i="41"/>
  <c r="BC28" i="41"/>
  <c r="BD28" i="41"/>
  <c r="BE28" i="41"/>
  <c r="AX29" i="41"/>
  <c r="AY29" i="41"/>
  <c r="AZ29" i="41"/>
  <c r="BA29" i="41"/>
  <c r="BB29" i="41"/>
  <c r="BC29" i="41"/>
  <c r="BD29" i="41"/>
  <c r="BE29" i="41"/>
  <c r="AX30" i="41"/>
  <c r="AY30" i="41"/>
  <c r="AZ30" i="41"/>
  <c r="BA30" i="41"/>
  <c r="BB30" i="41"/>
  <c r="BC30" i="41"/>
  <c r="BD30" i="41"/>
  <c r="BE30" i="41"/>
  <c r="AO24" i="41"/>
  <c r="AP24" i="41"/>
  <c r="AQ24" i="41"/>
  <c r="AR24" i="41"/>
  <c r="AS24" i="41"/>
  <c r="AT24" i="41"/>
  <c r="AU24" i="41"/>
  <c r="AV24" i="41"/>
  <c r="AO25" i="41"/>
  <c r="AP25" i="41"/>
  <c r="AQ25" i="41"/>
  <c r="AR25" i="41"/>
  <c r="AS25" i="41"/>
  <c r="AT25" i="41"/>
  <c r="AU25" i="41"/>
  <c r="AV25" i="41"/>
  <c r="AO26" i="41"/>
  <c r="AP26" i="41"/>
  <c r="AQ26" i="41"/>
  <c r="AR26" i="41"/>
  <c r="AS26" i="41"/>
  <c r="AT26" i="41"/>
  <c r="AU26" i="41"/>
  <c r="AV26" i="41"/>
  <c r="AO27" i="41"/>
  <c r="AP27" i="41"/>
  <c r="AQ27" i="41"/>
  <c r="AR27" i="41"/>
  <c r="AS27" i="41"/>
  <c r="AT27" i="41"/>
  <c r="AU27" i="41"/>
  <c r="AV27" i="41"/>
  <c r="AO28" i="41"/>
  <c r="AP28" i="41"/>
  <c r="AQ28" i="41"/>
  <c r="AR28" i="41"/>
  <c r="AS28" i="41"/>
  <c r="AT28" i="41"/>
  <c r="AU28" i="41"/>
  <c r="AV28" i="41"/>
  <c r="AO29" i="41"/>
  <c r="AP29" i="41"/>
  <c r="AQ29" i="41"/>
  <c r="AR29" i="41"/>
  <c r="AS29" i="41"/>
  <c r="AT29" i="41"/>
  <c r="AU29" i="41"/>
  <c r="AV29" i="41"/>
  <c r="AO30" i="41"/>
  <c r="AP30" i="41"/>
  <c r="AQ30" i="41"/>
  <c r="AR30" i="41"/>
  <c r="AS30" i="41"/>
  <c r="AT30" i="41"/>
  <c r="AU30" i="41"/>
  <c r="AV30" i="41"/>
  <c r="AP23" i="41"/>
  <c r="AQ23" i="41"/>
  <c r="AR23" i="41"/>
  <c r="AS23" i="41"/>
  <c r="AT23" i="41"/>
  <c r="AU23" i="41"/>
  <c r="AV23" i="41"/>
  <c r="AO23" i="41"/>
  <c r="D13" i="2" l="1"/>
  <c r="E13" i="2"/>
  <c r="K5" i="7"/>
  <c r="C30" i="29" l="1"/>
  <c r="C30" i="28"/>
  <c r="C30" i="27"/>
  <c r="C30" i="26"/>
  <c r="C30" i="25"/>
  <c r="C30" i="24"/>
  <c r="C30" i="32"/>
  <c r="C30" i="31"/>
  <c r="C30" i="39"/>
  <c r="C30" i="38"/>
  <c r="C30" i="37"/>
  <c r="C30" i="36"/>
  <c r="C30" i="35"/>
  <c r="C30" i="34"/>
  <c r="C30" i="33"/>
  <c r="C30" i="30"/>
  <c r="M56" i="29"/>
  <c r="K56" i="29"/>
  <c r="M56" i="28"/>
  <c r="K56" i="28"/>
  <c r="M56" i="27"/>
  <c r="K56" i="27"/>
  <c r="M56" i="26"/>
  <c r="K56" i="26"/>
  <c r="M56" i="25"/>
  <c r="K56" i="25"/>
  <c r="M56" i="24"/>
  <c r="K56" i="24"/>
  <c r="M56" i="32"/>
  <c r="K56" i="32"/>
  <c r="M56" i="31"/>
  <c r="K56" i="31"/>
  <c r="M56" i="30"/>
  <c r="K56" i="30"/>
  <c r="M56" i="33"/>
  <c r="K56" i="33"/>
  <c r="M56" i="34"/>
  <c r="K56" i="34"/>
  <c r="M56" i="35"/>
  <c r="K56" i="35"/>
  <c r="M56" i="36"/>
  <c r="K56" i="36"/>
  <c r="G16" i="7" l="1"/>
  <c r="G15" i="7"/>
  <c r="H29" i="5"/>
  <c r="J3" i="2"/>
  <c r="F9" i="2"/>
  <c r="E9" i="2"/>
  <c r="F5" i="2"/>
  <c r="E5" i="2"/>
  <c r="L13" i="12" l="1"/>
  <c r="H9" i="12"/>
  <c r="Q5" i="3"/>
  <c r="L23" i="3"/>
  <c r="K43" i="4" l="1"/>
  <c r="M25" i="4"/>
  <c r="L2" i="4" l="1"/>
  <c r="L9" i="4" l="1"/>
  <c r="F13" i="11" l="1"/>
  <c r="D13" i="11"/>
  <c r="F22" i="11"/>
  <c r="L25" i="4" s="1"/>
  <c r="D22" i="11"/>
  <c r="D20" i="11" l="1"/>
  <c r="F8" i="11" l="1"/>
  <c r="F10" i="11"/>
  <c r="F12" i="11"/>
  <c r="F20" i="11"/>
  <c r="L17" i="4" l="1"/>
  <c r="N17" i="4"/>
  <c r="C32" i="29"/>
  <c r="C32" i="25"/>
  <c r="C32" i="31"/>
  <c r="C32" i="28"/>
  <c r="C32" i="24"/>
  <c r="C32" i="27"/>
  <c r="C32" i="32"/>
  <c r="C32" i="26"/>
  <c r="C31" i="37" l="1"/>
  <c r="C31" i="33"/>
  <c r="C31" i="30"/>
  <c r="C31" i="39"/>
  <c r="C31" i="38"/>
  <c r="C31" i="34"/>
  <c r="C31" i="36"/>
  <c r="C31" i="35"/>
  <c r="M56" i="39" l="1"/>
  <c r="K56" i="39"/>
  <c r="M56" i="38"/>
  <c r="K56" i="38"/>
  <c r="K56" i="37"/>
  <c r="M56" i="37"/>
  <c r="H16" i="7" l="1"/>
  <c r="G17" i="7"/>
  <c r="O8" i="7" l="1"/>
  <c r="K8" i="7" s="1"/>
  <c r="O12" i="7"/>
  <c r="K12" i="7" s="1"/>
  <c r="O16" i="7"/>
  <c r="K16" i="7" s="1"/>
  <c r="O9" i="7"/>
  <c r="K9" i="7" s="1"/>
  <c r="O13" i="7"/>
  <c r="K13" i="7" s="1"/>
  <c r="O5" i="7"/>
  <c r="O10" i="7"/>
  <c r="K10" i="7" s="1"/>
  <c r="O14" i="7"/>
  <c r="K14" i="7" s="1"/>
  <c r="O7" i="7"/>
  <c r="K7" i="7" s="1"/>
  <c r="O15" i="7"/>
  <c r="K15" i="7" s="1"/>
  <c r="O6" i="7"/>
  <c r="K6" i="7" s="1"/>
  <c r="O11" i="7"/>
  <c r="K11" i="7" s="1"/>
  <c r="L65" i="29"/>
  <c r="L65" i="28"/>
  <c r="L65" i="27"/>
  <c r="L65" i="26"/>
  <c r="L65" i="25"/>
  <c r="L65" i="24"/>
  <c r="L65" i="32"/>
  <c r="L65" i="31"/>
  <c r="L65" i="39"/>
  <c r="L65" i="38"/>
  <c r="L65" i="37"/>
  <c r="L65" i="36"/>
  <c r="L65" i="35"/>
  <c r="L65" i="34"/>
  <c r="L65" i="33"/>
  <c r="L65" i="30"/>
  <c r="L13" i="3" l="1"/>
  <c r="G7" i="7" l="1"/>
  <c r="G9" i="7" s="1"/>
  <c r="H7" i="7"/>
  <c r="H9" i="7" s="1"/>
  <c r="H17" i="7"/>
  <c r="H60" i="32"/>
  <c r="H62" i="32" s="1"/>
  <c r="H63" i="32" s="1"/>
  <c r="E100" i="39"/>
  <c r="E99" i="39"/>
  <c r="E98" i="39"/>
  <c r="E97" i="39"/>
  <c r="E96" i="39"/>
  <c r="E95" i="39"/>
  <c r="E94" i="39"/>
  <c r="E93" i="39"/>
  <c r="E92" i="39"/>
  <c r="E91" i="39"/>
  <c r="E90" i="39"/>
  <c r="E89" i="39"/>
  <c r="E88" i="39"/>
  <c r="F87" i="39"/>
  <c r="F88" i="39" s="1"/>
  <c r="F89" i="39" s="1"/>
  <c r="F90" i="39" s="1"/>
  <c r="F91" i="39" s="1"/>
  <c r="F92" i="39" s="1"/>
  <c r="F93" i="39" s="1"/>
  <c r="F94" i="39" s="1"/>
  <c r="F95" i="39" s="1"/>
  <c r="F96" i="39" s="1"/>
  <c r="F97" i="39" s="1"/>
  <c r="F98" i="39" s="1"/>
  <c r="F99" i="39" s="1"/>
  <c r="F100" i="39" s="1"/>
  <c r="E87" i="39"/>
  <c r="M86" i="39"/>
  <c r="K78" i="39"/>
  <c r="H78" i="39"/>
  <c r="H79" i="39" s="1"/>
  <c r="H81" i="39" s="1"/>
  <c r="F78" i="39"/>
  <c r="F79" i="39" s="1"/>
  <c r="F81" i="39" s="1"/>
  <c r="D78" i="39"/>
  <c r="D79" i="39" s="1"/>
  <c r="D81" i="39" s="1"/>
  <c r="N77" i="39"/>
  <c r="N79" i="39" s="1"/>
  <c r="C49" i="39" s="1"/>
  <c r="F68" i="39"/>
  <c r="M66" i="39"/>
  <c r="L66" i="39"/>
  <c r="K66" i="39"/>
  <c r="M64" i="39"/>
  <c r="K64" i="39"/>
  <c r="C63" i="39"/>
  <c r="H62" i="39"/>
  <c r="H63" i="39" s="1"/>
  <c r="C62" i="39"/>
  <c r="C64" i="39" s="1"/>
  <c r="C66" i="39" s="1"/>
  <c r="G95" i="39" s="1"/>
  <c r="G96" i="39" s="1"/>
  <c r="G97" i="39" s="1"/>
  <c r="G98" i="39" s="1"/>
  <c r="G99" i="39" s="1"/>
  <c r="G100" i="39" s="1"/>
  <c r="C67" i="39" s="1"/>
  <c r="H60" i="39"/>
  <c r="C52" i="39"/>
  <c r="C32" i="39"/>
  <c r="C34" i="39" s="1"/>
  <c r="C33" i="39"/>
  <c r="E100" i="38"/>
  <c r="E99" i="38"/>
  <c r="E98" i="38"/>
  <c r="E97" i="38"/>
  <c r="E96" i="38"/>
  <c r="E95" i="38"/>
  <c r="E94" i="38"/>
  <c r="E93" i="38"/>
  <c r="E92" i="38"/>
  <c r="E91" i="38"/>
  <c r="E90" i="38"/>
  <c r="E89" i="38"/>
  <c r="E88" i="38"/>
  <c r="E87" i="38"/>
  <c r="F87" i="38" s="1"/>
  <c r="M86" i="38"/>
  <c r="H79" i="38"/>
  <c r="H81" i="38" s="1"/>
  <c r="K78" i="38"/>
  <c r="H78" i="38"/>
  <c r="F78" i="38"/>
  <c r="F79" i="38" s="1"/>
  <c r="F81" i="38" s="1"/>
  <c r="D78" i="38"/>
  <c r="D79" i="38" s="1"/>
  <c r="D81" i="38" s="1"/>
  <c r="N77" i="38"/>
  <c r="N79" i="38" s="1"/>
  <c r="C49" i="38" s="1"/>
  <c r="F68" i="38"/>
  <c r="M66" i="38"/>
  <c r="L66" i="38"/>
  <c r="K66" i="38"/>
  <c r="M64" i="38"/>
  <c r="K64" i="38"/>
  <c r="C63" i="38"/>
  <c r="C62" i="38"/>
  <c r="C64" i="38" s="1"/>
  <c r="C66" i="38" s="1"/>
  <c r="G95" i="38" s="1"/>
  <c r="G96" i="38" s="1"/>
  <c r="G97" i="38" s="1"/>
  <c r="G98" i="38" s="1"/>
  <c r="G99" i="38" s="1"/>
  <c r="G100" i="38" s="1"/>
  <c r="C67" i="38" s="1"/>
  <c r="H60" i="38"/>
  <c r="H62" i="38" s="1"/>
  <c r="H63" i="38" s="1"/>
  <c r="C52" i="38"/>
  <c r="C32" i="38"/>
  <c r="C34" i="38" s="1"/>
  <c r="C33" i="38"/>
  <c r="E100" i="37"/>
  <c r="E99" i="37"/>
  <c r="E98" i="37"/>
  <c r="E97" i="37"/>
  <c r="E96" i="37"/>
  <c r="E95" i="37"/>
  <c r="E94" i="37"/>
  <c r="E93" i="37"/>
  <c r="E92" i="37"/>
  <c r="E91" i="37"/>
  <c r="E90" i="37"/>
  <c r="E89" i="37"/>
  <c r="E88" i="37"/>
  <c r="E87" i="37"/>
  <c r="F87" i="37" s="1"/>
  <c r="M86" i="37"/>
  <c r="K78" i="37"/>
  <c r="H78" i="37"/>
  <c r="H79" i="37" s="1"/>
  <c r="H81" i="37" s="1"/>
  <c r="F78" i="37"/>
  <c r="F79" i="37" s="1"/>
  <c r="F81" i="37" s="1"/>
  <c r="D78" i="37"/>
  <c r="D79" i="37" s="1"/>
  <c r="D81" i="37" s="1"/>
  <c r="N77" i="37"/>
  <c r="N79" i="37" s="1"/>
  <c r="C49" i="37" s="1"/>
  <c r="F68" i="37"/>
  <c r="M66" i="37"/>
  <c r="L66" i="37"/>
  <c r="K66" i="37"/>
  <c r="C66" i="37"/>
  <c r="G95" i="37" s="1"/>
  <c r="G96" i="37" s="1"/>
  <c r="G97" i="37" s="1"/>
  <c r="G98" i="37" s="1"/>
  <c r="G99" i="37" s="1"/>
  <c r="G100" i="37" s="1"/>
  <c r="C67" i="37" s="1"/>
  <c r="M64" i="37"/>
  <c r="K64" i="37"/>
  <c r="C64" i="37"/>
  <c r="C63" i="37"/>
  <c r="C62" i="37"/>
  <c r="H60" i="37"/>
  <c r="H62" i="37" s="1"/>
  <c r="H63" i="37" s="1"/>
  <c r="C52" i="37"/>
  <c r="C32" i="37"/>
  <c r="C34" i="37" s="1"/>
  <c r="C33" i="37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F87" i="36" s="1"/>
  <c r="F88" i="36" s="1"/>
  <c r="F89" i="36" s="1"/>
  <c r="F90" i="36" s="1"/>
  <c r="F91" i="36" s="1"/>
  <c r="F92" i="36" s="1"/>
  <c r="F93" i="36" s="1"/>
  <c r="F94" i="36" s="1"/>
  <c r="F95" i="36" s="1"/>
  <c r="F96" i="36" s="1"/>
  <c r="F97" i="36" s="1"/>
  <c r="F98" i="36" s="1"/>
  <c r="F99" i="36" s="1"/>
  <c r="F100" i="36" s="1"/>
  <c r="M86" i="36"/>
  <c r="K78" i="36"/>
  <c r="H78" i="36"/>
  <c r="H79" i="36" s="1"/>
  <c r="H81" i="36" s="1"/>
  <c r="F78" i="36"/>
  <c r="F79" i="36" s="1"/>
  <c r="F81" i="36" s="1"/>
  <c r="D78" i="36"/>
  <c r="D79" i="36" s="1"/>
  <c r="D81" i="36" s="1"/>
  <c r="N77" i="36"/>
  <c r="N79" i="36" s="1"/>
  <c r="C49" i="36" s="1"/>
  <c r="F68" i="36"/>
  <c r="M66" i="36"/>
  <c r="L66" i="36"/>
  <c r="K66" i="36"/>
  <c r="M64" i="36"/>
  <c r="K64" i="36"/>
  <c r="C63" i="36"/>
  <c r="H62" i="36"/>
  <c r="H63" i="36" s="1"/>
  <c r="C62" i="36"/>
  <c r="C64" i="36" s="1"/>
  <c r="C66" i="36" s="1"/>
  <c r="G95" i="36" s="1"/>
  <c r="G96" i="36" s="1"/>
  <c r="G97" i="36" s="1"/>
  <c r="G98" i="36" s="1"/>
  <c r="G99" i="36" s="1"/>
  <c r="G100" i="36" s="1"/>
  <c r="C67" i="36" s="1"/>
  <c r="K63" i="36" s="1"/>
  <c r="H60" i="36"/>
  <c r="C52" i="36"/>
  <c r="C32" i="36"/>
  <c r="C34" i="36" s="1"/>
  <c r="C33" i="36"/>
  <c r="E100" i="35"/>
  <c r="E99" i="35"/>
  <c r="E98" i="35"/>
  <c r="E97" i="35"/>
  <c r="E96" i="35"/>
  <c r="E95" i="35"/>
  <c r="E94" i="35"/>
  <c r="E93" i="35"/>
  <c r="E92" i="35"/>
  <c r="E91" i="35"/>
  <c r="E90" i="35"/>
  <c r="E89" i="35"/>
  <c r="E88" i="35"/>
  <c r="E87" i="35"/>
  <c r="F87" i="35" s="1"/>
  <c r="F88" i="35" s="1"/>
  <c r="F89" i="35" s="1"/>
  <c r="M86" i="35"/>
  <c r="K78" i="35"/>
  <c r="H78" i="35"/>
  <c r="H79" i="35" s="1"/>
  <c r="H81" i="35" s="1"/>
  <c r="F78" i="35"/>
  <c r="F79" i="35" s="1"/>
  <c r="F81" i="35" s="1"/>
  <c r="D78" i="35"/>
  <c r="D79" i="35" s="1"/>
  <c r="D81" i="35" s="1"/>
  <c r="N77" i="35"/>
  <c r="N79" i="35" s="1"/>
  <c r="C49" i="35" s="1"/>
  <c r="F68" i="35"/>
  <c r="M66" i="35"/>
  <c r="L66" i="35"/>
  <c r="K66" i="35"/>
  <c r="M64" i="35"/>
  <c r="K64" i="35"/>
  <c r="C63" i="35"/>
  <c r="H62" i="35"/>
  <c r="H63" i="35" s="1"/>
  <c r="C62" i="35"/>
  <c r="C64" i="35" s="1"/>
  <c r="C66" i="35" s="1"/>
  <c r="G95" i="35" s="1"/>
  <c r="G96" i="35" s="1"/>
  <c r="G97" i="35" s="1"/>
  <c r="G98" i="35" s="1"/>
  <c r="G99" i="35" s="1"/>
  <c r="G100" i="35" s="1"/>
  <c r="C67" i="35" s="1"/>
  <c r="H60" i="35"/>
  <c r="C52" i="35"/>
  <c r="C32" i="35"/>
  <c r="C34" i="35" s="1"/>
  <c r="C33" i="35"/>
  <c r="E100" i="34"/>
  <c r="E99" i="34"/>
  <c r="E98" i="34"/>
  <c r="E97" i="34"/>
  <c r="E96" i="34"/>
  <c r="E95" i="34"/>
  <c r="E94" i="34"/>
  <c r="E93" i="34"/>
  <c r="E92" i="34"/>
  <c r="E91" i="34"/>
  <c r="E90" i="34"/>
  <c r="E89" i="34"/>
  <c r="E88" i="34"/>
  <c r="E87" i="34"/>
  <c r="F87" i="34" s="1"/>
  <c r="F88" i="34" s="1"/>
  <c r="F89" i="34" s="1"/>
  <c r="F90" i="34" s="1"/>
  <c r="F91" i="34" s="1"/>
  <c r="F92" i="34" s="1"/>
  <c r="F93" i="34" s="1"/>
  <c r="F94" i="34" s="1"/>
  <c r="F95" i="34" s="1"/>
  <c r="F96" i="34" s="1"/>
  <c r="F97" i="34" s="1"/>
  <c r="F98" i="34" s="1"/>
  <c r="F99" i="34" s="1"/>
  <c r="F100" i="34" s="1"/>
  <c r="M86" i="34"/>
  <c r="K78" i="34"/>
  <c r="H78" i="34"/>
  <c r="H79" i="34" s="1"/>
  <c r="H81" i="34" s="1"/>
  <c r="F78" i="34"/>
  <c r="F79" i="34" s="1"/>
  <c r="F81" i="34" s="1"/>
  <c r="D78" i="34"/>
  <c r="D79" i="34" s="1"/>
  <c r="D81" i="34" s="1"/>
  <c r="N77" i="34"/>
  <c r="N79" i="34" s="1"/>
  <c r="C49" i="34" s="1"/>
  <c r="F68" i="34"/>
  <c r="M66" i="34"/>
  <c r="L66" i="34"/>
  <c r="K66" i="34"/>
  <c r="M64" i="34"/>
  <c r="K64" i="34"/>
  <c r="C63" i="34"/>
  <c r="H62" i="34"/>
  <c r="H63" i="34" s="1"/>
  <c r="C62" i="34"/>
  <c r="C64" i="34" s="1"/>
  <c r="C66" i="34" s="1"/>
  <c r="G95" i="34" s="1"/>
  <c r="G96" i="34" s="1"/>
  <c r="G97" i="34" s="1"/>
  <c r="G98" i="34" s="1"/>
  <c r="G99" i="34" s="1"/>
  <c r="G100" i="34" s="1"/>
  <c r="C67" i="34" s="1"/>
  <c r="H60" i="34"/>
  <c r="C52" i="34"/>
  <c r="C32" i="34"/>
  <c r="C34" i="34" s="1"/>
  <c r="C33" i="34"/>
  <c r="E100" i="33"/>
  <c r="E99" i="33"/>
  <c r="E98" i="33"/>
  <c r="E97" i="33"/>
  <c r="E96" i="33"/>
  <c r="E95" i="33"/>
  <c r="E94" i="33"/>
  <c r="E93" i="33"/>
  <c r="E92" i="33"/>
  <c r="E91" i="33"/>
  <c r="E90" i="33"/>
  <c r="E89" i="33"/>
  <c r="E88" i="33"/>
  <c r="E87" i="33"/>
  <c r="F87" i="33" s="1"/>
  <c r="F88" i="33" s="1"/>
  <c r="M86" i="33"/>
  <c r="K78" i="33"/>
  <c r="H78" i="33"/>
  <c r="H79" i="33" s="1"/>
  <c r="H81" i="33" s="1"/>
  <c r="F78" i="33"/>
  <c r="F79" i="33" s="1"/>
  <c r="F81" i="33" s="1"/>
  <c r="D78" i="33"/>
  <c r="D79" i="33" s="1"/>
  <c r="D81" i="33" s="1"/>
  <c r="N77" i="33"/>
  <c r="N79" i="33" s="1"/>
  <c r="C49" i="33" s="1"/>
  <c r="F68" i="33"/>
  <c r="M66" i="33"/>
  <c r="L66" i="33"/>
  <c r="K66" i="33"/>
  <c r="M64" i="33"/>
  <c r="K64" i="33"/>
  <c r="C63" i="33"/>
  <c r="H62" i="33"/>
  <c r="H63" i="33" s="1"/>
  <c r="C64" i="33"/>
  <c r="C66" i="33" s="1"/>
  <c r="G95" i="33" s="1"/>
  <c r="G96" i="33" s="1"/>
  <c r="C52" i="33"/>
  <c r="C32" i="33"/>
  <c r="C34" i="33" s="1"/>
  <c r="C33" i="33"/>
  <c r="C66" i="30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F87" i="32" s="1"/>
  <c r="M86" i="32"/>
  <c r="K78" i="32"/>
  <c r="H78" i="32"/>
  <c r="H79" i="32" s="1"/>
  <c r="H81" i="32" s="1"/>
  <c r="F78" i="32"/>
  <c r="F79" i="32" s="1"/>
  <c r="F81" i="32" s="1"/>
  <c r="D78" i="32"/>
  <c r="D79" i="32" s="1"/>
  <c r="D81" i="32" s="1"/>
  <c r="N77" i="32"/>
  <c r="N79" i="32" s="1"/>
  <c r="C49" i="32" s="1"/>
  <c r="F68" i="32"/>
  <c r="M66" i="32"/>
  <c r="L66" i="32"/>
  <c r="K66" i="32"/>
  <c r="M64" i="32"/>
  <c r="K64" i="32"/>
  <c r="C63" i="32"/>
  <c r="C62" i="32"/>
  <c r="C52" i="32"/>
  <c r="C34" i="32"/>
  <c r="C31" i="32"/>
  <c r="C33" i="32" s="1"/>
  <c r="E100" i="31"/>
  <c r="E99" i="31"/>
  <c r="E98" i="31"/>
  <c r="E97" i="31"/>
  <c r="E96" i="31"/>
  <c r="E95" i="31"/>
  <c r="E94" i="31"/>
  <c r="E93" i="31"/>
  <c r="E92" i="31"/>
  <c r="E91" i="31"/>
  <c r="E90" i="31"/>
  <c r="E89" i="31"/>
  <c r="E88" i="31"/>
  <c r="E87" i="31"/>
  <c r="F87" i="31" s="1"/>
  <c r="M86" i="31"/>
  <c r="K78" i="31"/>
  <c r="H78" i="31"/>
  <c r="H79" i="31" s="1"/>
  <c r="H81" i="31" s="1"/>
  <c r="F78" i="31"/>
  <c r="F79" i="31" s="1"/>
  <c r="F81" i="31" s="1"/>
  <c r="D78" i="31"/>
  <c r="D79" i="31" s="1"/>
  <c r="D81" i="31" s="1"/>
  <c r="N77" i="31"/>
  <c r="N79" i="31" s="1"/>
  <c r="C49" i="31" s="1"/>
  <c r="F68" i="31"/>
  <c r="M66" i="31"/>
  <c r="L66" i="31"/>
  <c r="K66" i="31"/>
  <c r="M64" i="31"/>
  <c r="K64" i="31"/>
  <c r="C63" i="31"/>
  <c r="H62" i="31"/>
  <c r="H63" i="31" s="1"/>
  <c r="C62" i="31"/>
  <c r="C52" i="31"/>
  <c r="C34" i="31"/>
  <c r="C31" i="31"/>
  <c r="C33" i="31" s="1"/>
  <c r="M86" i="29"/>
  <c r="M86" i="28"/>
  <c r="M86" i="27"/>
  <c r="M86" i="26"/>
  <c r="M86" i="25"/>
  <c r="M86" i="24"/>
  <c r="M86" i="30"/>
  <c r="H62" i="30"/>
  <c r="H63" i="30" s="1"/>
  <c r="M63" i="30" s="1"/>
  <c r="E100" i="30"/>
  <c r="E99" i="30"/>
  <c r="E98" i="30"/>
  <c r="E97" i="30"/>
  <c r="E96" i="30"/>
  <c r="E95" i="30"/>
  <c r="E94" i="30"/>
  <c r="E93" i="30"/>
  <c r="E92" i="30"/>
  <c r="E91" i="30"/>
  <c r="E90" i="30"/>
  <c r="E89" i="30"/>
  <c r="E88" i="30"/>
  <c r="E87" i="30"/>
  <c r="F87" i="30" s="1"/>
  <c r="F88" i="30" s="1"/>
  <c r="F89" i="30" s="1"/>
  <c r="F90" i="30" s="1"/>
  <c r="F91" i="30" s="1"/>
  <c r="F92" i="30" s="1"/>
  <c r="F93" i="30" s="1"/>
  <c r="F94" i="30" s="1"/>
  <c r="F95" i="30" s="1"/>
  <c r="F96" i="30" s="1"/>
  <c r="F97" i="30" s="1"/>
  <c r="F98" i="30" s="1"/>
  <c r="F99" i="30" s="1"/>
  <c r="F100" i="30" s="1"/>
  <c r="K78" i="30"/>
  <c r="H78" i="30"/>
  <c r="H79" i="30" s="1"/>
  <c r="H81" i="30" s="1"/>
  <c r="F78" i="30"/>
  <c r="F79" i="30" s="1"/>
  <c r="F81" i="30" s="1"/>
  <c r="D78" i="30"/>
  <c r="D79" i="30" s="1"/>
  <c r="D81" i="30" s="1"/>
  <c r="N77" i="30"/>
  <c r="N79" i="30" s="1"/>
  <c r="C49" i="30" s="1"/>
  <c r="F68" i="30"/>
  <c r="M66" i="30"/>
  <c r="L66" i="30"/>
  <c r="K66" i="30"/>
  <c r="M64" i="30"/>
  <c r="K64" i="30"/>
  <c r="C63" i="30"/>
  <c r="C51" i="30"/>
  <c r="C32" i="30"/>
  <c r="C34" i="30" s="1"/>
  <c r="C33" i="30"/>
  <c r="E100" i="29"/>
  <c r="E99" i="29"/>
  <c r="E98" i="29"/>
  <c r="E97" i="29"/>
  <c r="E96" i="29"/>
  <c r="E95" i="29"/>
  <c r="E94" i="29"/>
  <c r="E93" i="29"/>
  <c r="E92" i="29"/>
  <c r="E91" i="29"/>
  <c r="E90" i="29"/>
  <c r="E89" i="29"/>
  <c r="E88" i="29"/>
  <c r="E87" i="29"/>
  <c r="F87" i="29" s="1"/>
  <c r="F88" i="29" s="1"/>
  <c r="F89" i="29" s="1"/>
  <c r="F90" i="29" s="1"/>
  <c r="F91" i="29" s="1"/>
  <c r="F92" i="29" s="1"/>
  <c r="F93" i="29" s="1"/>
  <c r="F94" i="29" s="1"/>
  <c r="F95" i="29" s="1"/>
  <c r="F96" i="29" s="1"/>
  <c r="F97" i="29" s="1"/>
  <c r="F98" i="29" s="1"/>
  <c r="F99" i="29" s="1"/>
  <c r="F100" i="29" s="1"/>
  <c r="K78" i="29"/>
  <c r="H78" i="29"/>
  <c r="H79" i="29" s="1"/>
  <c r="H81" i="29" s="1"/>
  <c r="F78" i="29"/>
  <c r="F79" i="29" s="1"/>
  <c r="F81" i="29" s="1"/>
  <c r="D78" i="29"/>
  <c r="D79" i="29" s="1"/>
  <c r="D81" i="29" s="1"/>
  <c r="N77" i="29"/>
  <c r="N79" i="29" s="1"/>
  <c r="C49" i="29" s="1"/>
  <c r="F68" i="29"/>
  <c r="M66" i="29"/>
  <c r="L66" i="29"/>
  <c r="K66" i="29"/>
  <c r="M64" i="29"/>
  <c r="K64" i="29"/>
  <c r="C64" i="29"/>
  <c r="C66" i="29" s="1"/>
  <c r="G95" i="29" s="1"/>
  <c r="G96" i="29" s="1"/>
  <c r="G97" i="29" s="1"/>
  <c r="G98" i="29" s="1"/>
  <c r="G99" i="29" s="1"/>
  <c r="G100" i="29" s="1"/>
  <c r="C67" i="29" s="1"/>
  <c r="C63" i="29"/>
  <c r="C62" i="29"/>
  <c r="H60" i="29"/>
  <c r="H62" i="29" s="1"/>
  <c r="H63" i="29" s="1"/>
  <c r="C52" i="29"/>
  <c r="C34" i="29"/>
  <c r="C31" i="29"/>
  <c r="C33" i="29" s="1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F87" i="28" s="1"/>
  <c r="F88" i="28" s="1"/>
  <c r="F89" i="28" s="1"/>
  <c r="K78" i="28"/>
  <c r="H78" i="28"/>
  <c r="H79" i="28" s="1"/>
  <c r="H81" i="28" s="1"/>
  <c r="F78" i="28"/>
  <c r="F79" i="28" s="1"/>
  <c r="F81" i="28" s="1"/>
  <c r="D78" i="28"/>
  <c r="D79" i="28" s="1"/>
  <c r="D81" i="28" s="1"/>
  <c r="N77" i="28"/>
  <c r="N79" i="28" s="1"/>
  <c r="C49" i="28" s="1"/>
  <c r="F68" i="28"/>
  <c r="M66" i="28"/>
  <c r="L66" i="28"/>
  <c r="K66" i="28"/>
  <c r="M64" i="28"/>
  <c r="K64" i="28"/>
  <c r="C64" i="28"/>
  <c r="C66" i="28" s="1"/>
  <c r="G95" i="28" s="1"/>
  <c r="G96" i="28" s="1"/>
  <c r="G97" i="28" s="1"/>
  <c r="G98" i="28" s="1"/>
  <c r="G99" i="28" s="1"/>
  <c r="G100" i="28" s="1"/>
  <c r="C67" i="28" s="1"/>
  <c r="C63" i="28"/>
  <c r="C62" i="28"/>
  <c r="H60" i="28"/>
  <c r="H62" i="28" s="1"/>
  <c r="H63" i="28" s="1"/>
  <c r="C52" i="28"/>
  <c r="C34" i="28"/>
  <c r="C31" i="28"/>
  <c r="C33" i="28" s="1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F87" i="27" s="1"/>
  <c r="K78" i="27"/>
  <c r="H78" i="27"/>
  <c r="H79" i="27" s="1"/>
  <c r="H81" i="27" s="1"/>
  <c r="F78" i="27"/>
  <c r="F79" i="27" s="1"/>
  <c r="F81" i="27" s="1"/>
  <c r="D78" i="27"/>
  <c r="D79" i="27" s="1"/>
  <c r="D81" i="27" s="1"/>
  <c r="N77" i="27"/>
  <c r="N79" i="27" s="1"/>
  <c r="C49" i="27" s="1"/>
  <c r="F68" i="27"/>
  <c r="M66" i="27"/>
  <c r="L66" i="27"/>
  <c r="K66" i="27"/>
  <c r="M64" i="27"/>
  <c r="K64" i="27"/>
  <c r="C63" i="27"/>
  <c r="C64" i="27" s="1"/>
  <c r="C66" i="27" s="1"/>
  <c r="G95" i="27" s="1"/>
  <c r="G96" i="27" s="1"/>
  <c r="G97" i="27" s="1"/>
  <c r="H62" i="27"/>
  <c r="H63" i="27" s="1"/>
  <c r="C62" i="27"/>
  <c r="H60" i="27"/>
  <c r="C52" i="27"/>
  <c r="C34" i="27"/>
  <c r="C31" i="27"/>
  <c r="C33" i="27" s="1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F87" i="26" s="1"/>
  <c r="K78" i="26"/>
  <c r="H78" i="26"/>
  <c r="H79" i="26" s="1"/>
  <c r="H81" i="26" s="1"/>
  <c r="F78" i="26"/>
  <c r="F79" i="26" s="1"/>
  <c r="F81" i="26" s="1"/>
  <c r="D78" i="26"/>
  <c r="D79" i="26" s="1"/>
  <c r="D81" i="26" s="1"/>
  <c r="N77" i="26"/>
  <c r="N79" i="26" s="1"/>
  <c r="C49" i="26" s="1"/>
  <c r="F68" i="26"/>
  <c r="M66" i="26"/>
  <c r="L66" i="26"/>
  <c r="K66" i="26"/>
  <c r="M64" i="26"/>
  <c r="K64" i="26"/>
  <c r="C64" i="26"/>
  <c r="C66" i="26" s="1"/>
  <c r="G95" i="26" s="1"/>
  <c r="G96" i="26" s="1"/>
  <c r="G97" i="26" s="1"/>
  <c r="G98" i="26" s="1"/>
  <c r="G99" i="26" s="1"/>
  <c r="G100" i="26" s="1"/>
  <c r="C67" i="26" s="1"/>
  <c r="C63" i="26"/>
  <c r="C62" i="26"/>
  <c r="H60" i="26"/>
  <c r="H62" i="26" s="1"/>
  <c r="H63" i="26" s="1"/>
  <c r="C52" i="26"/>
  <c r="C34" i="26"/>
  <c r="C31" i="26"/>
  <c r="C33" i="26" s="1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F87" i="25" s="1"/>
  <c r="K78" i="25"/>
  <c r="H78" i="25"/>
  <c r="H79" i="25" s="1"/>
  <c r="H81" i="25" s="1"/>
  <c r="F78" i="25"/>
  <c r="F79" i="25" s="1"/>
  <c r="F81" i="25" s="1"/>
  <c r="D78" i="25"/>
  <c r="D79" i="25" s="1"/>
  <c r="D81" i="25" s="1"/>
  <c r="N77" i="25"/>
  <c r="N79" i="25" s="1"/>
  <c r="C49" i="25" s="1"/>
  <c r="F68" i="25"/>
  <c r="M66" i="25"/>
  <c r="L66" i="25"/>
  <c r="K66" i="25"/>
  <c r="M64" i="25"/>
  <c r="K64" i="25"/>
  <c r="C63" i="25"/>
  <c r="C64" i="25" s="1"/>
  <c r="C66" i="25" s="1"/>
  <c r="G95" i="25" s="1"/>
  <c r="C62" i="25"/>
  <c r="H60" i="25"/>
  <c r="H62" i="25" s="1"/>
  <c r="H63" i="25" s="1"/>
  <c r="C52" i="25"/>
  <c r="C34" i="25"/>
  <c r="C31" i="25"/>
  <c r="C33" i="25" s="1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F87" i="24" s="1"/>
  <c r="K78" i="24"/>
  <c r="H78" i="24"/>
  <c r="H79" i="24" s="1"/>
  <c r="H81" i="24" s="1"/>
  <c r="F78" i="24"/>
  <c r="F79" i="24" s="1"/>
  <c r="F81" i="24" s="1"/>
  <c r="D78" i="24"/>
  <c r="D79" i="24" s="1"/>
  <c r="D81" i="24" s="1"/>
  <c r="N77" i="24"/>
  <c r="N79" i="24" s="1"/>
  <c r="C49" i="24" s="1"/>
  <c r="F68" i="24"/>
  <c r="M66" i="24"/>
  <c r="L66" i="24"/>
  <c r="K66" i="24"/>
  <c r="M64" i="24"/>
  <c r="K64" i="24"/>
  <c r="C63" i="24"/>
  <c r="C64" i="24" s="1"/>
  <c r="C66" i="24" s="1"/>
  <c r="G95" i="24" s="1"/>
  <c r="C62" i="24"/>
  <c r="H60" i="24"/>
  <c r="H62" i="24" s="1"/>
  <c r="H63" i="24" s="1"/>
  <c r="C52" i="24"/>
  <c r="C34" i="24"/>
  <c r="C31" i="24"/>
  <c r="C33" i="24" s="1"/>
  <c r="F90" i="28" l="1"/>
  <c r="F91" i="28" s="1"/>
  <c r="F92" i="28" s="1"/>
  <c r="F93" i="28" s="1"/>
  <c r="F94" i="28" s="1"/>
  <c r="F95" i="28" s="1"/>
  <c r="F96" i="28" s="1"/>
  <c r="F97" i="28" s="1"/>
  <c r="F98" i="28" s="1"/>
  <c r="F99" i="28" s="1"/>
  <c r="F100" i="28" s="1"/>
  <c r="G98" i="27"/>
  <c r="G99" i="27" s="1"/>
  <c r="G100" i="27" s="1"/>
  <c r="C67" i="27" s="1"/>
  <c r="F88" i="27"/>
  <c r="F89" i="27" s="1"/>
  <c r="F90" i="27" s="1"/>
  <c r="F91" i="27" s="1"/>
  <c r="F92" i="27" s="1"/>
  <c r="F93" i="27" s="1"/>
  <c r="F94" i="27" s="1"/>
  <c r="F95" i="27" s="1"/>
  <c r="F96" i="27" s="1"/>
  <c r="F97" i="27" s="1"/>
  <c r="F98" i="27" s="1"/>
  <c r="F99" i="27" s="1"/>
  <c r="F100" i="27" s="1"/>
  <c r="F88" i="26"/>
  <c r="F89" i="26" s="1"/>
  <c r="F90" i="26" s="1"/>
  <c r="F91" i="26" s="1"/>
  <c r="F92" i="26" s="1"/>
  <c r="F93" i="26" s="1"/>
  <c r="F94" i="26" s="1"/>
  <c r="F95" i="26" s="1"/>
  <c r="F96" i="26" s="1"/>
  <c r="F97" i="26" s="1"/>
  <c r="F98" i="26" s="1"/>
  <c r="F99" i="26" s="1"/>
  <c r="F100" i="26" s="1"/>
  <c r="G96" i="25"/>
  <c r="G97" i="25" s="1"/>
  <c r="G98" i="25" s="1"/>
  <c r="G99" i="25" s="1"/>
  <c r="G100" i="25" s="1"/>
  <c r="C67" i="25" s="1"/>
  <c r="F88" i="25"/>
  <c r="F89" i="25" s="1"/>
  <c r="F90" i="25" s="1"/>
  <c r="F91" i="25" s="1"/>
  <c r="F92" i="25" s="1"/>
  <c r="F93" i="25" s="1"/>
  <c r="F94" i="25" s="1"/>
  <c r="F95" i="25" s="1"/>
  <c r="F96" i="25" s="1"/>
  <c r="F97" i="25" s="1"/>
  <c r="F98" i="25" s="1"/>
  <c r="F99" i="25" s="1"/>
  <c r="F100" i="25" s="1"/>
  <c r="G96" i="24"/>
  <c r="G97" i="24" s="1"/>
  <c r="G98" i="24" s="1"/>
  <c r="G99" i="24" s="1"/>
  <c r="G100" i="24" s="1"/>
  <c r="C67" i="24" s="1"/>
  <c r="F88" i="24"/>
  <c r="F89" i="24" s="1"/>
  <c r="F90" i="24" s="1"/>
  <c r="F91" i="24" s="1"/>
  <c r="F92" i="24" s="1"/>
  <c r="F93" i="24" s="1"/>
  <c r="F94" i="24" s="1"/>
  <c r="F95" i="24" s="1"/>
  <c r="F96" i="24" s="1"/>
  <c r="F97" i="24" s="1"/>
  <c r="F98" i="24" s="1"/>
  <c r="F99" i="24" s="1"/>
  <c r="F100" i="24" s="1"/>
  <c r="C64" i="32"/>
  <c r="C66" i="32" s="1"/>
  <c r="G95" i="32" s="1"/>
  <c r="G96" i="32" s="1"/>
  <c r="G97" i="32" s="1"/>
  <c r="G98" i="32" s="1"/>
  <c r="G99" i="32" s="1"/>
  <c r="G100" i="32" s="1"/>
  <c r="C67" i="32" s="1"/>
  <c r="F88" i="32"/>
  <c r="F89" i="32" s="1"/>
  <c r="F90" i="32" s="1"/>
  <c r="F91" i="32" s="1"/>
  <c r="F92" i="32" s="1"/>
  <c r="F93" i="32" s="1"/>
  <c r="F94" i="32" s="1"/>
  <c r="F95" i="32" s="1"/>
  <c r="F96" i="32" s="1"/>
  <c r="F97" i="32" s="1"/>
  <c r="F98" i="32" s="1"/>
  <c r="F99" i="32" s="1"/>
  <c r="F100" i="32" s="1"/>
  <c r="C64" i="31"/>
  <c r="C66" i="31" s="1"/>
  <c r="G95" i="31" s="1"/>
  <c r="G96" i="31" s="1"/>
  <c r="G97" i="31" s="1"/>
  <c r="G98" i="31" s="1"/>
  <c r="G99" i="31" s="1"/>
  <c r="G100" i="31" s="1"/>
  <c r="C67" i="31" s="1"/>
  <c r="F88" i="31"/>
  <c r="F89" i="31" s="1"/>
  <c r="F90" i="31" s="1"/>
  <c r="F91" i="31" s="1"/>
  <c r="F92" i="31" s="1"/>
  <c r="F93" i="31" s="1"/>
  <c r="F94" i="31" s="1"/>
  <c r="F95" i="31" s="1"/>
  <c r="F96" i="31" s="1"/>
  <c r="F97" i="31" s="1"/>
  <c r="F98" i="31" s="1"/>
  <c r="F99" i="31" s="1"/>
  <c r="F100" i="31" s="1"/>
  <c r="F88" i="37"/>
  <c r="F89" i="37" s="1"/>
  <c r="F90" i="37" s="1"/>
  <c r="F91" i="37" s="1"/>
  <c r="F92" i="37" s="1"/>
  <c r="F93" i="37" s="1"/>
  <c r="F94" i="37" s="1"/>
  <c r="F95" i="37" s="1"/>
  <c r="F96" i="37" s="1"/>
  <c r="F97" i="37" s="1"/>
  <c r="F98" i="37" s="1"/>
  <c r="F99" i="37" s="1"/>
  <c r="F100" i="37" s="1"/>
  <c r="F90" i="35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89" i="33"/>
  <c r="F90" i="33" s="1"/>
  <c r="F91" i="33" s="1"/>
  <c r="F92" i="33" s="1"/>
  <c r="F93" i="33" s="1"/>
  <c r="F94" i="33" s="1"/>
  <c r="F95" i="33" s="1"/>
  <c r="F96" i="33" s="1"/>
  <c r="F97" i="33" s="1"/>
  <c r="F98" i="33" s="1"/>
  <c r="F99" i="33" s="1"/>
  <c r="F100" i="33" s="1"/>
  <c r="G97" i="33"/>
  <c r="G98" i="33" s="1"/>
  <c r="G99" i="33" s="1"/>
  <c r="G100" i="33" s="1"/>
  <c r="C67" i="33" s="1"/>
  <c r="W24" i="43"/>
  <c r="W9" i="43"/>
  <c r="X24" i="43"/>
  <c r="X9" i="43"/>
  <c r="AB24" i="43"/>
  <c r="AB9" i="43"/>
  <c r="AC24" i="43"/>
  <c r="AC9" i="43"/>
  <c r="AA24" i="43"/>
  <c r="AA9" i="43"/>
  <c r="AJ24" i="43"/>
  <c r="AJ9" i="43"/>
  <c r="U24" i="43"/>
  <c r="U9" i="43"/>
  <c r="D39" i="43"/>
  <c r="AD24" i="43"/>
  <c r="AD9" i="43"/>
  <c r="Z24" i="43"/>
  <c r="Z9" i="43"/>
  <c r="AE24" i="43"/>
  <c r="AE9" i="43"/>
  <c r="AF24" i="43"/>
  <c r="AF9" i="43"/>
  <c r="AG24" i="43"/>
  <c r="AG9" i="43"/>
  <c r="AH24" i="43"/>
  <c r="AH9" i="43"/>
  <c r="AI24" i="43"/>
  <c r="AI9" i="43"/>
  <c r="V24" i="43"/>
  <c r="V9" i="43"/>
  <c r="Y24" i="43"/>
  <c r="Y9" i="43"/>
  <c r="P8" i="7"/>
  <c r="L8" i="7" s="1"/>
  <c r="P12" i="7"/>
  <c r="L12" i="7" s="1"/>
  <c r="P16" i="7"/>
  <c r="L16" i="7" s="1"/>
  <c r="P6" i="7"/>
  <c r="L6" i="7" s="1"/>
  <c r="P14" i="7"/>
  <c r="L14" i="7" s="1"/>
  <c r="P11" i="7"/>
  <c r="L11" i="7" s="1"/>
  <c r="P15" i="7"/>
  <c r="L15" i="7" s="1"/>
  <c r="P9" i="7"/>
  <c r="L9" i="7" s="1"/>
  <c r="P13" i="7"/>
  <c r="L13" i="7" s="1"/>
  <c r="P5" i="7"/>
  <c r="L5" i="7" s="1"/>
  <c r="P10" i="7"/>
  <c r="L10" i="7" s="1"/>
  <c r="P7" i="7"/>
  <c r="L7" i="7" s="1"/>
  <c r="G95" i="30"/>
  <c r="G96" i="30" s="1"/>
  <c r="G97" i="30" s="1"/>
  <c r="G98" i="30" s="1"/>
  <c r="G99" i="30" s="1"/>
  <c r="G100" i="30" s="1"/>
  <c r="C67" i="30" s="1"/>
  <c r="K63" i="30" s="1"/>
  <c r="C69" i="39"/>
  <c r="K63" i="39"/>
  <c r="K65" i="39" s="1"/>
  <c r="C71" i="39"/>
  <c r="H67" i="39"/>
  <c r="H65" i="39"/>
  <c r="M63" i="39"/>
  <c r="M67" i="39" s="1"/>
  <c r="C69" i="38"/>
  <c r="K63" i="38"/>
  <c r="K65" i="38" s="1"/>
  <c r="C71" i="38"/>
  <c r="H67" i="38"/>
  <c r="H65" i="38"/>
  <c r="M63" i="38"/>
  <c r="M67" i="38" s="1"/>
  <c r="F88" i="38"/>
  <c r="F89" i="38" s="1"/>
  <c r="F90" i="38" s="1"/>
  <c r="F91" i="38" s="1"/>
  <c r="F92" i="38" s="1"/>
  <c r="F93" i="38" s="1"/>
  <c r="F94" i="38" s="1"/>
  <c r="F95" i="38" s="1"/>
  <c r="F96" i="38" s="1"/>
  <c r="F97" i="38" s="1"/>
  <c r="F98" i="38" s="1"/>
  <c r="F99" i="38" s="1"/>
  <c r="F100" i="38" s="1"/>
  <c r="C69" i="37"/>
  <c r="K63" i="37"/>
  <c r="C71" i="37"/>
  <c r="H67" i="37"/>
  <c r="H65" i="37"/>
  <c r="M63" i="37"/>
  <c r="M67" i="37" s="1"/>
  <c r="H67" i="36"/>
  <c r="H65" i="36"/>
  <c r="M63" i="36"/>
  <c r="M67" i="36" s="1"/>
  <c r="C69" i="36"/>
  <c r="K65" i="36"/>
  <c r="C71" i="36"/>
  <c r="H67" i="35"/>
  <c r="H65" i="35"/>
  <c r="M63" i="35"/>
  <c r="M67" i="35" s="1"/>
  <c r="C69" i="35"/>
  <c r="K63" i="35"/>
  <c r="K65" i="35" s="1"/>
  <c r="C71" i="35"/>
  <c r="C71" i="34"/>
  <c r="K63" i="34"/>
  <c r="K67" i="34" s="1"/>
  <c r="C69" i="34"/>
  <c r="H67" i="34"/>
  <c r="H65" i="34"/>
  <c r="M63" i="34"/>
  <c r="M65" i="34" s="1"/>
  <c r="C69" i="33"/>
  <c r="K63" i="33"/>
  <c r="K65" i="33" s="1"/>
  <c r="C71" i="33"/>
  <c r="H67" i="33"/>
  <c r="H65" i="33"/>
  <c r="M63" i="33"/>
  <c r="M67" i="33" s="1"/>
  <c r="H67" i="32"/>
  <c r="H65" i="32"/>
  <c r="M63" i="32"/>
  <c r="M67" i="32" s="1"/>
  <c r="H67" i="31"/>
  <c r="H65" i="31"/>
  <c r="M63" i="31"/>
  <c r="C71" i="30"/>
  <c r="C69" i="30"/>
  <c r="H67" i="30"/>
  <c r="H65" i="30"/>
  <c r="C69" i="29"/>
  <c r="C71" i="29"/>
  <c r="K63" i="29"/>
  <c r="K67" i="29" s="1"/>
  <c r="H67" i="29"/>
  <c r="H65" i="29"/>
  <c r="M63" i="29"/>
  <c r="M65" i="29" s="1"/>
  <c r="H67" i="28"/>
  <c r="H65" i="28"/>
  <c r="M63" i="28"/>
  <c r="M65" i="28" s="1"/>
  <c r="C69" i="28"/>
  <c r="C71" i="28"/>
  <c r="K63" i="28"/>
  <c r="K67" i="28" s="1"/>
  <c r="C71" i="27"/>
  <c r="C69" i="27"/>
  <c r="K63" i="27"/>
  <c r="K67" i="27" s="1"/>
  <c r="H67" i="27"/>
  <c r="H65" i="27"/>
  <c r="M63" i="27"/>
  <c r="M65" i="27" s="1"/>
  <c r="C71" i="26"/>
  <c r="C69" i="26"/>
  <c r="K63" i="26"/>
  <c r="K67" i="26" s="1"/>
  <c r="H67" i="26"/>
  <c r="H65" i="26"/>
  <c r="M63" i="26"/>
  <c r="M65" i="26" s="1"/>
  <c r="C71" i="25"/>
  <c r="C69" i="25"/>
  <c r="K63" i="25"/>
  <c r="K65" i="25" s="1"/>
  <c r="H67" i="25"/>
  <c r="H65" i="25"/>
  <c r="M63" i="25"/>
  <c r="M65" i="25" s="1"/>
  <c r="C71" i="24"/>
  <c r="C69" i="24"/>
  <c r="K63" i="24"/>
  <c r="K65" i="24" s="1"/>
  <c r="H67" i="24"/>
  <c r="H65" i="24"/>
  <c r="M63" i="24"/>
  <c r="M65" i="24" s="1"/>
  <c r="C71" i="32" l="1"/>
  <c r="K63" i="32"/>
  <c r="K65" i="32" s="1"/>
  <c r="C69" i="32"/>
  <c r="C71" i="31"/>
  <c r="C69" i="31"/>
  <c r="K63" i="31"/>
  <c r="M65" i="30"/>
  <c r="D6" i="43"/>
  <c r="M67" i="31"/>
  <c r="K65" i="31"/>
  <c r="L4" i="43" s="1"/>
  <c r="M65" i="31"/>
  <c r="L6" i="43" s="1"/>
  <c r="M67" i="28"/>
  <c r="M67" i="29"/>
  <c r="K67" i="24"/>
  <c r="K65" i="26"/>
  <c r="K65" i="27"/>
  <c r="K65" i="28"/>
  <c r="K65" i="29"/>
  <c r="K67" i="31"/>
  <c r="M65" i="39"/>
  <c r="K67" i="39"/>
  <c r="M65" i="36"/>
  <c r="K67" i="36"/>
  <c r="M65" i="35"/>
  <c r="K67" i="35"/>
  <c r="K67" i="38"/>
  <c r="M65" i="37"/>
  <c r="K65" i="34"/>
  <c r="K67" i="33"/>
  <c r="M65" i="33"/>
  <c r="M65" i="38"/>
  <c r="K65" i="37"/>
  <c r="K67" i="37"/>
  <c r="M67" i="34"/>
  <c r="M65" i="32"/>
  <c r="K67" i="32"/>
  <c r="K65" i="30"/>
  <c r="D4" i="43" s="1"/>
  <c r="K67" i="30"/>
  <c r="M67" i="30"/>
  <c r="M67" i="27"/>
  <c r="M67" i="26"/>
  <c r="M67" i="25"/>
  <c r="K67" i="25"/>
  <c r="M67" i="24"/>
  <c r="P6" i="43" l="1"/>
  <c r="M6" i="43"/>
  <c r="L36" i="43"/>
  <c r="O6" i="43"/>
  <c r="S6" i="43"/>
  <c r="Q6" i="43"/>
  <c r="L21" i="43"/>
  <c r="L49" i="43" s="1"/>
  <c r="N6" i="43"/>
  <c r="R6" i="43"/>
  <c r="F4" i="43"/>
  <c r="I4" i="43"/>
  <c r="D19" i="43"/>
  <c r="D47" i="43" s="1"/>
  <c r="K4" i="43"/>
  <c r="D34" i="43"/>
  <c r="G4" i="43"/>
  <c r="E4" i="43"/>
  <c r="J4" i="43"/>
  <c r="H4" i="43"/>
  <c r="N4" i="43"/>
  <c r="R4" i="43"/>
  <c r="S4" i="43"/>
  <c r="P4" i="43"/>
  <c r="L19" i="43"/>
  <c r="L47" i="43" s="1"/>
  <c r="O4" i="43"/>
  <c r="L34" i="43"/>
  <c r="M4" i="43"/>
  <c r="Q4" i="43"/>
  <c r="I6" i="43"/>
  <c r="K6" i="43"/>
  <c r="J6" i="43"/>
  <c r="F6" i="43"/>
  <c r="H6" i="43"/>
  <c r="G6" i="43"/>
  <c r="E6" i="43"/>
  <c r="D21" i="43"/>
  <c r="D49" i="43" s="1"/>
  <c r="D36" i="43"/>
  <c r="N12" i="3"/>
  <c r="O12" i="3" s="1"/>
  <c r="O7" i="3"/>
  <c r="M7" i="3"/>
  <c r="I36" i="43" l="1"/>
  <c r="I21" i="43"/>
  <c r="I49" i="43" s="1"/>
  <c r="F21" i="43"/>
  <c r="F49" i="43" s="1"/>
  <c r="F36" i="43"/>
  <c r="Q19" i="43"/>
  <c r="Q47" i="43" s="1"/>
  <c r="Q34" i="43"/>
  <c r="G34" i="43"/>
  <c r="G19" i="43"/>
  <c r="G47" i="43" s="1"/>
  <c r="H36" i="43"/>
  <c r="H21" i="43"/>
  <c r="H49" i="43" s="1"/>
  <c r="O19" i="43"/>
  <c r="O47" i="43" s="1"/>
  <c r="O34" i="43"/>
  <c r="R34" i="43"/>
  <c r="R19" i="43"/>
  <c r="R47" i="43" s="1"/>
  <c r="E34" i="43"/>
  <c r="E19" i="43"/>
  <c r="E47" i="43" s="1"/>
  <c r="N21" i="43"/>
  <c r="N49" i="43" s="1"/>
  <c r="N36" i="43"/>
  <c r="O36" i="43"/>
  <c r="O21" i="43"/>
  <c r="O49" i="43" s="1"/>
  <c r="N34" i="43"/>
  <c r="N19" i="43"/>
  <c r="N47" i="43" s="1"/>
  <c r="I34" i="43"/>
  <c r="I19" i="43"/>
  <c r="I47" i="43" s="1"/>
  <c r="E36" i="43"/>
  <c r="E21" i="43"/>
  <c r="E49" i="43" s="1"/>
  <c r="J21" i="43"/>
  <c r="J49" i="43" s="1"/>
  <c r="J36" i="43"/>
  <c r="M19" i="43"/>
  <c r="M47" i="43" s="1"/>
  <c r="M34" i="43"/>
  <c r="P34" i="43"/>
  <c r="P19" i="43"/>
  <c r="P47" i="43" s="1"/>
  <c r="H19" i="43"/>
  <c r="H47" i="43" s="1"/>
  <c r="H34" i="43"/>
  <c r="F19" i="43"/>
  <c r="F47" i="43" s="1"/>
  <c r="F34" i="43"/>
  <c r="Q36" i="43"/>
  <c r="Q21" i="43"/>
  <c r="Q49" i="43" s="1"/>
  <c r="M21" i="43"/>
  <c r="M49" i="43" s="1"/>
  <c r="M36" i="43"/>
  <c r="G21" i="43"/>
  <c r="G49" i="43" s="1"/>
  <c r="G36" i="43"/>
  <c r="K36" i="43"/>
  <c r="K21" i="43"/>
  <c r="K49" i="43" s="1"/>
  <c r="S19" i="43"/>
  <c r="S47" i="43" s="1"/>
  <c r="S34" i="43"/>
  <c r="J34" i="43"/>
  <c r="J19" i="43"/>
  <c r="J47" i="43" s="1"/>
  <c r="K34" i="43"/>
  <c r="K19" i="43"/>
  <c r="K47" i="43" s="1"/>
  <c r="R21" i="43"/>
  <c r="R49" i="43" s="1"/>
  <c r="R36" i="43"/>
  <c r="S36" i="43"/>
  <c r="S21" i="43"/>
  <c r="S49" i="43" s="1"/>
  <c r="P21" i="43"/>
  <c r="P49" i="43" s="1"/>
  <c r="P36" i="43"/>
  <c r="L8" i="3"/>
  <c r="P13" i="12" l="1"/>
  <c r="O15" i="4" l="1"/>
  <c r="N18" i="4" l="1"/>
  <c r="O18" i="4"/>
  <c r="P17" i="7" l="1"/>
  <c r="O17" i="7"/>
  <c r="F21" i="11" l="1"/>
  <c r="D21" i="11"/>
  <c r="D18" i="11"/>
  <c r="F18" i="11"/>
  <c r="H13" i="12" l="1"/>
  <c r="D13" i="12"/>
  <c r="P9" i="12"/>
  <c r="L9" i="12"/>
  <c r="I3" i="12"/>
  <c r="I2" i="12"/>
  <c r="F6" i="11"/>
  <c r="D6" i="11"/>
  <c r="D8" i="11" s="1"/>
  <c r="D11" i="11" s="1"/>
  <c r="D12" i="11" s="1"/>
  <c r="K35" i="3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35" i="3"/>
  <c r="M35" i="3" s="1"/>
  <c r="V20" i="3"/>
  <c r="U20" i="3"/>
  <c r="T20" i="3"/>
  <c r="S20" i="3"/>
  <c r="R20" i="3"/>
  <c r="Q20" i="3"/>
  <c r="P20" i="3"/>
  <c r="O20" i="3"/>
  <c r="N20" i="3"/>
  <c r="M20" i="3"/>
  <c r="L20" i="3"/>
  <c r="K20" i="3"/>
  <c r="W20" i="3" s="1"/>
  <c r="W19" i="3"/>
  <c r="L15" i="3"/>
  <c r="O13" i="3"/>
  <c r="O16" i="3" s="1"/>
  <c r="N13" i="3"/>
  <c r="N16" i="3" s="1"/>
  <c r="M13" i="3"/>
  <c r="M15" i="3" s="1"/>
  <c r="L9" i="3"/>
  <c r="L10" i="3" s="1"/>
  <c r="L11" i="3" s="1"/>
  <c r="O8" i="3"/>
  <c r="N8" i="3"/>
  <c r="M8" i="3"/>
  <c r="F33" i="5"/>
  <c r="E32" i="5"/>
  <c r="D32" i="5"/>
  <c r="C32" i="5"/>
  <c r="H28" i="5"/>
  <c r="E22" i="5"/>
  <c r="E23" i="5" s="1"/>
  <c r="E19" i="5"/>
  <c r="E12" i="5"/>
  <c r="E11" i="5"/>
  <c r="D24" i="2"/>
  <c r="D23" i="2"/>
  <c r="D22" i="2"/>
  <c r="D21" i="2"/>
  <c r="D20" i="2"/>
  <c r="D19" i="2"/>
  <c r="D18" i="2"/>
  <c r="D17" i="2"/>
  <c r="D16" i="2"/>
  <c r="D15" i="2"/>
  <c r="D14" i="2"/>
  <c r="C8" i="2"/>
  <c r="B8" i="2"/>
  <c r="C4" i="2"/>
  <c r="B4" i="2"/>
  <c r="M14" i="4"/>
  <c r="I4" i="12" l="1"/>
  <c r="I13" i="12"/>
  <c r="F13" i="2"/>
  <c r="L3" i="4"/>
  <c r="L10" i="4" s="1"/>
  <c r="L23" i="4" s="1"/>
  <c r="L26" i="4" s="1"/>
  <c r="Q13" i="12"/>
  <c r="I9" i="12"/>
  <c r="Q9" i="12"/>
  <c r="M23" i="3"/>
  <c r="F32" i="5"/>
  <c r="G31" i="5" s="1"/>
  <c r="H32" i="5" s="1"/>
  <c r="E7" i="5" s="1"/>
  <c r="E8" i="5" s="1"/>
  <c r="E24" i="5"/>
  <c r="E25" i="5" s="1"/>
  <c r="O5" i="5" s="1"/>
  <c r="O6" i="5" s="1"/>
  <c r="O11" i="5" s="1"/>
  <c r="O16" i="5" s="1"/>
  <c r="E13" i="5"/>
  <c r="E14" i="5" s="1"/>
  <c r="R5" i="3"/>
  <c r="L14" i="3"/>
  <c r="L16" i="3"/>
  <c r="M14" i="3"/>
  <c r="M16" i="3"/>
  <c r="N14" i="3"/>
  <c r="N15" i="3"/>
  <c r="O14" i="3"/>
  <c r="O15" i="3"/>
  <c r="O16" i="4"/>
  <c r="M16" i="4"/>
  <c r="M17" i="4" s="1"/>
  <c r="F11" i="11"/>
  <c r="O9" i="3"/>
  <c r="O10" i="3" s="1"/>
  <c r="O11" i="3" s="1"/>
  <c r="T5" i="3"/>
  <c r="S5" i="3"/>
  <c r="N9" i="3"/>
  <c r="N10" i="3" s="1"/>
  <c r="N11" i="3" s="1"/>
  <c r="M16" i="2"/>
  <c r="M20" i="2"/>
  <c r="M24" i="2"/>
  <c r="M13" i="2"/>
  <c r="M17" i="2"/>
  <c r="M21" i="2"/>
  <c r="G13" i="2"/>
  <c r="M19" i="2"/>
  <c r="M14" i="2"/>
  <c r="M18" i="2"/>
  <c r="M22" i="2"/>
  <c r="M15" i="2"/>
  <c r="M23" i="2"/>
  <c r="G20" i="2"/>
  <c r="G24" i="2"/>
  <c r="N15" i="2"/>
  <c r="N19" i="2"/>
  <c r="N23" i="2"/>
  <c r="N20" i="2"/>
  <c r="N24" i="2"/>
  <c r="N14" i="2"/>
  <c r="N18" i="2"/>
  <c r="N16" i="2"/>
  <c r="N22" i="2"/>
  <c r="N17" i="2"/>
  <c r="N21" i="2"/>
  <c r="N13" i="2"/>
  <c r="H14" i="2"/>
  <c r="H18" i="2"/>
  <c r="H22" i="2"/>
  <c r="H20" i="2"/>
  <c r="H13" i="2"/>
  <c r="H17" i="2"/>
  <c r="H15" i="2"/>
  <c r="H19" i="2"/>
  <c r="H23" i="2"/>
  <c r="H16" i="2"/>
  <c r="H24" i="2"/>
  <c r="H21" i="2"/>
  <c r="E14" i="2"/>
  <c r="G15" i="2"/>
  <c r="E18" i="2"/>
  <c r="G19" i="2"/>
  <c r="G23" i="2"/>
  <c r="K14" i="2"/>
  <c r="K18" i="2"/>
  <c r="K15" i="2"/>
  <c r="K23" i="2"/>
  <c r="K21" i="2"/>
  <c r="K16" i="2"/>
  <c r="K20" i="2"/>
  <c r="K24" i="2"/>
  <c r="G14" i="2"/>
  <c r="E17" i="2"/>
  <c r="G18" i="2"/>
  <c r="G22" i="2"/>
  <c r="G16" i="2"/>
  <c r="L21" i="2"/>
  <c r="L14" i="2"/>
  <c r="L16" i="2"/>
  <c r="L24" i="2"/>
  <c r="L23" i="2"/>
  <c r="L13" i="2"/>
  <c r="F19" i="2"/>
  <c r="F23" i="2"/>
  <c r="F22" i="2"/>
  <c r="F16" i="2"/>
  <c r="F21" i="2"/>
  <c r="F18" i="2"/>
  <c r="E16" i="2"/>
  <c r="G17" i="2"/>
  <c r="E20" i="2"/>
  <c r="G21" i="2"/>
  <c r="E24" i="2"/>
  <c r="M9" i="3"/>
  <c r="M10" i="3" s="1"/>
  <c r="M11" i="3" s="1"/>
  <c r="E16" i="3" s="1"/>
  <c r="D11" i="3"/>
  <c r="D10" i="3"/>
  <c r="D9" i="3"/>
  <c r="D8" i="3"/>
  <c r="D7" i="3"/>
  <c r="D6" i="3"/>
  <c r="D5" i="3"/>
  <c r="D16" i="3"/>
  <c r="D15" i="3"/>
  <c r="D14" i="3"/>
  <c r="D13" i="3"/>
  <c r="D12" i="3"/>
  <c r="K17" i="7"/>
  <c r="E7" i="6" s="1"/>
  <c r="L14" i="4"/>
  <c r="E9" i="12" l="1"/>
  <c r="M13" i="12"/>
  <c r="M9" i="12"/>
  <c r="E13" i="12"/>
  <c r="L5" i="5"/>
  <c r="L6" i="5" s="1"/>
  <c r="L11" i="5" s="1"/>
  <c r="L16" i="5" s="1"/>
  <c r="M5" i="5"/>
  <c r="M6" i="5" s="1"/>
  <c r="M11" i="5" s="1"/>
  <c r="M16" i="5" s="1"/>
  <c r="O22" i="5"/>
  <c r="H10" i="6" s="1"/>
  <c r="P5" i="5"/>
  <c r="P6" i="5" s="1"/>
  <c r="P11" i="5" s="1"/>
  <c r="P16" i="5" s="1"/>
  <c r="F24" i="2"/>
  <c r="F14" i="2"/>
  <c r="F15" i="2"/>
  <c r="L19" i="2"/>
  <c r="L22" i="2"/>
  <c r="L17" i="2"/>
  <c r="K13" i="2"/>
  <c r="E23" i="2"/>
  <c r="E19" i="2"/>
  <c r="E15" i="2"/>
  <c r="F20" i="2"/>
  <c r="F17" i="2"/>
  <c r="L20" i="2"/>
  <c r="L15" i="2"/>
  <c r="L18" i="2"/>
  <c r="E21" i="2"/>
  <c r="K17" i="2"/>
  <c r="K19" i="2"/>
  <c r="K22" i="2"/>
  <c r="E22" i="2"/>
  <c r="O17" i="4"/>
  <c r="C21" i="38"/>
  <c r="C23" i="38" s="1"/>
  <c r="C21" i="31"/>
  <c r="C23" i="31" s="1"/>
  <c r="C21" i="36"/>
  <c r="C23" i="36" s="1"/>
  <c r="C21" i="33"/>
  <c r="C23" i="33" s="1"/>
  <c r="C21" i="39"/>
  <c r="C23" i="39" s="1"/>
  <c r="C21" i="30"/>
  <c r="C23" i="30" s="1"/>
  <c r="C21" i="25"/>
  <c r="C23" i="25" s="1"/>
  <c r="C21" i="37"/>
  <c r="C23" i="37" s="1"/>
  <c r="C21" i="34"/>
  <c r="C23" i="34" s="1"/>
  <c r="C21" i="32"/>
  <c r="C23" i="32" s="1"/>
  <c r="C21" i="35"/>
  <c r="C23" i="35" s="1"/>
  <c r="C21" i="24"/>
  <c r="C23" i="24" s="1"/>
  <c r="L16" i="4"/>
  <c r="E15" i="3"/>
  <c r="E8" i="3"/>
  <c r="E6" i="3"/>
  <c r="E14" i="3"/>
  <c r="E9" i="3"/>
  <c r="E12" i="3"/>
  <c r="G15" i="3"/>
  <c r="G13" i="3"/>
  <c r="G9" i="3"/>
  <c r="G8" i="3"/>
  <c r="G14" i="3"/>
  <c r="G12" i="3"/>
  <c r="G10" i="3"/>
  <c r="G7" i="3"/>
  <c r="G6" i="3"/>
  <c r="G16" i="3"/>
  <c r="G11" i="3"/>
  <c r="G5" i="3"/>
  <c r="F12" i="3"/>
  <c r="F11" i="3"/>
  <c r="F10" i="3"/>
  <c r="F7" i="3"/>
  <c r="F5" i="3"/>
  <c r="F16" i="3"/>
  <c r="F14" i="3"/>
  <c r="F9" i="3"/>
  <c r="F13" i="3"/>
  <c r="F8" i="3"/>
  <c r="F6" i="3"/>
  <c r="F15" i="3"/>
  <c r="E7" i="3"/>
  <c r="E11" i="3"/>
  <c r="E10" i="3"/>
  <c r="G25" i="2"/>
  <c r="M8" i="6" s="1"/>
  <c r="H25" i="2"/>
  <c r="N25" i="2"/>
  <c r="M25" i="2"/>
  <c r="H7" i="6"/>
  <c r="G7" i="6"/>
  <c r="I7" i="6"/>
  <c r="D7" i="6"/>
  <c r="C7" i="6"/>
  <c r="E5" i="3"/>
  <c r="E13" i="3"/>
  <c r="D17" i="3"/>
  <c r="M19" i="4"/>
  <c r="J7" i="6"/>
  <c r="F7" i="6"/>
  <c r="L17" i="7"/>
  <c r="M23" i="4"/>
  <c r="M26" i="4" s="1"/>
  <c r="AF23" i="43" l="1"/>
  <c r="AF8" i="43"/>
  <c r="AD23" i="43"/>
  <c r="AD8" i="43"/>
  <c r="AC23" i="43"/>
  <c r="AC8" i="43"/>
  <c r="AE23" i="43"/>
  <c r="AE8" i="43"/>
  <c r="J10" i="6"/>
  <c r="O28" i="5"/>
  <c r="D10" i="6"/>
  <c r="F10" i="6" s="1"/>
  <c r="M22" i="5"/>
  <c r="P22" i="5"/>
  <c r="L22" i="5"/>
  <c r="K25" i="2"/>
  <c r="E25" i="2"/>
  <c r="C8" i="6" s="1"/>
  <c r="F25" i="2"/>
  <c r="I8" i="6" s="1"/>
  <c r="L25" i="2"/>
  <c r="L19" i="4"/>
  <c r="L20" i="4" s="1"/>
  <c r="C20" i="33"/>
  <c r="C22" i="33" s="1"/>
  <c r="C20" i="31"/>
  <c r="C22" i="31" s="1"/>
  <c r="C20" i="28"/>
  <c r="C22" i="28" s="1"/>
  <c r="C20" i="24"/>
  <c r="C22" i="24" s="1"/>
  <c r="C20" i="32"/>
  <c r="C22" i="32" s="1"/>
  <c r="C20" i="34"/>
  <c r="C22" i="34" s="1"/>
  <c r="C20" i="25"/>
  <c r="C22" i="25" s="1"/>
  <c r="C20" i="30"/>
  <c r="C22" i="30" s="1"/>
  <c r="C20" i="29"/>
  <c r="C22" i="29" s="1"/>
  <c r="C20" i="26"/>
  <c r="C22" i="26" s="1"/>
  <c r="C20" i="35"/>
  <c r="C22" i="35" s="1"/>
  <c r="C20" i="27"/>
  <c r="C22" i="27" s="1"/>
  <c r="N19" i="4"/>
  <c r="N20" i="4" s="1"/>
  <c r="C21" i="26"/>
  <c r="C23" i="26" s="1"/>
  <c r="C21" i="29"/>
  <c r="C23" i="29" s="1"/>
  <c r="C21" i="27"/>
  <c r="C23" i="27" s="1"/>
  <c r="C21" i="28"/>
  <c r="C23" i="28" s="1"/>
  <c r="O19" i="4"/>
  <c r="O20" i="4" s="1"/>
  <c r="N8" i="6"/>
  <c r="E17" i="3"/>
  <c r="G17" i="3"/>
  <c r="F17" i="3"/>
  <c r="L8" i="6"/>
  <c r="O8" i="6"/>
  <c r="R8" i="6"/>
  <c r="Q8" i="6"/>
  <c r="S8" i="6"/>
  <c r="P8" i="6"/>
  <c r="M9" i="6"/>
  <c r="H9" i="6"/>
  <c r="G9" i="6"/>
  <c r="D9" i="6"/>
  <c r="C9" i="6"/>
  <c r="M20" i="4"/>
  <c r="E4" i="4" s="1"/>
  <c r="R7" i="6"/>
  <c r="N7" i="6"/>
  <c r="Q7" i="6"/>
  <c r="M7" i="6"/>
  <c r="P7" i="6"/>
  <c r="S7" i="6"/>
  <c r="O7" i="6"/>
  <c r="L7" i="6"/>
  <c r="AI23" i="43" l="1"/>
  <c r="AI8" i="43"/>
  <c r="V23" i="43"/>
  <c r="V8" i="43"/>
  <c r="AH23" i="43"/>
  <c r="AH8" i="43"/>
  <c r="U23" i="43"/>
  <c r="U8" i="43"/>
  <c r="D38" i="43"/>
  <c r="X8" i="43"/>
  <c r="X23" i="43"/>
  <c r="AJ8" i="43"/>
  <c r="AJ23" i="43"/>
  <c r="AG23" i="43"/>
  <c r="AG8" i="43"/>
  <c r="W23" i="43"/>
  <c r="W8" i="43"/>
  <c r="E8" i="6"/>
  <c r="F8" i="6"/>
  <c r="D8" i="6"/>
  <c r="S10" i="6"/>
  <c r="P28" i="5"/>
  <c r="O13" i="6" s="1"/>
  <c r="Q10" i="6"/>
  <c r="M10" i="6"/>
  <c r="O10" i="6"/>
  <c r="I10" i="6"/>
  <c r="C10" i="6"/>
  <c r="E10" i="6" s="1"/>
  <c r="G10" i="6"/>
  <c r="L28" i="5"/>
  <c r="R10" i="6"/>
  <c r="P10" i="6"/>
  <c r="M28" i="5"/>
  <c r="N13" i="6" s="1"/>
  <c r="N10" i="6"/>
  <c r="L10" i="6"/>
  <c r="J8" i="6"/>
  <c r="G8" i="6"/>
  <c r="H8" i="6"/>
  <c r="L28" i="4"/>
  <c r="D4" i="4"/>
  <c r="C13" i="6" s="1"/>
  <c r="G13" i="4"/>
  <c r="G4" i="4"/>
  <c r="M28" i="4"/>
  <c r="G9" i="4"/>
  <c r="G12" i="4"/>
  <c r="R21" i="6" s="1"/>
  <c r="G15" i="4"/>
  <c r="G11" i="4"/>
  <c r="G10" i="4"/>
  <c r="G6" i="4"/>
  <c r="G5" i="4"/>
  <c r="G7" i="4"/>
  <c r="G14" i="4"/>
  <c r="G8" i="4"/>
  <c r="P17" i="6" s="1"/>
  <c r="F10" i="4"/>
  <c r="H19" i="6" s="1"/>
  <c r="F4" i="4"/>
  <c r="F13" i="4"/>
  <c r="H22" i="6" s="1"/>
  <c r="F8" i="4"/>
  <c r="H17" i="6" s="1"/>
  <c r="F12" i="4"/>
  <c r="H21" i="6" s="1"/>
  <c r="F6" i="4"/>
  <c r="J15" i="6" s="1"/>
  <c r="F5" i="4"/>
  <c r="J14" i="6" s="1"/>
  <c r="F11" i="4"/>
  <c r="J20" i="6" s="1"/>
  <c r="F7" i="4"/>
  <c r="H16" i="6" s="1"/>
  <c r="F15" i="4"/>
  <c r="J24" i="6" s="1"/>
  <c r="F9" i="4"/>
  <c r="J18" i="6" s="1"/>
  <c r="F14" i="4"/>
  <c r="J23" i="6" s="1"/>
  <c r="C20" i="39"/>
  <c r="C22" i="39" s="1"/>
  <c r="C20" i="38"/>
  <c r="C22" i="38" s="1"/>
  <c r="C20" i="37"/>
  <c r="C22" i="37" s="1"/>
  <c r="C20" i="36"/>
  <c r="C22" i="36" s="1"/>
  <c r="D7" i="4"/>
  <c r="C16" i="6" s="1"/>
  <c r="D11" i="4"/>
  <c r="D20" i="6" s="1"/>
  <c r="D5" i="4"/>
  <c r="F14" i="6" s="1"/>
  <c r="D14" i="4"/>
  <c r="F23" i="6" s="1"/>
  <c r="D13" i="4"/>
  <c r="C22" i="6" s="1"/>
  <c r="D9" i="4"/>
  <c r="F18" i="6" s="1"/>
  <c r="D6" i="4"/>
  <c r="D15" i="4"/>
  <c r="F24" i="6" s="1"/>
  <c r="D10" i="4"/>
  <c r="F19" i="6" s="1"/>
  <c r="D12" i="4"/>
  <c r="F21" i="6" s="1"/>
  <c r="D8" i="4"/>
  <c r="D17" i="6" s="1"/>
  <c r="L9" i="6"/>
  <c r="Q9" i="6"/>
  <c r="P9" i="6"/>
  <c r="R9" i="6"/>
  <c r="O9" i="6"/>
  <c r="N9" i="6"/>
  <c r="S9" i="6"/>
  <c r="J9" i="6"/>
  <c r="I9" i="6"/>
  <c r="F9" i="6"/>
  <c r="E9" i="6"/>
  <c r="E9" i="4"/>
  <c r="O18" i="6" s="1"/>
  <c r="E15" i="4"/>
  <c r="E13" i="4"/>
  <c r="E12" i="4"/>
  <c r="E5" i="4"/>
  <c r="O14" i="6" s="1"/>
  <c r="E6" i="4"/>
  <c r="E8" i="4"/>
  <c r="E7" i="4"/>
  <c r="E10" i="4"/>
  <c r="O19" i="6" s="1"/>
  <c r="E11" i="4"/>
  <c r="E14" i="4"/>
  <c r="L13" i="6"/>
  <c r="Y23" i="43" l="1"/>
  <c r="Y8" i="43"/>
  <c r="AB23" i="43"/>
  <c r="AB8" i="43"/>
  <c r="Z23" i="43"/>
  <c r="Z8" i="43"/>
  <c r="AA23" i="43"/>
  <c r="AA8" i="43"/>
  <c r="L21" i="6"/>
  <c r="L23" i="6"/>
  <c r="L17" i="6"/>
  <c r="P24" i="6"/>
  <c r="P13" i="6"/>
  <c r="N20" i="6"/>
  <c r="N24" i="6"/>
  <c r="E15" i="6"/>
  <c r="R18" i="6"/>
  <c r="G13" i="6"/>
  <c r="P16" i="6"/>
  <c r="P20" i="6"/>
  <c r="Q14" i="6"/>
  <c r="M13" i="6"/>
  <c r="M22" i="6"/>
  <c r="S15" i="6"/>
  <c r="Q22" i="6"/>
  <c r="M16" i="6"/>
  <c r="M15" i="6"/>
  <c r="S23" i="6"/>
  <c r="Q19" i="6"/>
  <c r="E13" i="6"/>
  <c r="F13" i="6"/>
  <c r="D13" i="6"/>
  <c r="G16" i="4"/>
  <c r="P6" i="6" s="1"/>
  <c r="R22" i="6"/>
  <c r="P22" i="6"/>
  <c r="S22" i="6"/>
  <c r="Q13" i="6"/>
  <c r="R13" i="6"/>
  <c r="Q18" i="6"/>
  <c r="S18" i="6"/>
  <c r="P18" i="6"/>
  <c r="S13" i="6"/>
  <c r="I17" i="6"/>
  <c r="R17" i="6"/>
  <c r="H20" i="6"/>
  <c r="P21" i="6"/>
  <c r="G17" i="6"/>
  <c r="G20" i="6"/>
  <c r="I23" i="6"/>
  <c r="Q21" i="6"/>
  <c r="Q15" i="6"/>
  <c r="P15" i="6"/>
  <c r="S17" i="6"/>
  <c r="I20" i="6"/>
  <c r="G23" i="6"/>
  <c r="R15" i="6"/>
  <c r="J17" i="6"/>
  <c r="Q17" i="6"/>
  <c r="H23" i="6"/>
  <c r="S21" i="6"/>
  <c r="R20" i="6"/>
  <c r="Q24" i="6"/>
  <c r="S20" i="6"/>
  <c r="R24" i="6"/>
  <c r="S24" i="6"/>
  <c r="S16" i="6"/>
  <c r="R16" i="6"/>
  <c r="J22" i="6"/>
  <c r="I18" i="6"/>
  <c r="H24" i="6"/>
  <c r="P23" i="6"/>
  <c r="R19" i="6"/>
  <c r="Q16" i="6"/>
  <c r="Q20" i="6"/>
  <c r="I22" i="6"/>
  <c r="I14" i="6"/>
  <c r="P14" i="6"/>
  <c r="I21" i="6"/>
  <c r="G19" i="6"/>
  <c r="G16" i="6"/>
  <c r="S14" i="6"/>
  <c r="I19" i="6"/>
  <c r="J21" i="6"/>
  <c r="I16" i="6"/>
  <c r="G21" i="6"/>
  <c r="J16" i="6"/>
  <c r="R14" i="6"/>
  <c r="J19" i="6"/>
  <c r="G22" i="6"/>
  <c r="R23" i="6"/>
  <c r="H14" i="6"/>
  <c r="G18" i="6"/>
  <c r="P19" i="6"/>
  <c r="Q23" i="6"/>
  <c r="G14" i="6"/>
  <c r="H18" i="6"/>
  <c r="S19" i="6"/>
  <c r="H13" i="6"/>
  <c r="J13" i="6"/>
  <c r="H15" i="6"/>
  <c r="G15" i="6"/>
  <c r="G24" i="6"/>
  <c r="F16" i="4"/>
  <c r="J6" i="6" s="1"/>
  <c r="I15" i="6"/>
  <c r="I24" i="6"/>
  <c r="I13" i="6"/>
  <c r="E16" i="6"/>
  <c r="D16" i="6"/>
  <c r="F16" i="6"/>
  <c r="F20" i="6"/>
  <c r="E20" i="6"/>
  <c r="F17" i="6"/>
  <c r="D23" i="6"/>
  <c r="C14" i="6"/>
  <c r="F22" i="6"/>
  <c r="C23" i="6"/>
  <c r="E24" i="6"/>
  <c r="E23" i="6"/>
  <c r="D14" i="6"/>
  <c r="E14" i="6"/>
  <c r="C20" i="6"/>
  <c r="C18" i="6"/>
  <c r="E17" i="6"/>
  <c r="E22" i="6"/>
  <c r="D22" i="6"/>
  <c r="F15" i="6"/>
  <c r="D18" i="6"/>
  <c r="E18" i="6"/>
  <c r="D15" i="6"/>
  <c r="C15" i="6"/>
  <c r="C17" i="6"/>
  <c r="D24" i="6"/>
  <c r="C24" i="6"/>
  <c r="D19" i="6"/>
  <c r="C19" i="6"/>
  <c r="D16" i="4"/>
  <c r="E19" i="6"/>
  <c r="E21" i="6"/>
  <c r="C21" i="6"/>
  <c r="D21" i="6"/>
  <c r="N15" i="6"/>
  <c r="M18" i="6"/>
  <c r="L22" i="6"/>
  <c r="O20" i="6"/>
  <c r="N18" i="6"/>
  <c r="L18" i="6"/>
  <c r="L24" i="6"/>
  <c r="M24" i="6"/>
  <c r="O24" i="6"/>
  <c r="O17" i="6"/>
  <c r="M17" i="6"/>
  <c r="O22" i="6"/>
  <c r="M20" i="6"/>
  <c r="N17" i="6"/>
  <c r="N22" i="6"/>
  <c r="M21" i="6"/>
  <c r="N21" i="6"/>
  <c r="L20" i="6"/>
  <c r="O21" i="6"/>
  <c r="M14" i="6"/>
  <c r="L14" i="6"/>
  <c r="O15" i="6"/>
  <c r="M19" i="6"/>
  <c r="N14" i="6"/>
  <c r="L15" i="6"/>
  <c r="L16" i="6"/>
  <c r="N23" i="6"/>
  <c r="N19" i="6"/>
  <c r="E16" i="4"/>
  <c r="O16" i="6"/>
  <c r="L19" i="6"/>
  <c r="N16" i="6"/>
  <c r="M23" i="6"/>
  <c r="O23" i="6"/>
  <c r="C5" i="31" l="1"/>
  <c r="H8" i="31" s="1"/>
  <c r="C26" i="38"/>
  <c r="C35" i="6"/>
  <c r="C31" i="6"/>
  <c r="C32" i="6" s="1"/>
  <c r="C33" i="6" s="1"/>
  <c r="C34" i="6" s="1"/>
  <c r="S31" i="6"/>
  <c r="S32" i="6" s="1"/>
  <c r="S33" i="6" s="1"/>
  <c r="S34" i="6" s="1"/>
  <c r="D31" i="6"/>
  <c r="D32" i="6" s="1"/>
  <c r="D33" i="6" s="1"/>
  <c r="D34" i="6" s="1"/>
  <c r="S35" i="6"/>
  <c r="H6" i="6"/>
  <c r="R6" i="6"/>
  <c r="R11" i="6" s="1"/>
  <c r="R27" i="6" s="1"/>
  <c r="S25" i="6"/>
  <c r="Q6" i="6"/>
  <c r="Q11" i="6" s="1"/>
  <c r="Q27" i="6" s="1"/>
  <c r="Q31" i="6"/>
  <c r="Q32" i="6" s="1"/>
  <c r="Q33" i="6" s="1"/>
  <c r="Q34" i="6" s="1"/>
  <c r="S6" i="6"/>
  <c r="S11" i="6" s="1"/>
  <c r="S27" i="6" s="1"/>
  <c r="Q35" i="6"/>
  <c r="P25" i="6"/>
  <c r="P31" i="6"/>
  <c r="P32" i="6" s="1"/>
  <c r="P33" i="6" s="1"/>
  <c r="P34" i="6" s="1"/>
  <c r="P35" i="6"/>
  <c r="G6" i="6"/>
  <c r="G11" i="6" s="1"/>
  <c r="G27" i="6" s="1"/>
  <c r="R31" i="6"/>
  <c r="R32" i="6" s="1"/>
  <c r="R33" i="6" s="1"/>
  <c r="R34" i="6" s="1"/>
  <c r="R35" i="6"/>
  <c r="H35" i="6"/>
  <c r="Q25" i="6"/>
  <c r="R25" i="6"/>
  <c r="I6" i="6"/>
  <c r="I11" i="6" s="1"/>
  <c r="I27" i="6" s="1"/>
  <c r="J25" i="6"/>
  <c r="J31" i="6"/>
  <c r="J32" i="6" s="1"/>
  <c r="J33" i="6" s="1"/>
  <c r="J34" i="6" s="1"/>
  <c r="J35" i="6"/>
  <c r="G25" i="6"/>
  <c r="H31" i="6"/>
  <c r="H32" i="6" s="1"/>
  <c r="H33" i="6" s="1"/>
  <c r="H34" i="6" s="1"/>
  <c r="H25" i="6"/>
  <c r="I35" i="6"/>
  <c r="G35" i="6"/>
  <c r="I31" i="6"/>
  <c r="I32" i="6" s="1"/>
  <c r="I33" i="6" s="1"/>
  <c r="I34" i="6" s="1"/>
  <c r="I25" i="6"/>
  <c r="G31" i="6"/>
  <c r="G32" i="6" s="1"/>
  <c r="G33" i="6" s="1"/>
  <c r="G34" i="6" s="1"/>
  <c r="F35" i="6"/>
  <c r="F25" i="6"/>
  <c r="F31" i="6"/>
  <c r="F32" i="6" s="1"/>
  <c r="F33" i="6" s="1"/>
  <c r="F34" i="6" s="1"/>
  <c r="D35" i="6"/>
  <c r="D6" i="6"/>
  <c r="E6" i="6"/>
  <c r="C6" i="6"/>
  <c r="F6" i="6"/>
  <c r="D25" i="6"/>
  <c r="E25" i="6"/>
  <c r="E35" i="6"/>
  <c r="C26" i="35"/>
  <c r="C26" i="33"/>
  <c r="C26" i="39"/>
  <c r="C26" i="37"/>
  <c r="C26" i="34"/>
  <c r="C26" i="36"/>
  <c r="J11" i="6"/>
  <c r="J27" i="6" s="1"/>
  <c r="E31" i="6"/>
  <c r="E32" i="6" s="1"/>
  <c r="E33" i="6" s="1"/>
  <c r="E34" i="6" s="1"/>
  <c r="C25" i="6"/>
  <c r="C26" i="30"/>
  <c r="P11" i="6"/>
  <c r="P27" i="6" s="1"/>
  <c r="L31" i="6"/>
  <c r="L32" i="6" s="1"/>
  <c r="L33" i="6" s="1"/>
  <c r="L34" i="6" s="1"/>
  <c r="O31" i="6"/>
  <c r="O32" i="6" s="1"/>
  <c r="O33" i="6" s="1"/>
  <c r="O34" i="6" s="1"/>
  <c r="M35" i="6"/>
  <c r="N25" i="6"/>
  <c r="N31" i="6"/>
  <c r="N32" i="6" s="1"/>
  <c r="N33" i="6" s="1"/>
  <c r="N34" i="6" s="1"/>
  <c r="L6" i="6"/>
  <c r="O6" i="6"/>
  <c r="N35" i="6"/>
  <c r="N6" i="6"/>
  <c r="O25" i="6"/>
  <c r="O35" i="6"/>
  <c r="M6" i="6"/>
  <c r="L35" i="6"/>
  <c r="L25" i="6"/>
  <c r="M25" i="6"/>
  <c r="M31" i="6"/>
  <c r="M32" i="6" s="1"/>
  <c r="M33" i="6" s="1"/>
  <c r="M34" i="6" s="1"/>
  <c r="H10" i="31" l="1"/>
  <c r="H14" i="31"/>
  <c r="H18" i="31"/>
  <c r="H22" i="31"/>
  <c r="H26" i="31"/>
  <c r="H11" i="31"/>
  <c r="H15" i="31"/>
  <c r="H19" i="31"/>
  <c r="H23" i="31"/>
  <c r="H27" i="31"/>
  <c r="H12" i="31"/>
  <c r="H16" i="31"/>
  <c r="H20" i="31"/>
  <c r="H24" i="31"/>
  <c r="H9" i="31"/>
  <c r="H13" i="31"/>
  <c r="H17" i="31"/>
  <c r="H21" i="31"/>
  <c r="H25" i="31"/>
  <c r="H11" i="6"/>
  <c r="H27" i="6" s="1"/>
  <c r="T88" i="34" s="1"/>
  <c r="T89" i="34" s="1"/>
  <c r="C36" i="6"/>
  <c r="C37" i="6" s="1"/>
  <c r="C5" i="30" s="1"/>
  <c r="C25" i="30" s="1"/>
  <c r="D36" i="6"/>
  <c r="D37" i="6" s="1"/>
  <c r="I36" i="6"/>
  <c r="I37" i="6" s="1"/>
  <c r="J36" i="6"/>
  <c r="J37" i="6" s="1"/>
  <c r="L36" i="6"/>
  <c r="L37" i="6" s="1"/>
  <c r="N36" i="6"/>
  <c r="N37" i="6" s="1"/>
  <c r="O36" i="6"/>
  <c r="O37" i="6" s="1"/>
  <c r="M36" i="6"/>
  <c r="E36" i="6"/>
  <c r="E37" i="6" s="1"/>
  <c r="Q36" i="6"/>
  <c r="Q37" i="6" s="1"/>
  <c r="C5" i="27" s="1"/>
  <c r="H8" i="27" s="1"/>
  <c r="S36" i="6"/>
  <c r="S37" i="6" s="1"/>
  <c r="C5" i="29" s="1"/>
  <c r="H25" i="29" s="1"/>
  <c r="F36" i="6"/>
  <c r="F37" i="6" s="1"/>
  <c r="H36" i="6"/>
  <c r="H37" i="6" s="1"/>
  <c r="P36" i="6"/>
  <c r="P37" i="6" s="1"/>
  <c r="C5" i="26" s="1"/>
  <c r="G36" i="6"/>
  <c r="G37" i="6" s="1"/>
  <c r="R36" i="6"/>
  <c r="R37" i="6" s="1"/>
  <c r="R38" i="6" s="1"/>
  <c r="C11" i="6"/>
  <c r="C27" i="6" s="1"/>
  <c r="C28" i="6" s="1"/>
  <c r="C29" i="6" s="1"/>
  <c r="D11" i="6"/>
  <c r="D27" i="6" s="1"/>
  <c r="AD88" i="26"/>
  <c r="AD89" i="26" s="1"/>
  <c r="AD88" i="25"/>
  <c r="AD89" i="25" s="1"/>
  <c r="AE88" i="24"/>
  <c r="AE89" i="24" s="1"/>
  <c r="AC88" i="27"/>
  <c r="Q28" i="6"/>
  <c r="Q29" i="6" s="1"/>
  <c r="C48" i="27" s="1"/>
  <c r="AC88" i="38"/>
  <c r="AC89" i="38" s="1"/>
  <c r="AC88" i="36"/>
  <c r="AC89" i="36" s="1"/>
  <c r="AC88" i="26"/>
  <c r="AC89" i="26" s="1"/>
  <c r="AC88" i="31"/>
  <c r="AC89" i="31" s="1"/>
  <c r="AC88" i="28"/>
  <c r="AC89" i="28" s="1"/>
  <c r="AC88" i="33"/>
  <c r="AC89" i="33" s="1"/>
  <c r="AC88" i="37"/>
  <c r="AC89" i="37" s="1"/>
  <c r="AC88" i="24"/>
  <c r="AC89" i="24" s="1"/>
  <c r="AC88" i="29"/>
  <c r="AC89" i="29" s="1"/>
  <c r="AC88" i="39"/>
  <c r="AC89" i="39" s="1"/>
  <c r="AC88" i="34"/>
  <c r="AC89" i="34" s="1"/>
  <c r="AC88" i="30"/>
  <c r="AC89" i="30" s="1"/>
  <c r="AC88" i="25"/>
  <c r="AC89" i="25" s="1"/>
  <c r="AC88" i="32"/>
  <c r="AC89" i="32" s="1"/>
  <c r="AC88" i="35"/>
  <c r="AC89" i="35" s="1"/>
  <c r="AD88" i="34"/>
  <c r="AD89" i="34" s="1"/>
  <c r="AE88" i="33"/>
  <c r="AE89" i="33" s="1"/>
  <c r="AE88" i="25"/>
  <c r="AE89" i="25" s="1"/>
  <c r="S28" i="6"/>
  <c r="S29" i="6" s="1"/>
  <c r="C48" i="29" s="1"/>
  <c r="AE88" i="31"/>
  <c r="AE89" i="31" s="1"/>
  <c r="AD88" i="30"/>
  <c r="AD89" i="30" s="1"/>
  <c r="AD88" i="39"/>
  <c r="AD89" i="39" s="1"/>
  <c r="R28" i="6"/>
  <c r="R29" i="6" s="1"/>
  <c r="C48" i="28" s="1"/>
  <c r="AD88" i="28"/>
  <c r="AD88" i="36"/>
  <c r="AD89" i="36" s="1"/>
  <c r="AD88" i="31"/>
  <c r="AD89" i="31" s="1"/>
  <c r="AD88" i="27"/>
  <c r="AD89" i="27" s="1"/>
  <c r="AD88" i="38"/>
  <c r="AD89" i="38" s="1"/>
  <c r="AD88" i="35"/>
  <c r="AD89" i="35" s="1"/>
  <c r="AD88" i="32"/>
  <c r="AD89" i="32" s="1"/>
  <c r="AD88" i="24"/>
  <c r="AD89" i="24" s="1"/>
  <c r="AD88" i="29"/>
  <c r="AD89" i="29" s="1"/>
  <c r="AD88" i="33"/>
  <c r="AD89" i="33" s="1"/>
  <c r="AD88" i="37"/>
  <c r="AD89" i="37" s="1"/>
  <c r="AE88" i="29"/>
  <c r="L89" i="29" s="1"/>
  <c r="AE88" i="36"/>
  <c r="AE89" i="36" s="1"/>
  <c r="AE88" i="32"/>
  <c r="AE89" i="32" s="1"/>
  <c r="AE88" i="37"/>
  <c r="AE89" i="37" s="1"/>
  <c r="AE88" i="27"/>
  <c r="AE89" i="27" s="1"/>
  <c r="AE88" i="30"/>
  <c r="AE89" i="30" s="1"/>
  <c r="AE88" i="35"/>
  <c r="AE89" i="35" s="1"/>
  <c r="AE88" i="38"/>
  <c r="AE89" i="38" s="1"/>
  <c r="AE88" i="28"/>
  <c r="AE89" i="28" s="1"/>
  <c r="AE88" i="26"/>
  <c r="AE89" i="26" s="1"/>
  <c r="AE88" i="34"/>
  <c r="AE89" i="34" s="1"/>
  <c r="AE88" i="39"/>
  <c r="AE89" i="39" s="1"/>
  <c r="F11" i="6"/>
  <c r="F27" i="6" s="1"/>
  <c r="R88" i="36" s="1"/>
  <c r="R89" i="36" s="1"/>
  <c r="M11" i="6"/>
  <c r="M27" i="6" s="1"/>
  <c r="Y88" i="37" s="1"/>
  <c r="Y89" i="37" s="1"/>
  <c r="N11" i="6"/>
  <c r="N27" i="6" s="1"/>
  <c r="O11" i="6"/>
  <c r="O27" i="6" s="1"/>
  <c r="U88" i="37"/>
  <c r="U89" i="37" s="1"/>
  <c r="V88" i="39"/>
  <c r="E11" i="6"/>
  <c r="E27" i="6" s="1"/>
  <c r="V88" i="33"/>
  <c r="V89" i="33" s="1"/>
  <c r="J28" i="6"/>
  <c r="J29" i="6" s="1"/>
  <c r="C48" i="39" s="1"/>
  <c r="C50" i="39" s="1"/>
  <c r="V88" i="24"/>
  <c r="V89" i="24" s="1"/>
  <c r="U88" i="28"/>
  <c r="U89" i="28" s="1"/>
  <c r="U88" i="33"/>
  <c r="U89" i="33" s="1"/>
  <c r="V88" i="31"/>
  <c r="V89" i="31" s="1"/>
  <c r="U88" i="30"/>
  <c r="U89" i="30" s="1"/>
  <c r="V88" i="29"/>
  <c r="V89" i="29" s="1"/>
  <c r="V88" i="36"/>
  <c r="V89" i="36" s="1"/>
  <c r="V88" i="32"/>
  <c r="V89" i="32" s="1"/>
  <c r="U88" i="32"/>
  <c r="U89" i="32" s="1"/>
  <c r="U88" i="34"/>
  <c r="U89" i="34" s="1"/>
  <c r="V88" i="37"/>
  <c r="V89" i="37" s="1"/>
  <c r="I28" i="6"/>
  <c r="I29" i="6" s="1"/>
  <c r="C48" i="38" s="1"/>
  <c r="C50" i="38" s="1"/>
  <c r="C53" i="38" s="1"/>
  <c r="J7" i="43" s="1"/>
  <c r="V88" i="27"/>
  <c r="V89" i="27" s="1"/>
  <c r="V88" i="30"/>
  <c r="V89" i="30" s="1"/>
  <c r="U88" i="26"/>
  <c r="U89" i="26" s="1"/>
  <c r="U88" i="25"/>
  <c r="U89" i="25" s="1"/>
  <c r="U88" i="38"/>
  <c r="U88" i="36"/>
  <c r="U89" i="36" s="1"/>
  <c r="V88" i="35"/>
  <c r="V89" i="35" s="1"/>
  <c r="V88" i="38"/>
  <c r="V89" i="38" s="1"/>
  <c r="V88" i="25"/>
  <c r="V89" i="25" s="1"/>
  <c r="U88" i="24"/>
  <c r="U89" i="24" s="1"/>
  <c r="U88" i="29"/>
  <c r="U89" i="29" s="1"/>
  <c r="U88" i="35"/>
  <c r="U89" i="35" s="1"/>
  <c r="V88" i="28"/>
  <c r="V89" i="28" s="1"/>
  <c r="V88" i="26"/>
  <c r="V89" i="26" s="1"/>
  <c r="U88" i="31"/>
  <c r="U89" i="31" s="1"/>
  <c r="U88" i="27"/>
  <c r="U89" i="27" s="1"/>
  <c r="U88" i="39"/>
  <c r="U89" i="39" s="1"/>
  <c r="V88" i="34"/>
  <c r="V89" i="34" s="1"/>
  <c r="AB88" i="39"/>
  <c r="AB89" i="39" s="1"/>
  <c r="AB88" i="38"/>
  <c r="AB89" i="38" s="1"/>
  <c r="AB88" i="34"/>
  <c r="AB89" i="34" s="1"/>
  <c r="AB88" i="37"/>
  <c r="AB89" i="37" s="1"/>
  <c r="AB88" i="36"/>
  <c r="AB89" i="36" s="1"/>
  <c r="AB88" i="35"/>
  <c r="AB89" i="35" s="1"/>
  <c r="AB88" i="33"/>
  <c r="AB89" i="33" s="1"/>
  <c r="S88" i="39"/>
  <c r="S89" i="39" s="1"/>
  <c r="S88" i="38"/>
  <c r="S89" i="38" s="1"/>
  <c r="S88" i="34"/>
  <c r="S89" i="34" s="1"/>
  <c r="S88" i="37"/>
  <c r="S89" i="37" s="1"/>
  <c r="S88" i="36"/>
  <c r="S88" i="35"/>
  <c r="S89" i="35" s="1"/>
  <c r="S88" i="33"/>
  <c r="S89" i="33" s="1"/>
  <c r="S88" i="32"/>
  <c r="S89" i="32" s="1"/>
  <c r="S88" i="29"/>
  <c r="S89" i="29" s="1"/>
  <c r="S88" i="28"/>
  <c r="S89" i="28" s="1"/>
  <c r="S88" i="27"/>
  <c r="S89" i="27" s="1"/>
  <c r="S88" i="25"/>
  <c r="S89" i="25" s="1"/>
  <c r="S88" i="24"/>
  <c r="S89" i="24" s="1"/>
  <c r="S88" i="30"/>
  <c r="S89" i="30" s="1"/>
  <c r="S88" i="31"/>
  <c r="S89" i="31" s="1"/>
  <c r="S88" i="26"/>
  <c r="S89" i="26" s="1"/>
  <c r="AB88" i="32"/>
  <c r="AB89" i="32" s="1"/>
  <c r="AB88" i="29"/>
  <c r="AB89" i="29" s="1"/>
  <c r="AB88" i="28"/>
  <c r="AB89" i="28" s="1"/>
  <c r="AB88" i="27"/>
  <c r="AB89" i="27" s="1"/>
  <c r="AB88" i="25"/>
  <c r="AB89" i="25" s="1"/>
  <c r="AB88" i="24"/>
  <c r="AB89" i="24" s="1"/>
  <c r="AB88" i="30"/>
  <c r="AB89" i="30" s="1"/>
  <c r="AB88" i="31"/>
  <c r="AB89" i="31" s="1"/>
  <c r="AB88" i="26"/>
  <c r="C26" i="31"/>
  <c r="P28" i="6"/>
  <c r="P29" i="6" s="1"/>
  <c r="C48" i="26" s="1"/>
  <c r="G28" i="6"/>
  <c r="G29" i="6" s="1"/>
  <c r="C48" i="36" s="1"/>
  <c r="C50" i="36" s="1"/>
  <c r="C53" i="36" s="1"/>
  <c r="H7" i="43" s="1"/>
  <c r="L11" i="6"/>
  <c r="M6" i="31" l="1"/>
  <c r="H22" i="43"/>
  <c r="H50" i="43" s="1"/>
  <c r="H37" i="43"/>
  <c r="J22" i="43"/>
  <c r="J50" i="43" s="1"/>
  <c r="J37" i="43"/>
  <c r="T88" i="39"/>
  <c r="T89" i="39" s="1"/>
  <c r="T88" i="24"/>
  <c r="T89" i="24" s="1"/>
  <c r="T88" i="32"/>
  <c r="T89" i="32" s="1"/>
  <c r="T88" i="26"/>
  <c r="T89" i="26" s="1"/>
  <c r="T88" i="29"/>
  <c r="T89" i="29" s="1"/>
  <c r="T88" i="31"/>
  <c r="T89" i="31" s="1"/>
  <c r="T88" i="37"/>
  <c r="T89" i="37" s="1"/>
  <c r="H28" i="6"/>
  <c r="H29" i="6" s="1"/>
  <c r="C48" i="37" s="1"/>
  <c r="C50" i="37" s="1"/>
  <c r="C54" i="37" s="1"/>
  <c r="T88" i="35"/>
  <c r="T89" i="35" s="1"/>
  <c r="T88" i="27"/>
  <c r="T89" i="27" s="1"/>
  <c r="T88" i="38"/>
  <c r="T89" i="38" s="1"/>
  <c r="T88" i="36"/>
  <c r="T89" i="36" s="1"/>
  <c r="T88" i="28"/>
  <c r="T89" i="28" s="1"/>
  <c r="H22" i="30"/>
  <c r="H20" i="30"/>
  <c r="H18" i="30"/>
  <c r="H16" i="30"/>
  <c r="H14" i="30"/>
  <c r="H12" i="30"/>
  <c r="H10" i="30"/>
  <c r="H8" i="30"/>
  <c r="H26" i="30"/>
  <c r="H24" i="30"/>
  <c r="H21" i="30"/>
  <c r="H19" i="30"/>
  <c r="H17" i="30"/>
  <c r="H15" i="30"/>
  <c r="H13" i="30"/>
  <c r="H11" i="30"/>
  <c r="H9" i="30"/>
  <c r="H27" i="30"/>
  <c r="H25" i="30"/>
  <c r="H23" i="30"/>
  <c r="T88" i="30"/>
  <c r="T89" i="30" s="1"/>
  <c r="T88" i="25"/>
  <c r="T89" i="25" s="1"/>
  <c r="T88" i="33"/>
  <c r="T89" i="33" s="1"/>
  <c r="BD32" i="41"/>
  <c r="BV32" i="41"/>
  <c r="BD19" i="41"/>
  <c r="BV19" i="41"/>
  <c r="U89" i="38"/>
  <c r="L89" i="38"/>
  <c r="L90" i="38" s="1"/>
  <c r="Q96" i="38" s="1"/>
  <c r="Q100" i="38" s="1"/>
  <c r="M91" i="38" s="1"/>
  <c r="M92" i="38" s="1"/>
  <c r="V89" i="39"/>
  <c r="L89" i="39"/>
  <c r="AB89" i="26"/>
  <c r="L89" i="26"/>
  <c r="L90" i="26" s="1"/>
  <c r="Q96" i="26" s="1"/>
  <c r="Q100" i="26" s="1"/>
  <c r="M91" i="26" s="1"/>
  <c r="M92" i="26" s="1"/>
  <c r="S89" i="36"/>
  <c r="L89" i="36"/>
  <c r="L90" i="36" s="1"/>
  <c r="Q96" i="36" s="1"/>
  <c r="Q100" i="36" s="1"/>
  <c r="M91" i="36" s="1"/>
  <c r="M92" i="36" s="1"/>
  <c r="AD89" i="28"/>
  <c r="L89" i="28"/>
  <c r="L90" i="28" s="1"/>
  <c r="Q96" i="28" s="1"/>
  <c r="Q100" i="28" s="1"/>
  <c r="M91" i="28" s="1"/>
  <c r="M92" i="28" s="1"/>
  <c r="AC89" i="27"/>
  <c r="L89" i="27"/>
  <c r="L90" i="27" s="1"/>
  <c r="Q96" i="27" s="1"/>
  <c r="Q100" i="27" s="1"/>
  <c r="M91" i="27" s="1"/>
  <c r="M92" i="27" s="1"/>
  <c r="G38" i="6"/>
  <c r="AE89" i="29"/>
  <c r="L90" i="29" s="1"/>
  <c r="Q96" i="29" s="1"/>
  <c r="Q100" i="29" s="1"/>
  <c r="M91" i="29" s="1"/>
  <c r="M92" i="29" s="1"/>
  <c r="Q38" i="6"/>
  <c r="S38" i="6"/>
  <c r="H21" i="27"/>
  <c r="H25" i="27"/>
  <c r="H17" i="27"/>
  <c r="H23" i="27"/>
  <c r="H9" i="27"/>
  <c r="H12" i="27"/>
  <c r="H26" i="27"/>
  <c r="H27" i="27"/>
  <c r="H11" i="27"/>
  <c r="H24" i="27"/>
  <c r="H22" i="27"/>
  <c r="H14" i="27"/>
  <c r="H13" i="27"/>
  <c r="H15" i="27"/>
  <c r="H16" i="27"/>
  <c r="H10" i="27"/>
  <c r="H18" i="27"/>
  <c r="H20" i="27"/>
  <c r="H19" i="27"/>
  <c r="C26" i="27"/>
  <c r="H13" i="29"/>
  <c r="H10" i="29"/>
  <c r="H9" i="29"/>
  <c r="H16" i="29"/>
  <c r="C26" i="29"/>
  <c r="H17" i="29"/>
  <c r="H22" i="29"/>
  <c r="H11" i="29"/>
  <c r="H15" i="29"/>
  <c r="H14" i="29"/>
  <c r="H21" i="29"/>
  <c r="H19" i="29"/>
  <c r="H23" i="29"/>
  <c r="H8" i="29"/>
  <c r="H27" i="29"/>
  <c r="H12" i="29"/>
  <c r="H26" i="29"/>
  <c r="H20" i="29"/>
  <c r="H18" i="29"/>
  <c r="H24" i="29"/>
  <c r="C5" i="25"/>
  <c r="H11" i="25" s="1"/>
  <c r="AA88" i="25"/>
  <c r="AA88" i="33"/>
  <c r="AA89" i="33" s="1"/>
  <c r="M37" i="6"/>
  <c r="H23" i="32" s="1"/>
  <c r="C5" i="33"/>
  <c r="P38" i="6"/>
  <c r="C5" i="28"/>
  <c r="H18" i="26"/>
  <c r="H11" i="26"/>
  <c r="H14" i="26"/>
  <c r="H9" i="26"/>
  <c r="H26" i="26"/>
  <c r="H24" i="26"/>
  <c r="H19" i="26"/>
  <c r="H16" i="26"/>
  <c r="H22" i="26"/>
  <c r="H25" i="26"/>
  <c r="H10" i="26"/>
  <c r="H8" i="26"/>
  <c r="H27" i="26"/>
  <c r="H23" i="26"/>
  <c r="H17" i="26"/>
  <c r="H13" i="26"/>
  <c r="H12" i="26"/>
  <c r="H21" i="26"/>
  <c r="H20" i="26"/>
  <c r="H15" i="26"/>
  <c r="C26" i="26"/>
  <c r="AA88" i="32"/>
  <c r="AA89" i="32" s="1"/>
  <c r="AA88" i="39"/>
  <c r="AA89" i="39" s="1"/>
  <c r="C48" i="30"/>
  <c r="C50" i="30" s="1"/>
  <c r="C53" i="30" s="1"/>
  <c r="C5" i="36"/>
  <c r="O28" i="6"/>
  <c r="O29" i="6" s="1"/>
  <c r="C48" i="25" s="1"/>
  <c r="C50" i="25" s="1"/>
  <c r="C53" i="25" s="1"/>
  <c r="O7" i="43" s="1"/>
  <c r="AA88" i="26"/>
  <c r="AA89" i="26" s="1"/>
  <c r="AA88" i="24"/>
  <c r="AA89" i="24" s="1"/>
  <c r="AA88" i="31"/>
  <c r="AA89" i="31" s="1"/>
  <c r="AA88" i="37"/>
  <c r="AA89" i="37" s="1"/>
  <c r="AA88" i="28"/>
  <c r="AA89" i="28" s="1"/>
  <c r="AA88" i="35"/>
  <c r="AA89" i="35" s="1"/>
  <c r="AA88" i="29"/>
  <c r="AA89" i="29" s="1"/>
  <c r="AA88" i="34"/>
  <c r="AA89" i="34" s="1"/>
  <c r="N28" i="6"/>
  <c r="N29" i="6" s="1"/>
  <c r="C48" i="24" s="1"/>
  <c r="C50" i="24" s="1"/>
  <c r="C53" i="24" s="1"/>
  <c r="N7" i="43" s="1"/>
  <c r="Z88" i="37"/>
  <c r="Z89" i="37" s="1"/>
  <c r="P88" i="30"/>
  <c r="P89" i="30" s="1"/>
  <c r="R88" i="28"/>
  <c r="R89" i="28" s="1"/>
  <c r="R88" i="27"/>
  <c r="R89" i="27" s="1"/>
  <c r="R88" i="39"/>
  <c r="R89" i="39" s="1"/>
  <c r="Z88" i="25"/>
  <c r="Z89" i="25" s="1"/>
  <c r="P88" i="27"/>
  <c r="P89" i="27" s="1"/>
  <c r="P88" i="33"/>
  <c r="P88" i="36"/>
  <c r="P89" i="36" s="1"/>
  <c r="Z88" i="26"/>
  <c r="Z89" i="26" s="1"/>
  <c r="F28" i="6"/>
  <c r="F29" i="6" s="1"/>
  <c r="C48" i="35" s="1"/>
  <c r="C50" i="35" s="1"/>
  <c r="C54" i="35" s="1"/>
  <c r="Z88" i="39"/>
  <c r="Z89" i="39" s="1"/>
  <c r="R88" i="33"/>
  <c r="R89" i="33" s="1"/>
  <c r="P88" i="31"/>
  <c r="P89" i="31" s="1"/>
  <c r="AA88" i="27"/>
  <c r="AA89" i="27" s="1"/>
  <c r="AA88" i="30"/>
  <c r="AA89" i="30" s="1"/>
  <c r="AA88" i="36"/>
  <c r="AA89" i="36" s="1"/>
  <c r="AA88" i="38"/>
  <c r="AA89" i="38" s="1"/>
  <c r="Y88" i="34"/>
  <c r="Y89" i="34" s="1"/>
  <c r="Z88" i="27"/>
  <c r="Z89" i="27" s="1"/>
  <c r="R88" i="34"/>
  <c r="R89" i="34" s="1"/>
  <c r="R88" i="29"/>
  <c r="R89" i="29" s="1"/>
  <c r="R88" i="37"/>
  <c r="R89" i="37" s="1"/>
  <c r="P88" i="26"/>
  <c r="P89" i="26" s="1"/>
  <c r="P88" i="37"/>
  <c r="P89" i="37" s="1"/>
  <c r="Z88" i="30"/>
  <c r="Z89" i="30" s="1"/>
  <c r="Z88" i="28"/>
  <c r="Z89" i="28" s="1"/>
  <c r="Z88" i="34"/>
  <c r="Z89" i="34" s="1"/>
  <c r="Z88" i="35"/>
  <c r="Z89" i="35" s="1"/>
  <c r="R88" i="35"/>
  <c r="R88" i="30"/>
  <c r="R89" i="30" s="1"/>
  <c r="P88" i="39"/>
  <c r="P89" i="39" s="1"/>
  <c r="R88" i="38"/>
  <c r="R89" i="38" s="1"/>
  <c r="P88" i="32"/>
  <c r="P89" i="32" s="1"/>
  <c r="R88" i="24"/>
  <c r="R89" i="24" s="1"/>
  <c r="D28" i="6"/>
  <c r="D29" i="6" s="1"/>
  <c r="C48" i="33" s="1"/>
  <c r="C50" i="33" s="1"/>
  <c r="C53" i="33" s="1"/>
  <c r="E7" i="43" s="1"/>
  <c r="P88" i="29"/>
  <c r="P89" i="29" s="1"/>
  <c r="P88" i="28"/>
  <c r="P89" i="28" s="1"/>
  <c r="C5" i="35"/>
  <c r="Z88" i="31"/>
  <c r="Z89" i="31" s="1"/>
  <c r="Z88" i="33"/>
  <c r="Z89" i="33" s="1"/>
  <c r="P88" i="35"/>
  <c r="P89" i="35" s="1"/>
  <c r="P88" i="24"/>
  <c r="P89" i="24" s="1"/>
  <c r="Z88" i="32"/>
  <c r="Z89" i="32" s="1"/>
  <c r="Z88" i="24"/>
  <c r="Z88" i="29"/>
  <c r="Z89" i="29" s="1"/>
  <c r="Z88" i="38"/>
  <c r="Z89" i="38" s="1"/>
  <c r="Z88" i="36"/>
  <c r="Z89" i="36" s="1"/>
  <c r="R88" i="26"/>
  <c r="R89" i="26" s="1"/>
  <c r="R88" i="31"/>
  <c r="R89" i="31" s="1"/>
  <c r="R88" i="25"/>
  <c r="R89" i="25" s="1"/>
  <c r="R88" i="32"/>
  <c r="R89" i="32" s="1"/>
  <c r="P88" i="25"/>
  <c r="P89" i="25" s="1"/>
  <c r="P88" i="34"/>
  <c r="P89" i="34" s="1"/>
  <c r="P88" i="38"/>
  <c r="P89" i="38" s="1"/>
  <c r="Y88" i="25"/>
  <c r="Y89" i="25" s="1"/>
  <c r="Y88" i="32"/>
  <c r="Y88" i="30"/>
  <c r="Y89" i="30" s="1"/>
  <c r="Y88" i="38"/>
  <c r="Y89" i="38" s="1"/>
  <c r="M28" i="6"/>
  <c r="M29" i="6" s="1"/>
  <c r="C48" i="32" s="1"/>
  <c r="C50" i="32" s="1"/>
  <c r="C53" i="32" s="1"/>
  <c r="M7" i="43" s="1"/>
  <c r="Y88" i="26"/>
  <c r="Y89" i="26" s="1"/>
  <c r="Y88" i="27"/>
  <c r="Y89" i="27" s="1"/>
  <c r="Y88" i="35"/>
  <c r="Y89" i="35" s="1"/>
  <c r="Y88" i="31"/>
  <c r="Y89" i="31" s="1"/>
  <c r="Y88" i="28"/>
  <c r="Y89" i="28" s="1"/>
  <c r="Y88" i="39"/>
  <c r="Y89" i="39" s="1"/>
  <c r="Y88" i="36"/>
  <c r="Y89" i="36" s="1"/>
  <c r="Y88" i="24"/>
  <c r="Y89" i="24" s="1"/>
  <c r="Y88" i="29"/>
  <c r="Y89" i="29" s="1"/>
  <c r="Y88" i="33"/>
  <c r="Y89" i="33" s="1"/>
  <c r="H8" i="24"/>
  <c r="N38" i="6"/>
  <c r="C5" i="38"/>
  <c r="I38" i="6"/>
  <c r="O38" i="6"/>
  <c r="C5" i="39"/>
  <c r="J38" i="6"/>
  <c r="C5" i="37"/>
  <c r="H38" i="6"/>
  <c r="D38" i="6"/>
  <c r="Q88" i="33"/>
  <c r="Q89" i="33" s="1"/>
  <c r="O88" i="39"/>
  <c r="O89" i="39" s="1"/>
  <c r="Q88" i="24"/>
  <c r="Q89" i="24" s="1"/>
  <c r="Q88" i="36"/>
  <c r="Q89" i="36" s="1"/>
  <c r="Q88" i="31"/>
  <c r="Q89" i="31" s="1"/>
  <c r="Q88" i="38"/>
  <c r="Q89" i="38" s="1"/>
  <c r="Q88" i="39"/>
  <c r="Q89" i="39" s="1"/>
  <c r="Q88" i="32"/>
  <c r="Q89" i="32" s="1"/>
  <c r="Q88" i="34"/>
  <c r="Q88" i="27"/>
  <c r="Q89" i="27" s="1"/>
  <c r="E28" i="6"/>
  <c r="E29" i="6" s="1"/>
  <c r="C48" i="34" s="1"/>
  <c r="C50" i="34" s="1"/>
  <c r="C54" i="34" s="1"/>
  <c r="Q88" i="26"/>
  <c r="Q89" i="26" s="1"/>
  <c r="Q88" i="28"/>
  <c r="Q89" i="28" s="1"/>
  <c r="Q88" i="35"/>
  <c r="Q89" i="35" s="1"/>
  <c r="Q88" i="25"/>
  <c r="Q89" i="25" s="1"/>
  <c r="Q88" i="37"/>
  <c r="Q89" i="37" s="1"/>
  <c r="Q88" i="29"/>
  <c r="Q89" i="29" s="1"/>
  <c r="Q88" i="30"/>
  <c r="Q89" i="30" s="1"/>
  <c r="C54" i="39"/>
  <c r="C53" i="39"/>
  <c r="K7" i="43" s="1"/>
  <c r="C54" i="38"/>
  <c r="O88" i="37"/>
  <c r="O89" i="37" s="1"/>
  <c r="O88" i="30"/>
  <c r="L89" i="30" s="1"/>
  <c r="O88" i="28"/>
  <c r="O89" i="28" s="1"/>
  <c r="O88" i="24"/>
  <c r="O89" i="24" s="1"/>
  <c r="O88" i="34"/>
  <c r="O89" i="34" s="1"/>
  <c r="O88" i="26"/>
  <c r="O89" i="26" s="1"/>
  <c r="O88" i="25"/>
  <c r="O89" i="25" s="1"/>
  <c r="O88" i="32"/>
  <c r="O89" i="32" s="1"/>
  <c r="O88" i="35"/>
  <c r="O89" i="35" s="1"/>
  <c r="O88" i="38"/>
  <c r="O89" i="38" s="1"/>
  <c r="O88" i="29"/>
  <c r="O89" i="29" s="1"/>
  <c r="O88" i="33"/>
  <c r="O89" i="33" s="1"/>
  <c r="O88" i="31"/>
  <c r="O89" i="31" s="1"/>
  <c r="O88" i="27"/>
  <c r="O89" i="27" s="1"/>
  <c r="O88" i="36"/>
  <c r="O89" i="36" s="1"/>
  <c r="C54" i="36"/>
  <c r="C50" i="28"/>
  <c r="C53" i="28" s="1"/>
  <c r="R7" i="43" s="1"/>
  <c r="C50" i="29"/>
  <c r="C53" i="29" s="1"/>
  <c r="S7" i="43" s="1"/>
  <c r="C50" i="27"/>
  <c r="C53" i="27" s="1"/>
  <c r="Q7" i="43" s="1"/>
  <c r="C50" i="26"/>
  <c r="C53" i="26" s="1"/>
  <c r="P7" i="43" s="1"/>
  <c r="L27" i="6"/>
  <c r="M6" i="30" l="1"/>
  <c r="M6" i="27"/>
  <c r="Q22" i="43"/>
  <c r="Q50" i="43" s="1"/>
  <c r="Q37" i="43"/>
  <c r="E22" i="43"/>
  <c r="E50" i="43" s="1"/>
  <c r="E37" i="43"/>
  <c r="O22" i="43"/>
  <c r="O50" i="43" s="1"/>
  <c r="O37" i="43"/>
  <c r="M22" i="43"/>
  <c r="M50" i="43" s="1"/>
  <c r="M37" i="43"/>
  <c r="N22" i="43"/>
  <c r="N50" i="43" s="1"/>
  <c r="N37" i="43"/>
  <c r="M6" i="29"/>
  <c r="K22" i="43"/>
  <c r="K50" i="43" s="1"/>
  <c r="K37" i="43"/>
  <c r="S22" i="43"/>
  <c r="S50" i="43" s="1"/>
  <c r="S37" i="43"/>
  <c r="R22" i="43"/>
  <c r="R50" i="43" s="1"/>
  <c r="R37" i="43"/>
  <c r="P22" i="43"/>
  <c r="P50" i="43" s="1"/>
  <c r="P37" i="43"/>
  <c r="M6" i="26"/>
  <c r="F59" i="29"/>
  <c r="F59" i="28"/>
  <c r="F59" i="26"/>
  <c r="F59" i="38"/>
  <c r="L63" i="38" s="1"/>
  <c r="G7" i="38" s="1"/>
  <c r="F59" i="27"/>
  <c r="F59" i="36"/>
  <c r="L63" i="36" s="1"/>
  <c r="L67" i="36" s="1"/>
  <c r="N67" i="36" s="1"/>
  <c r="L89" i="37"/>
  <c r="L90" i="37" s="1"/>
  <c r="Q96" i="37" s="1"/>
  <c r="Q100" i="37" s="1"/>
  <c r="M91" i="37" s="1"/>
  <c r="M92" i="37" s="1"/>
  <c r="C53" i="37"/>
  <c r="I7" i="43" s="1"/>
  <c r="H26" i="39"/>
  <c r="H24" i="39"/>
  <c r="H22" i="39"/>
  <c r="H20" i="39"/>
  <c r="H18" i="39"/>
  <c r="H16" i="39"/>
  <c r="H14" i="39"/>
  <c r="H27" i="39"/>
  <c r="H25" i="39"/>
  <c r="H23" i="39"/>
  <c r="H21" i="39"/>
  <c r="H19" i="39"/>
  <c r="H17" i="39"/>
  <c r="H15" i="39"/>
  <c r="H12" i="39"/>
  <c r="H10" i="39"/>
  <c r="H8" i="39"/>
  <c r="H13" i="39"/>
  <c r="H11" i="39"/>
  <c r="H9" i="39"/>
  <c r="H26" i="35"/>
  <c r="H24" i="35"/>
  <c r="H22" i="35"/>
  <c r="H20" i="35"/>
  <c r="H18" i="35"/>
  <c r="H16" i="35"/>
  <c r="H14" i="35"/>
  <c r="H12" i="35"/>
  <c r="H10" i="35"/>
  <c r="H8" i="35"/>
  <c r="H27" i="35"/>
  <c r="H25" i="35"/>
  <c r="H23" i="35"/>
  <c r="H21" i="35"/>
  <c r="H19" i="35"/>
  <c r="H17" i="35"/>
  <c r="H15" i="35"/>
  <c r="H13" i="35"/>
  <c r="H11" i="35"/>
  <c r="H9" i="35"/>
  <c r="H27" i="33"/>
  <c r="H25" i="33"/>
  <c r="H23" i="33"/>
  <c r="H21" i="33"/>
  <c r="H19" i="33"/>
  <c r="H17" i="33"/>
  <c r="H15" i="33"/>
  <c r="H13" i="33"/>
  <c r="H11" i="33"/>
  <c r="H9" i="33"/>
  <c r="H26" i="33"/>
  <c r="H24" i="33"/>
  <c r="H22" i="33"/>
  <c r="H20" i="33"/>
  <c r="H18" i="33"/>
  <c r="H16" i="33"/>
  <c r="H14" i="33"/>
  <c r="H12" i="33"/>
  <c r="H10" i="33"/>
  <c r="H8" i="33"/>
  <c r="H27" i="37"/>
  <c r="H25" i="37"/>
  <c r="H23" i="37"/>
  <c r="H21" i="37"/>
  <c r="H19" i="37"/>
  <c r="H17" i="37"/>
  <c r="H15" i="37"/>
  <c r="H13" i="37"/>
  <c r="H11" i="37"/>
  <c r="H9" i="37"/>
  <c r="H26" i="37"/>
  <c r="H24" i="37"/>
  <c r="H22" i="37"/>
  <c r="H20" i="37"/>
  <c r="H18" i="37"/>
  <c r="H16" i="37"/>
  <c r="H14" i="37"/>
  <c r="H12" i="37"/>
  <c r="H10" i="37"/>
  <c r="H8" i="37"/>
  <c r="H26" i="36"/>
  <c r="H24" i="36"/>
  <c r="H22" i="36"/>
  <c r="H20" i="36"/>
  <c r="H18" i="36"/>
  <c r="H16" i="36"/>
  <c r="H14" i="36"/>
  <c r="H12" i="36"/>
  <c r="H10" i="36"/>
  <c r="H8" i="36"/>
  <c r="H27" i="36"/>
  <c r="H25" i="36"/>
  <c r="H23" i="36"/>
  <c r="H21" i="36"/>
  <c r="H19" i="36"/>
  <c r="H17" i="36"/>
  <c r="H15" i="36"/>
  <c r="H13" i="36"/>
  <c r="H11" i="36"/>
  <c r="H9" i="36"/>
  <c r="H27" i="38"/>
  <c r="H25" i="38"/>
  <c r="H23" i="38"/>
  <c r="H21" i="38"/>
  <c r="H19" i="38"/>
  <c r="H17" i="38"/>
  <c r="H15" i="38"/>
  <c r="H13" i="38"/>
  <c r="H11" i="38"/>
  <c r="H9" i="38"/>
  <c r="H26" i="38"/>
  <c r="H24" i="38"/>
  <c r="H22" i="38"/>
  <c r="H20" i="38"/>
  <c r="H18" i="38"/>
  <c r="H16" i="38"/>
  <c r="H14" i="38"/>
  <c r="H12" i="38"/>
  <c r="H10" i="38"/>
  <c r="H8" i="38"/>
  <c r="AT32" i="41"/>
  <c r="BL32" i="41"/>
  <c r="AT19" i="41"/>
  <c r="BL19" i="41"/>
  <c r="BA32" i="41"/>
  <c r="BS19" i="41"/>
  <c r="BS32" i="41"/>
  <c r="BA19" i="41"/>
  <c r="BB32" i="41"/>
  <c r="BT32" i="41"/>
  <c r="BB19" i="41"/>
  <c r="BT19" i="41"/>
  <c r="AP32" i="41"/>
  <c r="BH32" i="41"/>
  <c r="AP19" i="41"/>
  <c r="BH19" i="41"/>
  <c r="AU32" i="41"/>
  <c r="BM32" i="41"/>
  <c r="AU19" i="41"/>
  <c r="BM19" i="41"/>
  <c r="AS32" i="41"/>
  <c r="BK32" i="41"/>
  <c r="AS19" i="41"/>
  <c r="BK19" i="41"/>
  <c r="AZ32" i="41"/>
  <c r="BR32" i="41"/>
  <c r="AZ19" i="41"/>
  <c r="BR19" i="41"/>
  <c r="BN32" i="41"/>
  <c r="AV19" i="41"/>
  <c r="AV32" i="41"/>
  <c r="BN19" i="41"/>
  <c r="BE32" i="41"/>
  <c r="BW32" i="41"/>
  <c r="BE19" i="41"/>
  <c r="BW19" i="41"/>
  <c r="BC32" i="41"/>
  <c r="BU32" i="41"/>
  <c r="BC19" i="41"/>
  <c r="BU19" i="41"/>
  <c r="Y89" i="32"/>
  <c r="L89" i="32"/>
  <c r="P89" i="33"/>
  <c r="L89" i="33"/>
  <c r="L90" i="33" s="1"/>
  <c r="Q96" i="33" s="1"/>
  <c r="Q100" i="33" s="1"/>
  <c r="M91" i="33" s="1"/>
  <c r="M92" i="33" s="1"/>
  <c r="Z89" i="24"/>
  <c r="L89" i="24"/>
  <c r="L90" i="24" s="1"/>
  <c r="Q96" i="24" s="1"/>
  <c r="Q100" i="24" s="1"/>
  <c r="M91" i="24" s="1"/>
  <c r="M92" i="24" s="1"/>
  <c r="R89" i="35"/>
  <c r="L89" i="35"/>
  <c r="L90" i="35" s="1"/>
  <c r="Q96" i="35" s="1"/>
  <c r="Q100" i="35" s="1"/>
  <c r="M91" i="35" s="1"/>
  <c r="M92" i="35" s="1"/>
  <c r="AA89" i="25"/>
  <c r="L89" i="25"/>
  <c r="L90" i="25" s="1"/>
  <c r="Q96" i="25" s="1"/>
  <c r="Q100" i="25" s="1"/>
  <c r="M91" i="25" s="1"/>
  <c r="M92" i="25" s="1"/>
  <c r="Q89" i="34"/>
  <c r="L89" i="34"/>
  <c r="L90" i="34" s="1"/>
  <c r="Q96" i="34" s="1"/>
  <c r="Q100" i="34" s="1"/>
  <c r="M91" i="34" s="1"/>
  <c r="M92" i="34" s="1"/>
  <c r="L90" i="39"/>
  <c r="Q96" i="39" s="1"/>
  <c r="Q100" i="39" s="1"/>
  <c r="M91" i="39" s="1"/>
  <c r="M92" i="39" s="1"/>
  <c r="O89" i="30"/>
  <c r="H21" i="25"/>
  <c r="H14" i="25"/>
  <c r="H24" i="25"/>
  <c r="H18" i="25"/>
  <c r="H26" i="25"/>
  <c r="H22" i="25"/>
  <c r="C25" i="33"/>
  <c r="H19" i="25"/>
  <c r="H12" i="25"/>
  <c r="H27" i="25"/>
  <c r="H8" i="25"/>
  <c r="H23" i="25"/>
  <c r="H17" i="25"/>
  <c r="H13" i="25"/>
  <c r="H15" i="25"/>
  <c r="H25" i="25"/>
  <c r="H10" i="25"/>
  <c r="H20" i="25"/>
  <c r="H16" i="25"/>
  <c r="H9" i="25"/>
  <c r="C26" i="25"/>
  <c r="H11" i="28"/>
  <c r="H27" i="28"/>
  <c r="H9" i="28"/>
  <c r="H15" i="28"/>
  <c r="H12" i="28"/>
  <c r="H24" i="28"/>
  <c r="H16" i="28"/>
  <c r="H13" i="28"/>
  <c r="H25" i="28"/>
  <c r="H8" i="28"/>
  <c r="H21" i="28"/>
  <c r="H23" i="28"/>
  <c r="H20" i="28"/>
  <c r="H19" i="28"/>
  <c r="C26" i="28"/>
  <c r="H26" i="28"/>
  <c r="H18" i="28"/>
  <c r="H10" i="28"/>
  <c r="H14" i="28"/>
  <c r="H22" i="28"/>
  <c r="H17" i="28"/>
  <c r="C25" i="36"/>
  <c r="H22" i="32"/>
  <c r="H27" i="24"/>
  <c r="C25" i="35"/>
  <c r="F38" i="6"/>
  <c r="H15" i="24"/>
  <c r="C53" i="35"/>
  <c r="G7" i="43" s="1"/>
  <c r="H20" i="32"/>
  <c r="H13" i="32"/>
  <c r="H18" i="32"/>
  <c r="H24" i="32"/>
  <c r="H12" i="32"/>
  <c r="H21" i="32"/>
  <c r="H10" i="32"/>
  <c r="C54" i="33"/>
  <c r="C26" i="32"/>
  <c r="H11" i="32"/>
  <c r="H25" i="32"/>
  <c r="H19" i="24"/>
  <c r="H9" i="32"/>
  <c r="H17" i="32"/>
  <c r="H19" i="32"/>
  <c r="H14" i="24"/>
  <c r="H26" i="24"/>
  <c r="H24" i="24"/>
  <c r="H18" i="24"/>
  <c r="C26" i="24"/>
  <c r="C25" i="37"/>
  <c r="H17" i="24"/>
  <c r="H22" i="24"/>
  <c r="H13" i="24"/>
  <c r="C25" i="38"/>
  <c r="H23" i="24"/>
  <c r="H20" i="24"/>
  <c r="H21" i="24"/>
  <c r="H16" i="24"/>
  <c r="H25" i="24"/>
  <c r="H10" i="24"/>
  <c r="H11" i="24"/>
  <c r="H12" i="24"/>
  <c r="H9" i="24"/>
  <c r="M38" i="6"/>
  <c r="C25" i="39"/>
  <c r="H27" i="32"/>
  <c r="H14" i="32"/>
  <c r="H16" i="32"/>
  <c r="H26" i="32"/>
  <c r="H8" i="32"/>
  <c r="H15" i="32"/>
  <c r="L38" i="6"/>
  <c r="C5" i="34"/>
  <c r="E38" i="6"/>
  <c r="C53" i="34"/>
  <c r="F7" i="43" s="1"/>
  <c r="C54" i="30"/>
  <c r="D7" i="43"/>
  <c r="D37" i="43" s="1"/>
  <c r="X88" i="39"/>
  <c r="X89" i="39" s="1"/>
  <c r="X88" i="38"/>
  <c r="X89" i="38" s="1"/>
  <c r="X88" i="34"/>
  <c r="X89" i="34" s="1"/>
  <c r="X88" i="37"/>
  <c r="X89" i="37" s="1"/>
  <c r="X88" i="36"/>
  <c r="X89" i="36" s="1"/>
  <c r="X88" i="35"/>
  <c r="X89" i="35" s="1"/>
  <c r="X88" i="33"/>
  <c r="X89" i="33" s="1"/>
  <c r="C54" i="25"/>
  <c r="C54" i="28"/>
  <c r="C54" i="26"/>
  <c r="X88" i="32"/>
  <c r="X89" i="32" s="1"/>
  <c r="X88" i="29"/>
  <c r="X89" i="29" s="1"/>
  <c r="X88" i="28"/>
  <c r="X89" i="28" s="1"/>
  <c r="X88" i="27"/>
  <c r="X89" i="27" s="1"/>
  <c r="X88" i="25"/>
  <c r="X89" i="25" s="1"/>
  <c r="X88" i="24"/>
  <c r="X89" i="24" s="1"/>
  <c r="X88" i="30"/>
  <c r="X89" i="30" s="1"/>
  <c r="X88" i="31"/>
  <c r="X88" i="26"/>
  <c r="X89" i="26" s="1"/>
  <c r="C54" i="29"/>
  <c r="C54" i="27"/>
  <c r="C54" i="24"/>
  <c r="C54" i="32"/>
  <c r="L28" i="6"/>
  <c r="L29" i="6" s="1"/>
  <c r="M6" i="33" l="1"/>
  <c r="M6" i="36"/>
  <c r="M6" i="24"/>
  <c r="M6" i="35"/>
  <c r="M6" i="28"/>
  <c r="M6" i="25"/>
  <c r="M6" i="39"/>
  <c r="I22" i="43"/>
  <c r="I50" i="43" s="1"/>
  <c r="I37" i="43"/>
  <c r="F22" i="43"/>
  <c r="F50" i="43" s="1"/>
  <c r="F37" i="43"/>
  <c r="M6" i="32"/>
  <c r="M6" i="38"/>
  <c r="M6" i="37"/>
  <c r="G22" i="43"/>
  <c r="G50" i="43" s="1"/>
  <c r="G37" i="43"/>
  <c r="G7" i="36"/>
  <c r="H5" i="43"/>
  <c r="H35" i="43" s="1"/>
  <c r="H42" i="43" s="1"/>
  <c r="L67" i="38"/>
  <c r="N67" i="38" s="1"/>
  <c r="G21" i="38" s="1"/>
  <c r="J5" i="43"/>
  <c r="J35" i="43" s="1"/>
  <c r="J42" i="43" s="1"/>
  <c r="P58" i="38"/>
  <c r="D22" i="43"/>
  <c r="D50" i="43" s="1"/>
  <c r="P58" i="36"/>
  <c r="F59" i="24"/>
  <c r="F59" i="25"/>
  <c r="F59" i="34"/>
  <c r="L63" i="34" s="1"/>
  <c r="F59" i="35"/>
  <c r="L63" i="35" s="1"/>
  <c r="F59" i="33"/>
  <c r="L63" i="33" s="1"/>
  <c r="F59" i="39"/>
  <c r="L63" i="39" s="1"/>
  <c r="F59" i="37"/>
  <c r="L63" i="37" s="1"/>
  <c r="H27" i="34"/>
  <c r="H25" i="34"/>
  <c r="H23" i="34"/>
  <c r="H21" i="34"/>
  <c r="H19" i="34"/>
  <c r="H17" i="34"/>
  <c r="H15" i="34"/>
  <c r="H13" i="34"/>
  <c r="H11" i="34"/>
  <c r="H9" i="34"/>
  <c r="H26" i="34"/>
  <c r="H24" i="34"/>
  <c r="H22" i="34"/>
  <c r="H20" i="34"/>
  <c r="H18" i="34"/>
  <c r="H16" i="34"/>
  <c r="H14" i="34"/>
  <c r="H12" i="34"/>
  <c r="H10" i="34"/>
  <c r="H8" i="34"/>
  <c r="G26" i="36"/>
  <c r="G24" i="36"/>
  <c r="G22" i="36"/>
  <c r="G20" i="36"/>
  <c r="G18" i="36"/>
  <c r="G16" i="36"/>
  <c r="G14" i="36"/>
  <c r="G12" i="36"/>
  <c r="G10" i="36"/>
  <c r="G8" i="36"/>
  <c r="G27" i="36"/>
  <c r="G25" i="36"/>
  <c r="G23" i="36"/>
  <c r="G21" i="36"/>
  <c r="G19" i="36"/>
  <c r="G17" i="36"/>
  <c r="G15" i="36"/>
  <c r="G13" i="36"/>
  <c r="G11" i="36"/>
  <c r="G9" i="36"/>
  <c r="AX32" i="41"/>
  <c r="BP32" i="41"/>
  <c r="AX19" i="41"/>
  <c r="BP19" i="41"/>
  <c r="AQ32" i="41"/>
  <c r="BI32" i="41"/>
  <c r="AQ19" i="41"/>
  <c r="BI19" i="41"/>
  <c r="AY32" i="41"/>
  <c r="BQ32" i="41"/>
  <c r="AY19" i="41"/>
  <c r="BQ19" i="41"/>
  <c r="AR32" i="41"/>
  <c r="BJ19" i="41"/>
  <c r="BJ32" i="41"/>
  <c r="AR19" i="41"/>
  <c r="L90" i="32"/>
  <c r="Q96" i="32" s="1"/>
  <c r="Q100" i="32" s="1"/>
  <c r="M91" i="32" s="1"/>
  <c r="M92" i="32" s="1"/>
  <c r="X89" i="31"/>
  <c r="L89" i="31"/>
  <c r="L90" i="31" s="1"/>
  <c r="Q96" i="31" s="1"/>
  <c r="Q100" i="31" s="1"/>
  <c r="M91" i="31" s="1"/>
  <c r="M92" i="31" s="1"/>
  <c r="L90" i="30"/>
  <c r="Q96" i="30" s="1"/>
  <c r="Q100" i="30" s="1"/>
  <c r="C25" i="34"/>
  <c r="C48" i="31"/>
  <c r="C50" i="31" s="1"/>
  <c r="C53" i="31" s="1"/>
  <c r="L7" i="43" s="1"/>
  <c r="G27" i="38" l="1"/>
  <c r="M6" i="34"/>
  <c r="L22" i="43"/>
  <c r="L50" i="43" s="1"/>
  <c r="L37" i="43"/>
  <c r="G19" i="38"/>
  <c r="G10" i="38"/>
  <c r="G12" i="38"/>
  <c r="G14" i="38"/>
  <c r="G18" i="38"/>
  <c r="G8" i="38"/>
  <c r="G16" i="38"/>
  <c r="Y26" i="43"/>
  <c r="Y11" i="43"/>
  <c r="G22" i="38"/>
  <c r="G11" i="38"/>
  <c r="G26" i="38"/>
  <c r="G23" i="38"/>
  <c r="G20" i="38"/>
  <c r="G15" i="38"/>
  <c r="G9" i="38"/>
  <c r="G17" i="38"/>
  <c r="G25" i="38"/>
  <c r="G24" i="38"/>
  <c r="G13" i="38"/>
  <c r="G7" i="33"/>
  <c r="E5" i="43"/>
  <c r="E35" i="43" s="1"/>
  <c r="E42" i="43" s="1"/>
  <c r="L67" i="34"/>
  <c r="N67" i="34" s="1"/>
  <c r="G21" i="34" s="1"/>
  <c r="F5" i="43"/>
  <c r="F35" i="43" s="1"/>
  <c r="F42" i="43" s="1"/>
  <c r="J20" i="43"/>
  <c r="J48" i="43" s="1"/>
  <c r="J55" i="43" s="1"/>
  <c r="L67" i="39"/>
  <c r="N67" i="39" s="1"/>
  <c r="G25" i="39" s="1"/>
  <c r="K5" i="43"/>
  <c r="K35" i="43" s="1"/>
  <c r="K42" i="43" s="1"/>
  <c r="L67" i="35"/>
  <c r="N67" i="35" s="1"/>
  <c r="G21" i="35" s="1"/>
  <c r="G5" i="43"/>
  <c r="G35" i="43" s="1"/>
  <c r="G42" i="43" s="1"/>
  <c r="H20" i="43"/>
  <c r="H48" i="43" s="1"/>
  <c r="H55" i="43" s="1"/>
  <c r="L67" i="37"/>
  <c r="N67" i="37" s="1"/>
  <c r="G20" i="37" s="1"/>
  <c r="I5" i="43"/>
  <c r="I35" i="43" s="1"/>
  <c r="I42" i="43" s="1"/>
  <c r="L67" i="33"/>
  <c r="N67" i="33" s="1"/>
  <c r="G22" i="33" s="1"/>
  <c r="P58" i="33"/>
  <c r="P58" i="34"/>
  <c r="P58" i="37"/>
  <c r="G7" i="35"/>
  <c r="P58" i="39"/>
  <c r="P58" i="35"/>
  <c r="G7" i="39"/>
  <c r="G7" i="34"/>
  <c r="G7" i="37"/>
  <c r="F59" i="31"/>
  <c r="L63" i="31" s="1"/>
  <c r="G7" i="31" s="1"/>
  <c r="F59" i="32"/>
  <c r="L63" i="32" s="1"/>
  <c r="L67" i="32" s="1"/>
  <c r="N67" i="32" s="1"/>
  <c r="M91" i="30"/>
  <c r="M92" i="30" s="1"/>
  <c r="C54" i="31"/>
  <c r="G22" i="35" l="1"/>
  <c r="H28" i="43"/>
  <c r="G24" i="35"/>
  <c r="G15" i="35"/>
  <c r="G13" i="35"/>
  <c r="G14" i="35"/>
  <c r="G17" i="39"/>
  <c r="G21" i="39"/>
  <c r="G17" i="35"/>
  <c r="G20" i="39"/>
  <c r="G12" i="39"/>
  <c r="G13" i="39"/>
  <c r="G24" i="39"/>
  <c r="G10" i="35"/>
  <c r="G16" i="39"/>
  <c r="G22" i="39"/>
  <c r="G9" i="39"/>
  <c r="G16" i="35"/>
  <c r="G27" i="35"/>
  <c r="G9" i="35"/>
  <c r="G17" i="33"/>
  <c r="G8" i="35"/>
  <c r="G11" i="35"/>
  <c r="G11" i="39"/>
  <c r="G26" i="39"/>
  <c r="G10" i="39"/>
  <c r="G14" i="39"/>
  <c r="G8" i="39"/>
  <c r="G27" i="39"/>
  <c r="G15" i="39"/>
  <c r="G23" i="39"/>
  <c r="G18" i="39"/>
  <c r="G19" i="39"/>
  <c r="G9" i="34"/>
  <c r="G17" i="34"/>
  <c r="G26" i="37"/>
  <c r="G12" i="34"/>
  <c r="G25" i="34"/>
  <c r="G20" i="34"/>
  <c r="AA26" i="43"/>
  <c r="J28" i="43"/>
  <c r="G20" i="35"/>
  <c r="G18" i="35"/>
  <c r="AA11" i="43"/>
  <c r="G19" i="35"/>
  <c r="G25" i="35"/>
  <c r="G12" i="35"/>
  <c r="G23" i="35"/>
  <c r="G26" i="35"/>
  <c r="G9" i="37"/>
  <c r="G11" i="33"/>
  <c r="G10" i="34"/>
  <c r="G18" i="34"/>
  <c r="G26" i="34"/>
  <c r="G15" i="34"/>
  <c r="G23" i="34"/>
  <c r="G17" i="37"/>
  <c r="G21" i="37"/>
  <c r="G14" i="34"/>
  <c r="G11" i="34"/>
  <c r="G19" i="34"/>
  <c r="G27" i="34"/>
  <c r="G23" i="37"/>
  <c r="G19" i="37"/>
  <c r="G10" i="33"/>
  <c r="G22" i="34"/>
  <c r="G8" i="34"/>
  <c r="G16" i="34"/>
  <c r="G24" i="34"/>
  <c r="G13" i="34"/>
  <c r="G8" i="33"/>
  <c r="G12" i="37"/>
  <c r="G13" i="37"/>
  <c r="G15" i="37"/>
  <c r="G11" i="37"/>
  <c r="G14" i="37"/>
  <c r="G25" i="37"/>
  <c r="G24" i="37"/>
  <c r="G10" i="37"/>
  <c r="G27" i="37"/>
  <c r="G20" i="33"/>
  <c r="K20" i="43"/>
  <c r="K48" i="43" s="1"/>
  <c r="K55" i="43" s="1"/>
  <c r="G14" i="33"/>
  <c r="G23" i="33"/>
  <c r="G27" i="33"/>
  <c r="G12" i="33"/>
  <c r="G26" i="33"/>
  <c r="G15" i="33"/>
  <c r="L67" i="31"/>
  <c r="N67" i="31" s="1"/>
  <c r="G8" i="31" s="1"/>
  <c r="L5" i="43"/>
  <c r="L35" i="43" s="1"/>
  <c r="L42" i="43" s="1"/>
  <c r="G8" i="37"/>
  <c r="G18" i="37"/>
  <c r="G16" i="37"/>
  <c r="G22" i="37"/>
  <c r="I20" i="43"/>
  <c r="I48" i="43" s="1"/>
  <c r="I55" i="43" s="1"/>
  <c r="G20" i="43"/>
  <c r="G48" i="43" s="1"/>
  <c r="G55" i="43" s="1"/>
  <c r="E20" i="43"/>
  <c r="E48" i="43" s="1"/>
  <c r="E55" i="43" s="1"/>
  <c r="G7" i="32"/>
  <c r="M5" i="43"/>
  <c r="M35" i="43" s="1"/>
  <c r="M42" i="43" s="1"/>
  <c r="F20" i="43"/>
  <c r="F48" i="43" s="1"/>
  <c r="F55" i="43" s="1"/>
  <c r="G9" i="33"/>
  <c r="G21" i="33"/>
  <c r="G19" i="33"/>
  <c r="G25" i="33"/>
  <c r="G18" i="33"/>
  <c r="G16" i="33"/>
  <c r="G24" i="33"/>
  <c r="G13" i="33"/>
  <c r="P58" i="31"/>
  <c r="P58" i="32"/>
  <c r="F59" i="30"/>
  <c r="L63" i="30" s="1"/>
  <c r="G7" i="30" s="1"/>
  <c r="L63" i="29"/>
  <c r="L63" i="25"/>
  <c r="L63" i="28"/>
  <c r="L63" i="27"/>
  <c r="L63" i="26"/>
  <c r="L63" i="24"/>
  <c r="D5" i="43" l="1"/>
  <c r="D20" i="43" s="1"/>
  <c r="D48" i="43" s="1"/>
  <c r="D55" i="43" s="1"/>
  <c r="K28" i="43"/>
  <c r="AB11" i="43"/>
  <c r="AB26" i="43"/>
  <c r="G28" i="43"/>
  <c r="Z26" i="43"/>
  <c r="Z11" i="43"/>
  <c r="I28" i="43"/>
  <c r="V26" i="43"/>
  <c r="V11" i="43"/>
  <c r="E28" i="43"/>
  <c r="W26" i="43"/>
  <c r="W11" i="43"/>
  <c r="F28" i="43"/>
  <c r="X11" i="43"/>
  <c r="X26" i="43"/>
  <c r="E13" i="43"/>
  <c r="P58" i="30"/>
  <c r="G7" i="28"/>
  <c r="R5" i="43"/>
  <c r="R35" i="43" s="1"/>
  <c r="R42" i="43" s="1"/>
  <c r="G7" i="24"/>
  <c r="N5" i="43"/>
  <c r="N35" i="43" s="1"/>
  <c r="N42" i="43" s="1"/>
  <c r="G7" i="25"/>
  <c r="O5" i="43"/>
  <c r="O35" i="43" s="1"/>
  <c r="O42" i="43" s="1"/>
  <c r="G7" i="27"/>
  <c r="Q5" i="43"/>
  <c r="Q35" i="43" s="1"/>
  <c r="Q42" i="43" s="1"/>
  <c r="M20" i="43"/>
  <c r="M48" i="43" s="1"/>
  <c r="M55" i="43" s="1"/>
  <c r="L20" i="43"/>
  <c r="L48" i="43" s="1"/>
  <c r="L55" i="43" s="1"/>
  <c r="G7" i="26"/>
  <c r="P5" i="43"/>
  <c r="P35" i="43" s="1"/>
  <c r="P42" i="43" s="1"/>
  <c r="G7" i="29"/>
  <c r="S5" i="43"/>
  <c r="S35" i="43" s="1"/>
  <c r="S42" i="43" s="1"/>
  <c r="P58" i="26"/>
  <c r="P58" i="29"/>
  <c r="P58" i="27"/>
  <c r="P58" i="28"/>
  <c r="P58" i="24"/>
  <c r="P58" i="25"/>
  <c r="L67" i="30"/>
  <c r="N67" i="30" s="1"/>
  <c r="G8" i="30" s="1"/>
  <c r="L67" i="28"/>
  <c r="N67" i="28" s="1"/>
  <c r="L67" i="24"/>
  <c r="N67" i="24" s="1"/>
  <c r="L67" i="25"/>
  <c r="N67" i="25" s="1"/>
  <c r="L67" i="26"/>
  <c r="N67" i="26" s="1"/>
  <c r="L67" i="29"/>
  <c r="N67" i="29" s="1"/>
  <c r="L67" i="27"/>
  <c r="N67" i="27" s="1"/>
  <c r="D35" i="43" l="1"/>
  <c r="S20" i="43"/>
  <c r="S48" i="43" s="1"/>
  <c r="S55" i="43" s="1"/>
  <c r="Q20" i="43"/>
  <c r="Q48" i="43" s="1"/>
  <c r="Q55" i="43" s="1"/>
  <c r="N20" i="43"/>
  <c r="N48" i="43" s="1"/>
  <c r="N55" i="43" s="1"/>
  <c r="P20" i="43"/>
  <c r="P48" i="43" s="1"/>
  <c r="P55" i="43" s="1"/>
  <c r="O20" i="43"/>
  <c r="O48" i="43" s="1"/>
  <c r="O55" i="43" s="1"/>
  <c r="R20" i="43"/>
  <c r="R48" i="43" s="1"/>
  <c r="R55" i="43" s="1"/>
  <c r="C38" i="6"/>
  <c r="G24" i="26" l="1"/>
  <c r="G20" i="26"/>
  <c r="G16" i="26"/>
  <c r="G12" i="26"/>
  <c r="G8" i="26"/>
  <c r="G27" i="26"/>
  <c r="G23" i="26"/>
  <c r="G19" i="26"/>
  <c r="G15" i="26"/>
  <c r="G11" i="26"/>
  <c r="G26" i="26"/>
  <c r="G22" i="26"/>
  <c r="G18" i="26"/>
  <c r="G14" i="26"/>
  <c r="G10" i="26"/>
  <c r="G25" i="26"/>
  <c r="G21" i="26"/>
  <c r="G17" i="26"/>
  <c r="G13" i="26"/>
  <c r="G9" i="26"/>
  <c r="G26" i="28"/>
  <c r="G22" i="28"/>
  <c r="G18" i="28"/>
  <c r="G14" i="28"/>
  <c r="G10" i="28"/>
  <c r="G25" i="28"/>
  <c r="G21" i="28"/>
  <c r="G17" i="28"/>
  <c r="G13" i="28"/>
  <c r="G9" i="28"/>
  <c r="G24" i="28"/>
  <c r="G20" i="28"/>
  <c r="G16" i="28"/>
  <c r="G12" i="28"/>
  <c r="G8" i="28"/>
  <c r="G27" i="28"/>
  <c r="G23" i="28"/>
  <c r="G19" i="28"/>
  <c r="G15" i="28"/>
  <c r="G11" i="28"/>
  <c r="G24" i="31"/>
  <c r="G20" i="31"/>
  <c r="G16" i="31"/>
  <c r="G12" i="31"/>
  <c r="G27" i="31"/>
  <c r="G23" i="31"/>
  <c r="G19" i="31"/>
  <c r="G15" i="31"/>
  <c r="G11" i="31"/>
  <c r="G26" i="31"/>
  <c r="G22" i="31"/>
  <c r="G18" i="31"/>
  <c r="G14" i="31"/>
  <c r="G10" i="31"/>
  <c r="G25" i="31"/>
  <c r="G21" i="31"/>
  <c r="G17" i="31"/>
  <c r="G13" i="31"/>
  <c r="G9" i="31"/>
  <c r="G26" i="24"/>
  <c r="G22" i="24"/>
  <c r="G18" i="24"/>
  <c r="G14" i="24"/>
  <c r="G10" i="24"/>
  <c r="G25" i="24"/>
  <c r="G21" i="24"/>
  <c r="G17" i="24"/>
  <c r="G13" i="24"/>
  <c r="G9" i="24"/>
  <c r="G24" i="24"/>
  <c r="G20" i="24"/>
  <c r="G16" i="24"/>
  <c r="G12" i="24"/>
  <c r="G8" i="24"/>
  <c r="G27" i="24"/>
  <c r="G23" i="24"/>
  <c r="G19" i="24"/>
  <c r="G15" i="24"/>
  <c r="G11" i="24"/>
  <c r="G27" i="27"/>
  <c r="G23" i="27"/>
  <c r="G19" i="27"/>
  <c r="G15" i="27"/>
  <c r="G11" i="27"/>
  <c r="G26" i="27"/>
  <c r="G22" i="27"/>
  <c r="G18" i="27"/>
  <c r="G14" i="27"/>
  <c r="G10" i="27"/>
  <c r="G25" i="27"/>
  <c r="G21" i="27"/>
  <c r="G17" i="27"/>
  <c r="G13" i="27"/>
  <c r="G9" i="27"/>
  <c r="G24" i="27"/>
  <c r="G20" i="27"/>
  <c r="G16" i="27"/>
  <c r="G12" i="27"/>
  <c r="G8" i="27"/>
  <c r="G26" i="29"/>
  <c r="G21" i="29"/>
  <c r="G17" i="29"/>
  <c r="G13" i="29"/>
  <c r="G9" i="29"/>
  <c r="G25" i="29"/>
  <c r="G20" i="29"/>
  <c r="G16" i="29"/>
  <c r="G12" i="29"/>
  <c r="G8" i="29"/>
  <c r="G23" i="29"/>
  <c r="G24" i="29"/>
  <c r="G19" i="29"/>
  <c r="G15" i="29"/>
  <c r="G11" i="29"/>
  <c r="G27" i="29"/>
  <c r="G22" i="29"/>
  <c r="G18" i="29"/>
  <c r="G14" i="29"/>
  <c r="G10" i="29"/>
  <c r="G27" i="32"/>
  <c r="G23" i="32"/>
  <c r="G19" i="32"/>
  <c r="G15" i="32"/>
  <c r="G11" i="32"/>
  <c r="G26" i="32"/>
  <c r="G22" i="32"/>
  <c r="G18" i="32"/>
  <c r="G14" i="32"/>
  <c r="G10" i="32"/>
  <c r="G25" i="32"/>
  <c r="G21" i="32"/>
  <c r="G17" i="32"/>
  <c r="G13" i="32"/>
  <c r="G9" i="32"/>
  <c r="G24" i="32"/>
  <c r="G20" i="32"/>
  <c r="G16" i="32"/>
  <c r="G12" i="32"/>
  <c r="G8" i="32"/>
  <c r="G25" i="25"/>
  <c r="G21" i="25"/>
  <c r="G17" i="25"/>
  <c r="G13" i="25"/>
  <c r="G9" i="25"/>
  <c r="G24" i="25"/>
  <c r="G20" i="25"/>
  <c r="G16" i="25"/>
  <c r="G12" i="25"/>
  <c r="G8" i="25"/>
  <c r="G27" i="25"/>
  <c r="G23" i="25"/>
  <c r="G19" i="25"/>
  <c r="G15" i="25"/>
  <c r="G11" i="25"/>
  <c r="G26" i="25"/>
  <c r="G22" i="25"/>
  <c r="G18" i="25"/>
  <c r="G14" i="25"/>
  <c r="G10" i="25"/>
  <c r="AO32" i="41"/>
  <c r="BG32" i="41"/>
  <c r="AO19" i="41"/>
  <c r="BG19" i="41"/>
  <c r="AE26" i="43" l="1"/>
  <c r="AE11" i="43"/>
  <c r="N28" i="43"/>
  <c r="AI11" i="43"/>
  <c r="R28" i="43"/>
  <c r="AI26" i="43"/>
  <c r="AD26" i="43"/>
  <c r="AD11" i="43"/>
  <c r="M28" i="43"/>
  <c r="AJ26" i="43"/>
  <c r="AJ11" i="43"/>
  <c r="S28" i="43"/>
  <c r="AH26" i="43"/>
  <c r="AH11" i="43"/>
  <c r="Q28" i="43"/>
  <c r="AF26" i="43"/>
  <c r="AF11" i="43"/>
  <c r="O28" i="43"/>
  <c r="AC26" i="43"/>
  <c r="AC11" i="43"/>
  <c r="L28" i="43"/>
  <c r="AG26" i="43"/>
  <c r="AG11" i="43"/>
  <c r="P28" i="43"/>
  <c r="G27" i="30"/>
  <c r="G25" i="30"/>
  <c r="G12" i="30"/>
  <c r="G22" i="30"/>
  <c r="G20" i="30"/>
  <c r="G18" i="30"/>
  <c r="G16" i="30"/>
  <c r="G14" i="30"/>
  <c r="G10" i="30"/>
  <c r="G23" i="30"/>
  <c r="G26" i="30"/>
  <c r="G24" i="30"/>
  <c r="G9" i="30"/>
  <c r="G21" i="30"/>
  <c r="G19" i="30"/>
  <c r="G17" i="30"/>
  <c r="G15" i="30"/>
  <c r="G13" i="30"/>
  <c r="G11" i="30"/>
  <c r="J5" i="35"/>
  <c r="J5" i="29"/>
  <c r="J5" i="27"/>
  <c r="J5" i="38"/>
  <c r="J5" i="37"/>
  <c r="J5" i="34"/>
  <c r="J5" i="24"/>
  <c r="J5" i="26"/>
  <c r="J5" i="39"/>
  <c r="J5" i="31"/>
  <c r="J5" i="32"/>
  <c r="J5" i="36"/>
  <c r="J5" i="28"/>
  <c r="J5" i="33"/>
  <c r="J5" i="25"/>
  <c r="U26" i="43" l="1"/>
  <c r="U11" i="43"/>
  <c r="D28" i="43"/>
  <c r="D13" i="43"/>
  <c r="I13" i="43"/>
  <c r="M13" i="43"/>
  <c r="Q13" i="43"/>
  <c r="F13" i="43"/>
  <c r="J13" i="43"/>
  <c r="N13" i="43"/>
  <c r="R13" i="43"/>
  <c r="G13" i="43"/>
  <c r="K13" i="43"/>
  <c r="O13" i="43"/>
  <c r="S13" i="43"/>
  <c r="H13" i="43"/>
  <c r="L13" i="43"/>
  <c r="P13" i="43"/>
  <c r="K19" i="41"/>
  <c r="T32" i="41"/>
  <c r="T19" i="41"/>
  <c r="S19" i="41"/>
  <c r="S32" i="41"/>
  <c r="R32" i="41"/>
  <c r="R19" i="41"/>
  <c r="Q32" i="41"/>
  <c r="Q19" i="41"/>
  <c r="P19" i="41"/>
  <c r="P32" i="41"/>
  <c r="O32" i="41"/>
  <c r="O19" i="41"/>
  <c r="N19" i="41"/>
  <c r="N32" i="41"/>
  <c r="M32" i="41"/>
  <c r="M19" i="41"/>
  <c r="I19" i="41"/>
  <c r="I32" i="41"/>
  <c r="H32" i="41"/>
  <c r="H19" i="41"/>
  <c r="G19" i="41"/>
  <c r="G32" i="41"/>
  <c r="F32" i="41"/>
  <c r="F19" i="41"/>
  <c r="E19" i="41"/>
  <c r="E32" i="41"/>
  <c r="J19" i="41"/>
  <c r="J32" i="41"/>
  <c r="K32" i="41"/>
  <c r="J6" i="29"/>
  <c r="J6" i="28"/>
  <c r="J6" i="27"/>
  <c r="J6" i="26"/>
  <c r="J6" i="25"/>
  <c r="J6" i="24"/>
  <c r="J6" i="32"/>
  <c r="J6" i="31"/>
  <c r="J6" i="38"/>
  <c r="J6" i="37"/>
  <c r="J6" i="36"/>
  <c r="J6" i="35"/>
  <c r="J6" i="34"/>
  <c r="J6" i="39"/>
  <c r="J6" i="33"/>
  <c r="J5" i="30"/>
  <c r="J6" i="30" s="1"/>
  <c r="AF32" i="41" l="1"/>
  <c r="D41" i="43"/>
  <c r="D42" i="43" s="1"/>
  <c r="T27" i="41"/>
  <c r="T26" i="41"/>
  <c r="T25" i="41"/>
  <c r="T24" i="41"/>
  <c r="S27" i="41"/>
  <c r="S25" i="41"/>
  <c r="S24" i="41"/>
  <c r="S26" i="41"/>
  <c r="R27" i="41"/>
  <c r="R26" i="41"/>
  <c r="R25" i="41"/>
  <c r="R24" i="41"/>
  <c r="Q27" i="41"/>
  <c r="Q26" i="41"/>
  <c r="Q24" i="41"/>
  <c r="Q25" i="41"/>
  <c r="P27" i="41"/>
  <c r="P25" i="41"/>
  <c r="P26" i="41"/>
  <c r="P24" i="41"/>
  <c r="O27" i="41"/>
  <c r="O25" i="41"/>
  <c r="O24" i="41"/>
  <c r="AG24" i="41"/>
  <c r="O26" i="41"/>
  <c r="N27" i="41"/>
  <c r="N26" i="41"/>
  <c r="N25" i="41"/>
  <c r="N24" i="41"/>
  <c r="M27" i="41"/>
  <c r="M24" i="41"/>
  <c r="M26" i="41"/>
  <c r="M25" i="41"/>
  <c r="K26" i="41"/>
  <c r="K27" i="41"/>
  <c r="K25" i="41"/>
  <c r="K24" i="41"/>
  <c r="J25" i="41"/>
  <c r="J26" i="41"/>
  <c r="J24" i="41"/>
  <c r="J27" i="41"/>
  <c r="I27" i="41"/>
  <c r="I24" i="41"/>
  <c r="I25" i="41"/>
  <c r="I26" i="41"/>
  <c r="H27" i="41"/>
  <c r="H24" i="41"/>
  <c r="H26" i="41"/>
  <c r="H25" i="41"/>
  <c r="G24" i="41"/>
  <c r="Y24" i="41"/>
  <c r="G25" i="41"/>
  <c r="G27" i="41"/>
  <c r="G26" i="41"/>
  <c r="X24" i="41"/>
  <c r="F25" i="41"/>
  <c r="F27" i="41"/>
  <c r="F26" i="41"/>
  <c r="F24" i="41"/>
  <c r="E27" i="41"/>
  <c r="E26" i="41"/>
  <c r="E25" i="41"/>
  <c r="E24" i="41"/>
  <c r="P60" i="29"/>
  <c r="AL32" i="41"/>
  <c r="AL19" i="41"/>
  <c r="P60" i="28"/>
  <c r="AK19" i="41"/>
  <c r="AK32" i="41"/>
  <c r="P60" i="27"/>
  <c r="AJ19" i="41"/>
  <c r="AJ32" i="41"/>
  <c r="P60" i="26"/>
  <c r="AI19" i="41"/>
  <c r="AI32" i="41"/>
  <c r="P60" i="25"/>
  <c r="AH19" i="41"/>
  <c r="AH32" i="41"/>
  <c r="P60" i="24"/>
  <c r="AG19" i="41"/>
  <c r="AG32" i="41"/>
  <c r="P60" i="32"/>
  <c r="AF19" i="41"/>
  <c r="P60" i="31"/>
  <c r="AE19" i="41"/>
  <c r="AE32" i="41"/>
  <c r="P60" i="37"/>
  <c r="AA32" i="41"/>
  <c r="AA19" i="41"/>
  <c r="P60" i="36"/>
  <c r="Z32" i="41"/>
  <c r="Z19" i="41"/>
  <c r="P60" i="35"/>
  <c r="Y19" i="41"/>
  <c r="Y32" i="41"/>
  <c r="P60" i="34"/>
  <c r="X32" i="41"/>
  <c r="X19" i="41"/>
  <c r="P60" i="33"/>
  <c r="W19" i="41"/>
  <c r="W32" i="41"/>
  <c r="D32" i="41"/>
  <c r="D19" i="41"/>
  <c r="P60" i="38"/>
  <c r="AB19" i="41"/>
  <c r="AB32" i="41"/>
  <c r="P60" i="39"/>
  <c r="AC32" i="41"/>
  <c r="AC19" i="41"/>
  <c r="AL24" i="41" l="1"/>
  <c r="AL25" i="41"/>
  <c r="AL26" i="41"/>
  <c r="AK24" i="41"/>
  <c r="AK27" i="41"/>
  <c r="AK25" i="41"/>
  <c r="AK26" i="41"/>
  <c r="AJ27" i="41"/>
  <c r="AJ25" i="41"/>
  <c r="AJ24" i="41"/>
  <c r="AJ26" i="41"/>
  <c r="AI26" i="41"/>
  <c r="AI25" i="41"/>
  <c r="AI24" i="41"/>
  <c r="AI27" i="41"/>
  <c r="AH24" i="41"/>
  <c r="AH25" i="41"/>
  <c r="AH26" i="41"/>
  <c r="AH27" i="41"/>
  <c r="AG27" i="41"/>
  <c r="AG25" i="41"/>
  <c r="AG26" i="41"/>
  <c r="AF24" i="41"/>
  <c r="AF25" i="41"/>
  <c r="AF27" i="41"/>
  <c r="AF26" i="41"/>
  <c r="AE24" i="41"/>
  <c r="AE27" i="41"/>
  <c r="AE26" i="41"/>
  <c r="AE25" i="41"/>
  <c r="AC27" i="41"/>
  <c r="AC25" i="41"/>
  <c r="AC26" i="41"/>
  <c r="AC24" i="41"/>
  <c r="AB26" i="41"/>
  <c r="AB24" i="41"/>
  <c r="AB27" i="41"/>
  <c r="AB25" i="41"/>
  <c r="AA25" i="41"/>
  <c r="AA27" i="41"/>
  <c r="AA24" i="41"/>
  <c r="AA26" i="41"/>
  <c r="Z27" i="41"/>
  <c r="Z26" i="41"/>
  <c r="Z24" i="41"/>
  <c r="Z25" i="41"/>
  <c r="Y25" i="41"/>
  <c r="Y27" i="41"/>
  <c r="Y26" i="41"/>
  <c r="X25" i="41"/>
  <c r="X27" i="41"/>
  <c r="X26" i="41"/>
  <c r="W25" i="41"/>
  <c r="W24" i="41"/>
  <c r="W27" i="41"/>
  <c r="W26" i="41"/>
  <c r="D25" i="41"/>
  <c r="D27" i="41"/>
  <c r="D24" i="41"/>
  <c r="D26" i="41"/>
  <c r="P60" i="30"/>
  <c r="V24" i="41"/>
  <c r="V32" i="41"/>
  <c r="V19" i="41"/>
  <c r="V27" i="41" l="1"/>
  <c r="V26" i="41"/>
  <c r="V25" i="41"/>
</calcChain>
</file>

<file path=xl/sharedStrings.xml><?xml version="1.0" encoding="utf-8"?>
<sst xmlns="http://schemas.openxmlformats.org/spreadsheetml/2006/main" count="3014" uniqueCount="331">
  <si>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</si>
  <si>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</si>
  <si>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</si>
  <si>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</si>
  <si>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</si>
  <si>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</si>
  <si>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</si>
  <si>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</si>
  <si>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</si>
  <si>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</si>
  <si>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</si>
  <si>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</si>
  <si>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%heating</t>
  </si>
  <si>
    <t>new SFH</t>
  </si>
  <si>
    <t>retro SFH</t>
  </si>
  <si>
    <t>new MFH</t>
  </si>
  <si>
    <t>retro MFH</t>
  </si>
  <si>
    <t>Progressive electricity demand - SFH</t>
  </si>
  <si>
    <t>Progressive electricity demand - MFH</t>
  </si>
  <si>
    <t>Conservative electricity demand - SFH</t>
  </si>
  <si>
    <t>Conservative electricity demand - MFH</t>
  </si>
  <si>
    <t>January</t>
  </si>
  <si>
    <t xml:space="preserve">May </t>
  </si>
  <si>
    <t>Total</t>
  </si>
  <si>
    <t>Electricity demand.</t>
  </si>
  <si>
    <t>SFH</t>
  </si>
  <si>
    <t>MFH</t>
  </si>
  <si>
    <t>climate share</t>
  </si>
  <si>
    <t>climate share [kWh]</t>
  </si>
  <si>
    <t xml:space="preserve">reduction </t>
  </si>
  <si>
    <t>progressive</t>
  </si>
  <si>
    <t>conservative</t>
  </si>
  <si>
    <t>%lighting</t>
  </si>
  <si>
    <t>reduced demand</t>
  </si>
  <si>
    <t>13.3% of red. Demand</t>
  </si>
  <si>
    <t>base red. Demand w/o 13.3%</t>
  </si>
  <si>
    <t>lighting in absolute values</t>
  </si>
  <si>
    <t>climate share July</t>
  </si>
  <si>
    <t>transposed</t>
  </si>
  <si>
    <t>monthly base red. Demand w/o 13.3%</t>
  </si>
  <si>
    <t>sum (for control)</t>
  </si>
  <si>
    <t>adjusted absolute values to 100.00%</t>
  </si>
  <si>
    <t>rooftop</t>
  </si>
  <si>
    <t>yearly prod/m2</t>
  </si>
  <si>
    <t>yearly yield</t>
  </si>
  <si>
    <t>facade</t>
  </si>
  <si>
    <t>factor</t>
  </si>
  <si>
    <t>facade area</t>
  </si>
  <si>
    <t>total yield</t>
  </si>
  <si>
    <t>rooftop area w/o solar collectors</t>
  </si>
  <si>
    <t>factor of rooftop discount</t>
  </si>
  <si>
    <t>rooftop area of solar PV w/o discount</t>
  </si>
  <si>
    <t>rooftop area of solar PV w discount</t>
  </si>
  <si>
    <t>heat pump SPF</t>
  </si>
  <si>
    <t>kWh/100km</t>
  </si>
  <si>
    <t>urban</t>
  </si>
  <si>
    <t xml:space="preserve">km/person/day </t>
  </si>
  <si>
    <t xml:space="preserve">Declinition </t>
  </si>
  <si>
    <t>ratio of SFH and MFH</t>
  </si>
  <si>
    <t xml:space="preserve">Urban </t>
  </si>
  <si>
    <t>Rural</t>
  </si>
  <si>
    <t>rural</t>
  </si>
  <si>
    <t>km/person/day</t>
  </si>
  <si>
    <t>km/person/day with declination</t>
  </si>
  <si>
    <t xml:space="preserve">SFH average km </t>
  </si>
  <si>
    <t xml:space="preserve">difference </t>
  </si>
  <si>
    <t>MFH average km</t>
  </si>
  <si>
    <t>distribution of difference</t>
  </si>
  <si>
    <t>half of difference</t>
  </si>
  <si>
    <t xml:space="preserve">MFH average km </t>
  </si>
  <si>
    <t>difference</t>
  </si>
  <si>
    <t>days</t>
  </si>
  <si>
    <t>km/year</t>
  </si>
  <si>
    <t>occupancy rate</t>
  </si>
  <si>
    <t>km/year with occupancy rate</t>
  </si>
  <si>
    <t>pp</t>
  </si>
  <si>
    <t>p unit</t>
  </si>
  <si>
    <t xml:space="preserve">km/(person*year) without occupancy rate </t>
  </si>
  <si>
    <t>km/(house unit*year)</t>
  </si>
  <si>
    <t>kWh/(house unit * year)</t>
  </si>
  <si>
    <t xml:space="preserve">kWh/km </t>
  </si>
  <si>
    <t>months</t>
  </si>
  <si>
    <t>People in Mio.</t>
  </si>
  <si>
    <t xml:space="preserve">km/(person*car*year) with occupancy rate </t>
  </si>
  <si>
    <t>people/car</t>
  </si>
  <si>
    <t>New</t>
  </si>
  <si>
    <t>Retrofit</t>
  </si>
  <si>
    <t>Progressive</t>
  </si>
  <si>
    <t>Conservative</t>
  </si>
  <si>
    <t>Urban</t>
  </si>
  <si>
    <t>MFH unit</t>
  </si>
  <si>
    <t>Case X</t>
  </si>
  <si>
    <t>solar yield</t>
  </si>
  <si>
    <t>DHW expense</t>
  </si>
  <si>
    <t>Heat expense</t>
  </si>
  <si>
    <t>Electricity demand</t>
  </si>
  <si>
    <t>Spatial expense</t>
  </si>
  <si>
    <t>adjusted to SPF of heat pump</t>
  </si>
  <si>
    <t>Final Table</t>
  </si>
  <si>
    <t>floor area</t>
  </si>
  <si>
    <t>MFB</t>
  </si>
  <si>
    <t>stories</t>
  </si>
  <si>
    <t>per story</t>
  </si>
  <si>
    <t>each house side</t>
  </si>
  <si>
    <t>rooftop angle</t>
  </si>
  <si>
    <t>roof hypothenuse</t>
  </si>
  <si>
    <t>roof area</t>
  </si>
  <si>
    <t>roof height (ankatete)</t>
  </si>
  <si>
    <t>tan(35)</t>
  </si>
  <si>
    <t>performance ratio</t>
  </si>
  <si>
    <t>Same efficiency as today</t>
  </si>
  <si>
    <t>climate share August</t>
  </si>
  <si>
    <t>climate share June</t>
  </si>
  <si>
    <t>Efficiency: 0.05%/year</t>
  </si>
  <si>
    <t>Efficiency: 0.10%/year</t>
  </si>
  <si>
    <t>Efficiency: 0.15%/year</t>
  </si>
  <si>
    <t>Efficiency: 0.20%/year</t>
  </si>
  <si>
    <t>Efficiency: 0.25%/year</t>
  </si>
  <si>
    <t>Efficiency matters</t>
  </si>
  <si>
    <t>Share facades</t>
  </si>
  <si>
    <t>Share rooftop</t>
  </si>
  <si>
    <t>efficiency in 2050 facade</t>
  </si>
  <si>
    <t>efficiency in 2050 rooftop</t>
  </si>
  <si>
    <t>rooftop to facade efficiency factor:</t>
  </si>
  <si>
    <t>thin film</t>
  </si>
  <si>
    <t xml:space="preserve">thin film </t>
  </si>
  <si>
    <t>efficiency future facade</t>
  </si>
  <si>
    <t>efficiency future rooftop</t>
  </si>
  <si>
    <t>kwh/m2/year facade</t>
  </si>
  <si>
    <t>kwh/m2/year rooftop</t>
  </si>
  <si>
    <t>MNPR</t>
  </si>
  <si>
    <t>kWh/(house unit * month)</t>
  </si>
  <si>
    <t>Inverter efficiency</t>
  </si>
  <si>
    <t>electrolyzer</t>
  </si>
  <si>
    <t>fuel cell</t>
  </si>
  <si>
    <t xml:space="preserve">Efficiencies </t>
  </si>
  <si>
    <t>compression effort</t>
  </si>
  <si>
    <t>round trip</t>
  </si>
  <si>
    <t>Facade</t>
  </si>
  <si>
    <t>L</t>
  </si>
  <si>
    <t>H</t>
  </si>
  <si>
    <t>area</t>
  </si>
  <si>
    <t>share of PV</t>
  </si>
  <si>
    <t>PV area</t>
  </si>
  <si>
    <t>daily</t>
  </si>
  <si>
    <t>required battery (2xdaily need)</t>
  </si>
  <si>
    <t>battery efficiency</t>
  </si>
  <si>
    <t>heat pump SPF of retrofitted houses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</si>
  <si>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</si>
  <si>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</si>
  <si>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</si>
  <si>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</si>
  <si>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</si>
  <si>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</si>
  <si>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</si>
  <si>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</si>
  <si>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</si>
  <si>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</si>
  <si>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</si>
  <si>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</si>
  <si>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</si>
  <si>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discount rate</t>
  </si>
  <si>
    <t>LCOE</t>
  </si>
  <si>
    <t>LCOE over a time period of _ years</t>
  </si>
  <si>
    <t>CHF/kWh</t>
  </si>
  <si>
    <t>sum</t>
  </si>
  <si>
    <t>withouth SPF (for conventional heating)</t>
  </si>
  <si>
    <t>Expenditures</t>
  </si>
  <si>
    <t>kWh</t>
  </si>
  <si>
    <t>Conventional building</t>
  </si>
  <si>
    <t>SFB</t>
  </si>
  <si>
    <t>D1</t>
  </si>
  <si>
    <t>D2</t>
  </si>
  <si>
    <t>rooftop PV investment [CHF/m2]</t>
  </si>
  <si>
    <t>rooftop area SFH [m2]</t>
  </si>
  <si>
    <t>rooftop area MFH [m2]</t>
  </si>
  <si>
    <t>costs rooftop PV SFH</t>
  </si>
  <si>
    <t>costs rooftop PV MFH</t>
  </si>
  <si>
    <t>facade PV investment [CHF/m2]</t>
  </si>
  <si>
    <t>facade area SFH [m2]</t>
  </si>
  <si>
    <t>facade area MFH [m2]</t>
  </si>
  <si>
    <t>costs facade PV SFH</t>
  </si>
  <si>
    <t>costs facade PV MFH</t>
  </si>
  <si>
    <t>Battery</t>
  </si>
  <si>
    <t>Required Battery [kWh] - each individual case is different</t>
  </si>
  <si>
    <t>STORAGE</t>
  </si>
  <si>
    <t>Costs per kWh [CHF/kWh]</t>
  </si>
  <si>
    <t>O&amp;M per kWh [CHF/kWh]</t>
  </si>
  <si>
    <t>Electricity production SFH [kWh]</t>
  </si>
  <si>
    <t>Electricity production MFH [kWh]</t>
  </si>
  <si>
    <t>kW</t>
  </si>
  <si>
    <t>Electrolyzer</t>
  </si>
  <si>
    <t>Storage</t>
  </si>
  <si>
    <t>total costs</t>
  </si>
  <si>
    <t>euros/kW</t>
  </si>
  <si>
    <t>euros/kg</t>
  </si>
  <si>
    <t>Compressor</t>
  </si>
  <si>
    <t>O&amp;M  (%)</t>
  </si>
  <si>
    <t>O&amp;M /year</t>
  </si>
  <si>
    <t>Fuel Cell</t>
  </si>
  <si>
    <t>BOS (% of capital costs)</t>
  </si>
  <si>
    <t>O&amp;M/year</t>
  </si>
  <si>
    <t>O&amp;M (%)</t>
  </si>
  <si>
    <t>tons</t>
  </si>
  <si>
    <t>Grosspietsch</t>
  </si>
  <si>
    <t>Beccali</t>
  </si>
  <si>
    <t>source</t>
  </si>
  <si>
    <t>Storage tank</t>
  </si>
  <si>
    <t>Beccalli values: (backup)</t>
  </si>
  <si>
    <t>Zoulias [inflation adjusted]</t>
  </si>
  <si>
    <t>heat pump O&amp;M [CHF/year]</t>
  </si>
  <si>
    <t>heat pump investment [CHF] - MFH</t>
  </si>
  <si>
    <t>heat pump investment [CHF] - SFH</t>
  </si>
  <si>
    <t>O&amp;M costs [CHF/kWh]</t>
  </si>
  <si>
    <t>Battery O&amp;M</t>
  </si>
  <si>
    <t>Battery capital costs</t>
  </si>
  <si>
    <t>CHF</t>
  </si>
  <si>
    <t>hardware</t>
  </si>
  <si>
    <t>reduction in 2050</t>
  </si>
  <si>
    <t>2050 price</t>
  </si>
  <si>
    <t>Hardware costs (just once per battery system) [CHF]</t>
  </si>
  <si>
    <t>battery pack costs [CHF]</t>
  </si>
  <si>
    <t>Total battery capital costs [CHF]</t>
  </si>
  <si>
    <t>Lifetime [years]</t>
  </si>
  <si>
    <t>kW Brütten</t>
  </si>
  <si>
    <t>kW SFB</t>
  </si>
  <si>
    <t>kW MFB</t>
  </si>
  <si>
    <t>equation</t>
  </si>
  <si>
    <t>TOTAL capital costs without inflation</t>
  </si>
  <si>
    <t>TOTAL capital costs with inflation and € to CHF</t>
  </si>
  <si>
    <t>€ to CHF (https://www.finanzen.ch/waehrungsrechner/euro-schweizer-franken)</t>
  </si>
  <si>
    <t>inflation in europe: https://de.inflation.eu/inflationsraten/europa/historische-inflation/hvpi-inflation-europa.aspx</t>
  </si>
  <si>
    <t>storage tank</t>
  </si>
  <si>
    <t xml:space="preserve">cost reduction </t>
  </si>
  <si>
    <t xml:space="preserve">Electricity production </t>
  </si>
  <si>
    <t>Lifetime of PV (rooftop and facade) [years]</t>
  </si>
  <si>
    <t>O&amp;M costs [CHF] - MFH [CHF]</t>
  </si>
  <si>
    <t>O&amp;M costs [CHF] - SFH [CHF]</t>
  </si>
  <si>
    <t>Lifetime of heat pumps [years]</t>
  </si>
  <si>
    <t>SUM</t>
  </si>
  <si>
    <t xml:space="preserve">Lifetime </t>
  </si>
  <si>
    <t>O&amp;M GROSSPIETSCH:</t>
  </si>
  <si>
    <t>Lifetime</t>
  </si>
  <si>
    <t>battery factor</t>
  </si>
  <si>
    <t>MFH new</t>
  </si>
  <si>
    <t>SFH retro</t>
  </si>
  <si>
    <t>MFH retro</t>
  </si>
  <si>
    <t>SFH new</t>
  </si>
  <si>
    <t>SFH retrofitted</t>
  </si>
  <si>
    <t>MFH retrofitted</t>
  </si>
  <si>
    <t>negative kWh</t>
  </si>
  <si>
    <t>reversed</t>
  </si>
  <si>
    <t>overproduction</t>
  </si>
  <si>
    <t xml:space="preserve">difference of overproduction and enrgy for storage -&gt; would be possible to sell it on the energy market </t>
  </si>
  <si>
    <t>Efficiency: 0.17%/year</t>
  </si>
  <si>
    <t>V</t>
  </si>
  <si>
    <t>T</t>
  </si>
  <si>
    <t>Rs</t>
  </si>
  <si>
    <t>price</t>
  </si>
  <si>
    <t>m [kg]</t>
  </si>
  <si>
    <t>p</t>
  </si>
  <si>
    <t>kg</t>
  </si>
  <si>
    <t>kwh/kg</t>
  </si>
  <si>
    <t>requiered storage volume:</t>
  </si>
  <si>
    <t>new SFB</t>
  </si>
  <si>
    <t>$/m3</t>
  </si>
  <si>
    <t>Capital</t>
  </si>
  <si>
    <t>BOS</t>
  </si>
  <si>
    <t>O&amp;M</t>
  </si>
  <si>
    <t>price/kW</t>
  </si>
  <si>
    <t>total capital costs</t>
  </si>
  <si>
    <t>% of capital costs</t>
  </si>
  <si>
    <t>Storage tank factor</t>
  </si>
  <si>
    <t>Price based on "h2 tank"</t>
  </si>
  <si>
    <t>Assumption:</t>
  </si>
  <si>
    <t>SFB -&gt; only two stories and not three -&gt; rooftop area increases!</t>
  </si>
  <si>
    <t>Installation cost per system [CHF]</t>
  </si>
  <si>
    <t>standard</t>
  </si>
  <si>
    <t xml:space="preserve">required energy for hydrogene </t>
  </si>
  <si>
    <t>Yearly net energy</t>
  </si>
  <si>
    <t>electric energy needed in one year</t>
  </si>
  <si>
    <t>required energy production; total (with considering hydrogen)</t>
  </si>
  <si>
    <t>Total costs</t>
  </si>
  <si>
    <t>rooftop area</t>
  </si>
  <si>
    <t>PV costs of 300 /m2</t>
  </si>
  <si>
    <t>same electrolyzer price like today</t>
  </si>
  <si>
    <t>same fuel cell price like today</t>
  </si>
  <si>
    <t>same battery price like today</t>
  </si>
  <si>
    <t>storage tank 880</t>
  </si>
  <si>
    <t>same battery price, electrolyzer, tank and fuel cell</t>
  </si>
  <si>
    <t>discount rate 0%</t>
  </si>
  <si>
    <t>discount rate 6%</t>
  </si>
  <si>
    <t>same battery price, electrolyzer and fuel cell</t>
  </si>
  <si>
    <t>IF(C39=0;D38;E38)</t>
  </si>
  <si>
    <t>75% addition</t>
  </si>
  <si>
    <t>Investment costs for storage:</t>
  </si>
  <si>
    <t>Share of whole costs</t>
  </si>
  <si>
    <t>factor:</t>
  </si>
  <si>
    <t>rooftop area of solar collectors</t>
  </si>
  <si>
    <t>average [kWh/(m2*year)]</t>
  </si>
  <si>
    <t>mono cr-Si</t>
  </si>
  <si>
    <t xml:space="preserve">energy required for storage </t>
  </si>
  <si>
    <t>Fuel cell</t>
  </si>
  <si>
    <t>PV price</t>
  </si>
  <si>
    <t>Discount rate</t>
  </si>
  <si>
    <t>Storage costs</t>
  </si>
  <si>
    <t>SNPU</t>
  </si>
  <si>
    <t>SNPR</t>
  </si>
  <si>
    <t>SNCU</t>
  </si>
  <si>
    <t>SNCR</t>
  </si>
  <si>
    <t>SRPU</t>
  </si>
  <si>
    <t>SRPR</t>
  </si>
  <si>
    <t>SRCU</t>
  </si>
  <si>
    <t>SRCR</t>
  </si>
  <si>
    <t>MNPU</t>
  </si>
  <si>
    <t>MNCU</t>
  </si>
  <si>
    <t>MNCR</t>
  </si>
  <si>
    <t>MRPU</t>
  </si>
  <si>
    <t>MRPR</t>
  </si>
  <si>
    <t>MRCU</t>
  </si>
  <si>
    <t>MRCR</t>
  </si>
  <si>
    <t>battery</t>
  </si>
  <si>
    <t>rooftop PV</t>
  </si>
  <si>
    <t>facade PV</t>
  </si>
  <si>
    <t>heat pump investment</t>
  </si>
  <si>
    <t>O&amp;M costs</t>
  </si>
  <si>
    <t>%</t>
  </si>
  <si>
    <t>kWh demanded in total</t>
  </si>
  <si>
    <t>heat pump 20% cheaper</t>
  </si>
  <si>
    <t xml:space="preserve">heat pump price </t>
  </si>
  <si>
    <t>heat pump 33% cheaper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</si>
</sst>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000"/>
    <numFmt numFmtId="168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41">
    <xf numFmtId="0" fontId="0" fillId="0" borderId="0" xfId="0"/>
    <xf numFmtId="0" fontId="0" fillId="2" borderId="0" xfId="0" applyFill="1"/>
    <xf numFmtId="1" fontId="0" fillId="0" borderId="0" xfId="0" applyNumberFormat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1" fillId="0" borderId="0" xfId="0" applyFont="1"/>
    <xf numFmtId="1" fontId="0" fillId="0" borderId="0" xfId="1" applyNumberFormat="1" applyFont="1"/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1" fontId="1" fillId="3" borderId="0" xfId="0" applyNumberFormat="1" applyFont="1" applyFill="1" applyAlignment="1">
      <alignment horizontal="justify" vertical="center" wrapText="1"/>
    </xf>
    <xf numFmtId="1" fontId="1" fillId="3" borderId="6" xfId="0" applyNumberFormat="1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1" fontId="1" fillId="3" borderId="8" xfId="0" applyNumberFormat="1" applyFont="1" applyFill="1" applyBorder="1" applyAlignment="1">
      <alignment horizontal="justify" vertical="center" wrapText="1"/>
    </xf>
    <xf numFmtId="1" fontId="1" fillId="3" borderId="9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23" xfId="0" applyBorder="1"/>
    <xf numFmtId="0" fontId="0" fillId="10" borderId="0" xfId="0" applyFill="1"/>
    <xf numFmtId="0" fontId="2" fillId="3" borderId="24" xfId="0" applyFont="1" applyFill="1" applyBorder="1" applyAlignment="1">
      <alignment horizontal="justify" vertical="center" wrapText="1"/>
    </xf>
    <xf numFmtId="0" fontId="2" fillId="3" borderId="25" xfId="0" applyFont="1" applyFill="1" applyBorder="1" applyAlignment="1">
      <alignment horizontal="justify" vertical="center" wrapText="1"/>
    </xf>
    <xf numFmtId="0" fontId="1" fillId="0" borderId="12" xfId="0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3" xfId="0" applyFont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3" xfId="0" applyFont="1" applyFill="1" applyBorder="1"/>
    <xf numFmtId="0" fontId="1" fillId="3" borderId="0" xfId="0" applyFont="1" applyFill="1"/>
    <xf numFmtId="0" fontId="1" fillId="3" borderId="6" xfId="0" applyFont="1" applyFill="1" applyBorder="1"/>
    <xf numFmtId="0" fontId="1" fillId="3" borderId="14" xfId="0" applyFont="1" applyFill="1" applyBorder="1"/>
    <xf numFmtId="0" fontId="1" fillId="3" borderId="8" xfId="0" applyFont="1" applyFill="1" applyBorder="1"/>
    <xf numFmtId="0" fontId="2" fillId="0" borderId="10" xfId="0" applyFont="1" applyBorder="1"/>
    <xf numFmtId="0" fontId="1" fillId="0" borderId="16" xfId="0" applyFont="1" applyBorder="1"/>
    <xf numFmtId="1" fontId="1" fillId="8" borderId="6" xfId="0" applyNumberFormat="1" applyFont="1" applyFill="1" applyBorder="1"/>
    <xf numFmtId="0" fontId="1" fillId="9" borderId="0" xfId="0" applyFont="1" applyFill="1"/>
    <xf numFmtId="1" fontId="1" fillId="0" borderId="0" xfId="0" applyNumberFormat="1" applyFont="1"/>
    <xf numFmtId="0" fontId="1" fillId="8" borderId="6" xfId="0" applyFont="1" applyFill="1" applyBorder="1"/>
    <xf numFmtId="0" fontId="1" fillId="8" borderId="0" xfId="0" applyFont="1" applyFill="1"/>
    <xf numFmtId="0" fontId="2" fillId="0" borderId="0" xfId="0" applyFont="1"/>
    <xf numFmtId="0" fontId="2" fillId="0" borderId="6" xfId="0" applyFont="1" applyBorder="1"/>
    <xf numFmtId="1" fontId="2" fillId="0" borderId="0" xfId="0" applyNumberFormat="1" applyFont="1"/>
    <xf numFmtId="0" fontId="2" fillId="0" borderId="14" xfId="0" applyFont="1" applyBorder="1"/>
    <xf numFmtId="0" fontId="2" fillId="0" borderId="8" xfId="0" applyFont="1" applyBorder="1"/>
    <xf numFmtId="1" fontId="1" fillId="3" borderId="0" xfId="0" applyNumberFormat="1" applyFont="1" applyFill="1"/>
    <xf numFmtId="1" fontId="1" fillId="3" borderId="6" xfId="0" applyNumberFormat="1" applyFont="1" applyFill="1" applyBorder="1"/>
    <xf numFmtId="1" fontId="1" fillId="3" borderId="8" xfId="0" applyNumberFormat="1" applyFont="1" applyFill="1" applyBorder="1"/>
    <xf numFmtId="1" fontId="1" fillId="3" borderId="9" xfId="0" applyNumberFormat="1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4" borderId="11" xfId="0" applyFont="1" applyFill="1" applyBorder="1"/>
    <xf numFmtId="0" fontId="1" fillId="4" borderId="12" xfId="0" quotePrefix="1" applyFont="1" applyFill="1" applyBorder="1"/>
    <xf numFmtId="0" fontId="1" fillId="4" borderId="13" xfId="0" applyFont="1" applyFill="1" applyBorder="1"/>
    <xf numFmtId="0" fontId="1" fillId="4" borderId="0" xfId="0" applyFont="1" applyFill="1"/>
    <xf numFmtId="0" fontId="1" fillId="4" borderId="6" xfId="0" quotePrefix="1" applyFont="1" applyFill="1" applyBorder="1"/>
    <xf numFmtId="0" fontId="1" fillId="4" borderId="14" xfId="0" applyFont="1" applyFill="1" applyBorder="1"/>
    <xf numFmtId="0" fontId="1" fillId="4" borderId="8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1" fillId="3" borderId="12" xfId="0" applyFont="1" applyFill="1" applyBorder="1"/>
    <xf numFmtId="0" fontId="1" fillId="3" borderId="9" xfId="0" applyFont="1" applyFill="1" applyBorder="1"/>
    <xf numFmtId="0" fontId="1" fillId="8" borderId="10" xfId="0" applyFont="1" applyFill="1" applyBorder="1"/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4" xfId="0" applyFont="1" applyFill="1" applyBorder="1"/>
    <xf numFmtId="0" fontId="1" fillId="8" borderId="9" xfId="0" applyFont="1" applyFill="1" applyBorder="1"/>
    <xf numFmtId="0" fontId="1" fillId="2" borderId="6" xfId="0" applyFont="1" applyFill="1" applyBorder="1"/>
    <xf numFmtId="0" fontId="1" fillId="4" borderId="10" xfId="0" applyFont="1" applyFill="1" applyBorder="1"/>
    <xf numFmtId="0" fontId="1" fillId="0" borderId="23" xfId="0" applyFont="1" applyBorder="1"/>
    <xf numFmtId="0" fontId="1" fillId="0" borderId="15" xfId="0" applyFont="1" applyBorder="1"/>
    <xf numFmtId="0" fontId="1" fillId="10" borderId="0" xfId="0" applyFont="1" applyFill="1"/>
    <xf numFmtId="0" fontId="1" fillId="8" borderId="18" xfId="0" applyFont="1" applyFill="1" applyBorder="1"/>
    <xf numFmtId="1" fontId="1" fillId="0" borderId="6" xfId="0" applyNumberFormat="1" applyFont="1" applyBorder="1"/>
    <xf numFmtId="1" fontId="1" fillId="0" borderId="13" xfId="0" applyNumberFormat="1" applyFont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1" fontId="1" fillId="8" borderId="0" xfId="0" applyNumberFormat="1" applyFont="1" applyFill="1"/>
    <xf numFmtId="164" fontId="1" fillId="3" borderId="0" xfId="0" applyNumberFormat="1" applyFont="1" applyFill="1"/>
    <xf numFmtId="165" fontId="1" fillId="3" borderId="0" xfId="0" applyNumberFormat="1" applyFont="1" applyFill="1"/>
    <xf numFmtId="164" fontId="1" fillId="3" borderId="6" xfId="0" applyNumberFormat="1" applyFont="1" applyFill="1" applyBorder="1"/>
    <xf numFmtId="164" fontId="1" fillId="3" borderId="8" xfId="0" applyNumberFormat="1" applyFont="1" applyFill="1" applyBorder="1"/>
    <xf numFmtId="164" fontId="1" fillId="3" borderId="9" xfId="0" applyNumberFormat="1" applyFont="1" applyFill="1" applyBorder="1"/>
    <xf numFmtId="1" fontId="1" fillId="5" borderId="10" xfId="0" applyNumberFormat="1" applyFont="1" applyFill="1" applyBorder="1"/>
    <xf numFmtId="1" fontId="1" fillId="5" borderId="11" xfId="0" applyNumberFormat="1" applyFont="1" applyFill="1" applyBorder="1"/>
    <xf numFmtId="1" fontId="1" fillId="5" borderId="12" xfId="0" applyNumberFormat="1" applyFont="1" applyFill="1" applyBorder="1"/>
    <xf numFmtId="1" fontId="1" fillId="5" borderId="13" xfId="0" applyNumberFormat="1" applyFont="1" applyFill="1" applyBorder="1"/>
    <xf numFmtId="1" fontId="1" fillId="5" borderId="0" xfId="0" applyNumberFormat="1" applyFont="1" applyFill="1"/>
    <xf numFmtId="1" fontId="1" fillId="5" borderId="6" xfId="0" applyNumberFormat="1" applyFont="1" applyFill="1" applyBorder="1"/>
    <xf numFmtId="0" fontId="1" fillId="5" borderId="13" xfId="0" applyFont="1" applyFill="1" applyBorder="1"/>
    <xf numFmtId="0" fontId="1" fillId="5" borderId="0" xfId="0" applyFont="1" applyFill="1"/>
    <xf numFmtId="0" fontId="1" fillId="5" borderId="6" xfId="0" applyFont="1" applyFill="1" applyBorder="1"/>
    <xf numFmtId="1" fontId="1" fillId="7" borderId="14" xfId="0" applyNumberFormat="1" applyFont="1" applyFill="1" applyBorder="1"/>
    <xf numFmtId="1" fontId="1" fillId="7" borderId="8" xfId="0" applyNumberFormat="1" applyFont="1" applyFill="1" applyBorder="1"/>
    <xf numFmtId="1" fontId="1" fillId="7" borderId="9" xfId="0" applyNumberFormat="1" applyFont="1" applyFill="1" applyBorder="1"/>
    <xf numFmtId="1" fontId="1" fillId="4" borderId="10" xfId="0" applyNumberFormat="1" applyFont="1" applyFill="1" applyBorder="1"/>
    <xf numFmtId="1" fontId="1" fillId="4" borderId="11" xfId="0" applyNumberFormat="1" applyFont="1" applyFill="1" applyBorder="1"/>
    <xf numFmtId="1" fontId="1" fillId="4" borderId="12" xfId="0" applyNumberFormat="1" applyFont="1" applyFill="1" applyBorder="1"/>
    <xf numFmtId="1" fontId="1" fillId="4" borderId="13" xfId="0" applyNumberFormat="1" applyFont="1" applyFill="1" applyBorder="1"/>
    <xf numFmtId="1" fontId="1" fillId="4" borderId="0" xfId="0" applyNumberFormat="1" applyFont="1" applyFill="1"/>
    <xf numFmtId="1" fontId="1" fillId="4" borderId="6" xfId="0" applyNumberFormat="1" applyFont="1" applyFill="1" applyBorder="1"/>
    <xf numFmtId="0" fontId="1" fillId="4" borderId="6" xfId="0" applyFont="1" applyFill="1" applyBorder="1"/>
    <xf numFmtId="1" fontId="1" fillId="6" borderId="14" xfId="0" applyNumberFormat="1" applyFont="1" applyFill="1" applyBorder="1"/>
    <xf numFmtId="1" fontId="1" fillId="6" borderId="8" xfId="0" applyNumberFormat="1" applyFont="1" applyFill="1" applyBorder="1"/>
    <xf numFmtId="1" fontId="1" fillId="6" borderId="9" xfId="0" applyNumberFormat="1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6" borderId="21" xfId="0" applyFont="1" applyFill="1" applyBorder="1"/>
    <xf numFmtId="0" fontId="1" fillId="11" borderId="0" xfId="0" applyFont="1" applyFill="1"/>
    <xf numFmtId="1" fontId="1" fillId="11" borderId="0" xfId="0" applyNumberFormat="1" applyFont="1" applyFill="1"/>
    <xf numFmtId="0" fontId="0" fillId="11" borderId="0" xfId="0" applyFill="1"/>
    <xf numFmtId="1" fontId="0" fillId="11" borderId="0" xfId="0" applyNumberFormat="1" applyFill="1"/>
    <xf numFmtId="1" fontId="1" fillId="12" borderId="0" xfId="0" applyNumberFormat="1" applyFont="1" applyFill="1"/>
    <xf numFmtId="1" fontId="1" fillId="12" borderId="11" xfId="0" applyNumberFormat="1" applyFont="1" applyFill="1" applyBorder="1"/>
    <xf numFmtId="1" fontId="1" fillId="12" borderId="12" xfId="0" applyNumberFormat="1" applyFont="1" applyFill="1" applyBorder="1"/>
    <xf numFmtId="0" fontId="1" fillId="12" borderId="0" xfId="0" applyFont="1" applyFill="1"/>
    <xf numFmtId="0" fontId="1" fillId="12" borderId="6" xfId="0" applyFont="1" applyFill="1" applyBorder="1"/>
    <xf numFmtId="1" fontId="1" fillId="12" borderId="6" xfId="0" applyNumberFormat="1" applyFont="1" applyFill="1" applyBorder="1"/>
    <xf numFmtId="0" fontId="1" fillId="12" borderId="11" xfId="0" applyFont="1" applyFill="1" applyBorder="1"/>
    <xf numFmtId="0" fontId="1" fillId="12" borderId="12" xfId="0" applyFont="1" applyFill="1" applyBorder="1"/>
    <xf numFmtId="0" fontId="1" fillId="12" borderId="8" xfId="0" applyFont="1" applyFill="1" applyBorder="1"/>
    <xf numFmtId="0" fontId="1" fillId="12" borderId="9" xfId="0" applyFont="1" applyFill="1" applyBorder="1"/>
    <xf numFmtId="1" fontId="1" fillId="12" borderId="8" xfId="0" applyNumberFormat="1" applyFont="1" applyFill="1" applyBorder="1"/>
    <xf numFmtId="165" fontId="1" fillId="12" borderId="8" xfId="0" applyNumberFormat="1" applyFont="1" applyFill="1" applyBorder="1"/>
    <xf numFmtId="1" fontId="1" fillId="12" borderId="9" xfId="0" applyNumberFormat="1" applyFont="1" applyFill="1" applyBorder="1"/>
    <xf numFmtId="0" fontId="1" fillId="12" borderId="13" xfId="0" applyFont="1" applyFill="1" applyBorder="1"/>
    <xf numFmtId="0" fontId="1" fillId="12" borderId="10" xfId="0" applyFont="1" applyFill="1" applyBorder="1"/>
    <xf numFmtId="0" fontId="1" fillId="12" borderId="14" xfId="0" applyFont="1" applyFill="1" applyBorder="1"/>
    <xf numFmtId="1" fontId="1" fillId="12" borderId="10" xfId="0" applyNumberFormat="1" applyFont="1" applyFill="1" applyBorder="1"/>
    <xf numFmtId="1" fontId="1" fillId="12" borderId="13" xfId="0" applyNumberFormat="1" applyFont="1" applyFill="1" applyBorder="1"/>
    <xf numFmtId="1" fontId="1" fillId="12" borderId="14" xfId="0" applyNumberFormat="1" applyFont="1" applyFill="1" applyBorder="1"/>
    <xf numFmtId="0" fontId="2" fillId="12" borderId="13" xfId="0" applyFont="1" applyFill="1" applyBorder="1"/>
    <xf numFmtId="0" fontId="1" fillId="0" borderId="0" xfId="0" applyFont="1" applyAlignment="1">
      <alignment horizontal="center"/>
    </xf>
    <xf numFmtId="2" fontId="1" fillId="0" borderId="6" xfId="0" applyNumberFormat="1" applyFont="1" applyBorder="1"/>
    <xf numFmtId="0" fontId="1" fillId="11" borderId="10" xfId="0" applyFont="1" applyFill="1" applyBorder="1"/>
    <xf numFmtId="0" fontId="1" fillId="11" borderId="11" xfId="0" applyFont="1" applyFill="1" applyBorder="1"/>
    <xf numFmtId="0" fontId="1" fillId="11" borderId="13" xfId="0" applyFont="1" applyFill="1" applyBorder="1"/>
    <xf numFmtId="0" fontId="1" fillId="11" borderId="6" xfId="0" applyFont="1" applyFill="1" applyBorder="1"/>
    <xf numFmtId="1" fontId="1" fillId="11" borderId="8" xfId="0" applyNumberFormat="1" applyFont="1" applyFill="1" applyBorder="1"/>
    <xf numFmtId="1" fontId="1" fillId="11" borderId="9" xfId="0" applyNumberFormat="1" applyFont="1" applyFill="1" applyBorder="1"/>
    <xf numFmtId="0" fontId="1" fillId="10" borderId="11" xfId="0" applyFont="1" applyFill="1" applyBorder="1"/>
    <xf numFmtId="0" fontId="1" fillId="10" borderId="8" xfId="0" applyFont="1" applyFill="1" applyBorder="1"/>
    <xf numFmtId="0" fontId="1" fillId="13" borderId="0" xfId="0" applyFont="1" applyFill="1"/>
    <xf numFmtId="10" fontId="1" fillId="0" borderId="13" xfId="0" applyNumberFormat="1" applyFont="1" applyBorder="1"/>
    <xf numFmtId="0" fontId="2" fillId="12" borderId="0" xfId="0" applyFont="1" applyFill="1"/>
    <xf numFmtId="0" fontId="0" fillId="12" borderId="12" xfId="0" applyFill="1" applyBorder="1"/>
    <xf numFmtId="0" fontId="2" fillId="12" borderId="14" xfId="0" applyFont="1" applyFill="1" applyBorder="1"/>
    <xf numFmtId="0" fontId="2" fillId="12" borderId="8" xfId="0" applyFont="1" applyFill="1" applyBorder="1"/>
    <xf numFmtId="0" fontId="0" fillId="12" borderId="9" xfId="0" applyFill="1" applyBorder="1"/>
    <xf numFmtId="0" fontId="1" fillId="12" borderId="11" xfId="0" applyFont="1" applyFill="1" applyBorder="1" applyAlignment="1">
      <alignment horizontal="justify" vertical="center" wrapText="1"/>
    </xf>
    <xf numFmtId="0" fontId="2" fillId="12" borderId="12" xfId="0" applyFont="1" applyFill="1" applyBorder="1" applyAlignment="1">
      <alignment horizontal="justify" vertical="center" wrapText="1"/>
    </xf>
    <xf numFmtId="0" fontId="1" fillId="12" borderId="0" xfId="0" applyFont="1" applyFill="1" applyAlignment="1">
      <alignment horizontal="justify" vertical="center" wrapText="1"/>
    </xf>
    <xf numFmtId="0" fontId="2" fillId="12" borderId="6" xfId="0" applyFont="1" applyFill="1" applyBorder="1" applyAlignment="1">
      <alignment horizontal="justify" vertical="center" wrapText="1"/>
    </xf>
    <xf numFmtId="0" fontId="2" fillId="12" borderId="6" xfId="0" applyFont="1" applyFill="1" applyBorder="1"/>
    <xf numFmtId="164" fontId="1" fillId="12" borderId="0" xfId="0" applyNumberFormat="1" applyFont="1" applyFill="1"/>
    <xf numFmtId="0" fontId="2" fillId="12" borderId="27" xfId="0" applyFont="1" applyFill="1" applyBorder="1"/>
    <xf numFmtId="0" fontId="1" fillId="12" borderId="28" xfId="0" applyFont="1" applyFill="1" applyBorder="1"/>
    <xf numFmtId="0" fontId="1" fillId="12" borderId="29" xfId="0" applyFont="1" applyFill="1" applyBorder="1"/>
    <xf numFmtId="0" fontId="5" fillId="12" borderId="10" xfId="0" applyFont="1" applyFill="1" applyBorder="1" applyAlignment="1">
      <alignment horizontal="justify" vertical="center" wrapText="1"/>
    </xf>
    <xf numFmtId="0" fontId="6" fillId="12" borderId="11" xfId="0" applyFont="1" applyFill="1" applyBorder="1" applyAlignment="1">
      <alignment horizontal="justify" vertical="center" wrapText="1"/>
    </xf>
    <xf numFmtId="10" fontId="7" fillId="12" borderId="11" xfId="0" applyNumberFormat="1" applyFont="1" applyFill="1" applyBorder="1" applyAlignment="1">
      <alignment horizontal="justify" vertical="center" wrapText="1"/>
    </xf>
    <xf numFmtId="0" fontId="5" fillId="12" borderId="13" xfId="0" applyFont="1" applyFill="1" applyBorder="1" applyAlignment="1">
      <alignment vertical="top" wrapText="1"/>
    </xf>
    <xf numFmtId="3" fontId="6" fillId="12" borderId="0" xfId="0" applyNumberFormat="1" applyFont="1" applyFill="1" applyAlignment="1">
      <alignment vertical="center" wrapText="1"/>
    </xf>
    <xf numFmtId="10" fontId="7" fillId="12" borderId="0" xfId="0" applyNumberFormat="1" applyFont="1" applyFill="1" applyAlignment="1">
      <alignment vertical="center" wrapText="1"/>
    </xf>
    <xf numFmtId="0" fontId="6" fillId="12" borderId="13" xfId="0" applyFont="1" applyFill="1" applyBorder="1" applyAlignment="1">
      <alignment horizontal="justify" vertical="center" wrapText="1"/>
    </xf>
    <xf numFmtId="0" fontId="6" fillId="12" borderId="0" xfId="0" applyFont="1" applyFill="1" applyAlignment="1">
      <alignment horizontal="justify" vertical="center" wrapText="1"/>
    </xf>
    <xf numFmtId="0" fontId="1" fillId="12" borderId="16" xfId="0" applyFont="1" applyFill="1" applyBorder="1"/>
    <xf numFmtId="0" fontId="1" fillId="12" borderId="18" xfId="0" applyFont="1" applyFill="1" applyBorder="1"/>
    <xf numFmtId="164" fontId="1" fillId="12" borderId="6" xfId="0" applyNumberFormat="1" applyFont="1" applyFill="1" applyBorder="1"/>
    <xf numFmtId="164" fontId="1" fillId="12" borderId="9" xfId="0" applyNumberFormat="1" applyFont="1" applyFill="1" applyBorder="1"/>
    <xf numFmtId="164" fontId="1" fillId="12" borderId="8" xfId="0" applyNumberFormat="1" applyFont="1" applyFill="1" applyBorder="1"/>
    <xf numFmtId="166" fontId="1" fillId="12" borderId="8" xfId="0" applyNumberFormat="1" applyFont="1" applyFill="1" applyBorder="1"/>
    <xf numFmtId="0" fontId="2" fillId="12" borderId="10" xfId="0" applyFont="1" applyFill="1" applyBorder="1"/>
    <xf numFmtId="0" fontId="2" fillId="12" borderId="9" xfId="0" applyFont="1" applyFill="1" applyBorder="1"/>
    <xf numFmtId="0" fontId="1" fillId="12" borderId="22" xfId="0" applyFont="1" applyFill="1" applyBorder="1"/>
    <xf numFmtId="0" fontId="1" fillId="12" borderId="23" xfId="0" applyFont="1" applyFill="1" applyBorder="1"/>
    <xf numFmtId="0" fontId="1" fillId="12" borderId="26" xfId="0" applyFont="1" applyFill="1" applyBorder="1"/>
    <xf numFmtId="167" fontId="1" fillId="12" borderId="14" xfId="0" applyNumberFormat="1" applyFont="1" applyFill="1" applyBorder="1"/>
    <xf numFmtId="0" fontId="2" fillId="12" borderId="11" xfId="0" applyFont="1" applyFill="1" applyBorder="1"/>
    <xf numFmtId="1" fontId="1" fillId="14" borderId="0" xfId="0" applyNumberFormat="1" applyFont="1" applyFill="1"/>
    <xf numFmtId="0" fontId="0" fillId="0" borderId="15" xfId="0" applyBorder="1"/>
    <xf numFmtId="3" fontId="0" fillId="0" borderId="0" xfId="0" applyNumberFormat="1"/>
    <xf numFmtId="0" fontId="0" fillId="0" borderId="0" xfId="1" applyNumberFormat="1" applyFont="1"/>
    <xf numFmtId="16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11" borderId="0" xfId="0" applyFill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1" fontId="1" fillId="0" borderId="0" xfId="0" applyNumberFormat="1" applyFont="1" applyBorder="1"/>
    <xf numFmtId="0" fontId="0" fillId="0" borderId="0" xfId="0" applyBorder="1"/>
    <xf numFmtId="0" fontId="2" fillId="0" borderId="10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9" xfId="0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0" fontId="0" fillId="0" borderId="10" xfId="0" applyBorder="1"/>
    <xf numFmtId="0" fontId="0" fillId="0" borderId="12" xfId="0" applyBorder="1"/>
    <xf numFmtId="0" fontId="0" fillId="0" borderId="6" xfId="0" applyBorder="1"/>
    <xf numFmtId="0" fontId="0" fillId="0" borderId="9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'cost splitting'!$B$34</c:f>
              <c:strCache>
                <c:ptCount val="1"/>
                <c:pt idx="0">
                  <c:v>Electrolyzer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splitting'!$D$34:$S$34</c:f>
              <c:numCache>
                <c:formatCode>#,##0.000</c:formatCode>
                <c:ptCount val="16"/>
                <c:pt idx="0">
                  <c:v>17.629336070248172</c:v>
                </c:pt>
                <c:pt idx="1">
                  <c:v>16.655022017111719</c:v>
                </c:pt>
                <c:pt idx="2">
                  <c:v>16.770698780243968</c:v>
                </c:pt>
                <c:pt idx="3">
                  <c:v>15.886601500209288</c:v>
                </c:pt>
                <c:pt idx="4">
                  <c:v>17.475186387254691</c:v>
                </c:pt>
                <c:pt idx="5">
                  <c:v>16.422393397464873</c:v>
                </c:pt>
                <c:pt idx="6">
                  <c:v>16.544990359102798</c:v>
                </c:pt>
                <c:pt idx="7">
                  <c:v>15.598257285197201</c:v>
                </c:pt>
                <c:pt idx="8">
                  <c:v>9.6718690191179313</c:v>
                </c:pt>
                <c:pt idx="9">
                  <c:v>8.8916546599017536</c:v>
                </c:pt>
                <c:pt idx="10">
                  <c:v>9.0412500213696383</c:v>
                </c:pt>
                <c:pt idx="11">
                  <c:v>8.3558560176760768</c:v>
                </c:pt>
                <c:pt idx="12">
                  <c:v>9.4765849250616423</c:v>
                </c:pt>
                <c:pt idx="13">
                  <c:v>8.7263373406300531</c:v>
                </c:pt>
                <c:pt idx="14">
                  <c:v>8.8703764719865248</c:v>
                </c:pt>
                <c:pt idx="15">
                  <c:v>8.2096980639317128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A-48E3-A982-B72D9A1BBB62}"/>
            </c:ext>
          </c:extLst>
        </c:ser>
        <c:ser>
          <c:idx val="1"/>
          <c:order val="1"/>
          <c:tx>
            <c:strRef>
              <c:f>'cost splitting'!$B$35</c:f>
              <c:strCache>
                <c:ptCount val="1"/>
                <c:pt idx="0">
                  <c:v>Storage tank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splitting'!$D$35:$S$35</c:f>
              <c:numCache>
                <c:formatCode>#,##0.000</c:formatCode>
                <c:ptCount val="16"/>
                <c:pt idx="0">
                  <c:v>5.7134079922278733</c:v>
                </c:pt>
                <c:pt idx="1">
                  <c:v>6.0858392698552057</c:v>
                </c:pt>
                <c:pt idx="2">
                  <c:v>6.0354524903718936</c:v>
                </c:pt>
                <c:pt idx="3">
                  <c:v>6.3737235166195934</c:v>
                </c:pt>
                <c:pt idx="4">
                  <c:v>5.7399079379978328</c:v>
                </c:pt>
                <c:pt idx="5">
                  <c:v>6.0726868532991443</c:v>
                </c:pt>
                <c:pt idx="6">
                  <c:v>6.0266121476770671</c:v>
                </c:pt>
                <c:pt idx="7">
                  <c:v>6.3262851025229434</c:v>
                </c:pt>
                <c:pt idx="8">
                  <c:v>6.0551736163753977</c:v>
                </c:pt>
                <c:pt idx="9">
                  <c:v>6.4753340714930552</c:v>
                </c:pt>
                <c:pt idx="10">
                  <c:v>6.3858043243809295</c:v>
                </c:pt>
                <c:pt idx="11">
                  <c:v>6.7555823086110829</c:v>
                </c:pt>
                <c:pt idx="12">
                  <c:v>6.0001069218972516</c:v>
                </c:pt>
                <c:pt idx="13">
                  <c:v>6.4168153478690311</c:v>
                </c:pt>
                <c:pt idx="14">
                  <c:v>6.3280115758794651</c:v>
                </c:pt>
                <c:pt idx="15">
                  <c:v>6.6956260061944564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A-48E3-A982-B72D9A1BBB62}"/>
            </c:ext>
          </c:extLst>
        </c:ser>
        <c:ser>
          <c:idx val="2"/>
          <c:order val="2"/>
          <c:tx>
            <c:strRef>
              <c:f>'cost splitting'!$B$36</c:f>
              <c:strCache>
                <c:ptCount val="1"/>
                <c:pt idx="0">
                  <c:v>Fuel cell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splitting'!$D$36:$S$36</c:f>
              <c:numCache>
                <c:formatCode>#,##0.000</c:formatCode>
                <c:ptCount val="16"/>
                <c:pt idx="0">
                  <c:v>4.1968476994668817</c:v>
                </c:pt>
                <c:pt idx="1">
                  <c:v>3.9649020563541622</c:v>
                </c:pt>
                <c:pt idx="2">
                  <c:v>3.9924401187802725</c:v>
                </c:pt>
                <c:pt idx="3">
                  <c:v>3.781971521379131</c:v>
                </c:pt>
                <c:pt idx="4">
                  <c:v>4.1601507563791298</c:v>
                </c:pt>
                <c:pt idx="5">
                  <c:v>3.9095223821960032</c:v>
                </c:pt>
                <c:pt idx="6">
                  <c:v>3.9387078702008567</c:v>
                </c:pt>
                <c:pt idx="7">
                  <c:v>3.7133281674487284</c:v>
                </c:pt>
                <c:pt idx="8">
                  <c:v>2.4663791165817743</c:v>
                </c:pt>
                <c:pt idx="9">
                  <c:v>2.2674202185420747</c:v>
                </c:pt>
                <c:pt idx="10">
                  <c:v>2.3055678479953472</c:v>
                </c:pt>
                <c:pt idx="11">
                  <c:v>2.1307886554733271</c:v>
                </c:pt>
                <c:pt idx="12">
                  <c:v>2.4165806122359257</c:v>
                </c:pt>
                <c:pt idx="13">
                  <c:v>2.2252634044811059</c:v>
                </c:pt>
                <c:pt idx="14">
                  <c:v>2.2619941650865236</c:v>
                </c:pt>
                <c:pt idx="15">
                  <c:v>2.0935175836541289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A-48E3-A982-B72D9A1BBB62}"/>
            </c:ext>
          </c:extLst>
        </c:ser>
        <c:ser>
          <c:idx val="3"/>
          <c:order val="3"/>
          <c:tx>
            <c:strRef>
              <c:f>'cost splitting'!$B$38</c:f>
              <c:strCache>
                <c:ptCount val="1"/>
                <c:pt idx="0">
                  <c:v>rooftop PV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splitting'!$D$37:$S$37</c:f>
              <c:numCache>
                <c:formatCode>#,##0.000</c:formatCode>
                <c:ptCount val="16"/>
                <c:pt idx="0">
                  <c:v>14.399001493831037</c:v>
                </c:pt>
                <c:pt idx="1">
                  <c:v>15.605188463770144</c:v>
                </c:pt>
                <c:pt idx="2">
                  <c:v>15.444035395492191</c:v>
                </c:pt>
                <c:pt idx="3">
                  <c:v>16.539480963282987</c:v>
                </c:pt>
                <c:pt idx="4">
                  <c:v>14.495515024049944</c:v>
                </c:pt>
                <c:pt idx="5">
                  <c:v>15.596241221619236</c:v>
                </c:pt>
                <c:pt idx="6">
                  <c:v>15.446760090415527</c:v>
                </c:pt>
                <c:pt idx="7">
                  <c:v>16.437815455315782</c:v>
                </c:pt>
                <c:pt idx="8">
                  <c:v>16.876725287818921</c:v>
                </c:pt>
                <c:pt idx="9">
                  <c:v>18.158514213990433</c:v>
                </c:pt>
                <c:pt idx="10">
                  <c:v>17.886655522865198</c:v>
                </c:pt>
                <c:pt idx="11">
                  <c:v>19.014645633465726</c:v>
                </c:pt>
                <c:pt idx="12">
                  <c:v>16.731434636668226</c:v>
                </c:pt>
                <c:pt idx="13">
                  <c:v>18.000895069186974</c:v>
                </c:pt>
                <c:pt idx="14">
                  <c:v>17.731572196690205</c:v>
                </c:pt>
                <c:pt idx="15">
                  <c:v>18.851382686704898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A-48E3-A982-B72D9A1BBB62}"/>
            </c:ext>
          </c:extLst>
        </c:ser>
        <c:ser>
          <c:idx val="4"/>
          <c:order val="4"/>
          <c:tx>
            <c:strRef>
              <c:f>'cost splitting'!$B$39</c:f>
              <c:strCache>
                <c:ptCount val="1"/>
                <c:pt idx="0">
                  <c:v>facade PV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splitting'!$D$38:$S$38</c:f>
              <c:numCache>
                <c:formatCode>#,##0.000</c:formatCode>
                <c:ptCount val="16"/>
                <c:pt idx="0">
                  <c:v>8.3208347266720253</c:v>
                </c:pt>
                <c:pt idx="1">
                  <c:v>9.2785242919224533</c:v>
                </c:pt>
                <c:pt idx="2">
                  <c:v>9.1918698043539617</c:v>
                </c:pt>
                <c:pt idx="3">
                  <c:v>10.059457068820608</c:v>
                </c:pt>
                <c:pt idx="4">
                  <c:v>8.1734970874928745</c:v>
                </c:pt>
                <c:pt idx="5">
                  <c:v>7.68108457496849</c:v>
                </c:pt>
                <c:pt idx="6">
                  <c:v>7.7384256462839804</c:v>
                </c:pt>
                <c:pt idx="7">
                  <c:v>7.2956194952809641</c:v>
                </c:pt>
                <c:pt idx="8">
                  <c:v>10.565175495732923</c:v>
                </c:pt>
                <c:pt idx="9">
                  <c:v>9.712899517520647</c:v>
                </c:pt>
                <c:pt idx="10">
                  <c:v>9.8763117022940055</c:v>
                </c:pt>
                <c:pt idx="11">
                  <c:v>9.1276138116968575</c:v>
                </c:pt>
                <c:pt idx="12">
                  <c:v>7.2462982950773069</c:v>
                </c:pt>
                <c:pt idx="13">
                  <c:v>6.6726192920458294</c:v>
                </c:pt>
                <c:pt idx="14">
                  <c:v>6.7827592338314551</c:v>
                </c:pt>
                <c:pt idx="15">
                  <c:v>6.2775695626851435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A-48E3-A982-B72D9A1BBB62}"/>
            </c:ext>
          </c:extLst>
        </c:ser>
        <c:ser>
          <c:idx val="5"/>
          <c:order val="5"/>
          <c:tx>
            <c:strRef>
              <c:f>'cost splitting'!$B$40</c:f>
              <c:strCache>
                <c:ptCount val="1"/>
                <c:pt idx="0">
                  <c:v>heat pump investment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splitting'!$D$39:$S$39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0.47587217724283676</c:v>
                </c:pt>
                <c:pt idx="5">
                  <c:v>2.4533422343579558</c:v>
                </c:pt>
                <c:pt idx="6">
                  <c:v>2.2577109090707546</c:v>
                </c:pt>
                <c:pt idx="7">
                  <c:v>4.0339807957212406</c:v>
                </c:pt>
                <c:pt idx="8">
                  <c:v>1.8265080311624191</c:v>
                </c:pt>
                <c:pt idx="9">
                  <c:v>4.3654011534888468</c:v>
                </c:pt>
                <c:pt idx="10">
                  <c:v>3.9210371509294157</c:v>
                </c:pt>
                <c:pt idx="11">
                  <c:v>6.1481567778324253</c:v>
                </c:pt>
                <c:pt idx="12">
                  <c:v>6.571043630748993</c:v>
                </c:pt>
                <c:pt idx="13">
                  <c:v>8.6871092268358154</c:v>
                </c:pt>
                <c:pt idx="14">
                  <c:v>8.3224819991974499</c:v>
                </c:pt>
                <c:pt idx="15">
                  <c:v>10.182818876270963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A-48E3-A982-B72D9A1BBB62}"/>
            </c:ext>
          </c:extLst>
        </c:ser>
        <c:ser>
          <c:idx val="6"/>
          <c:order val="6"/>
          <c:tx>
            <c:strRef>
              <c:f>'cost splitting'!$B$41</c:f>
              <c:strCache>
                <c:ptCount val="1"/>
                <c:pt idx="0">
                  <c:v>O&amp;M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splitting'!$D$40:$S$40</c:f>
              <c:numCache>
                <c:formatCode>#,##0.000</c:formatCode>
                <c:ptCount val="16"/>
                <c:pt idx="0">
                  <c:v>26.052673456873233</c:v>
                </c:pt>
                <c:pt idx="1">
                  <c:v>24.61282990464527</c:v>
                </c:pt>
                <c:pt idx="2">
                  <c:v>24.78377729168378</c:v>
                </c:pt>
                <c:pt idx="3">
                  <c:v>23.477256294575739</c:v>
                </c:pt>
                <c:pt idx="4">
                  <c:v>25.824870700234698</c:v>
                </c:pt>
                <c:pt idx="5">
                  <c:v>24.269050794630431</c:v>
                </c:pt>
                <c:pt idx="6">
                  <c:v>24.450224866962511</c:v>
                </c:pt>
                <c:pt idx="7">
                  <c:v>23.051140549379522</c:v>
                </c:pt>
                <c:pt idx="8">
                  <c:v>32.887043401281538</c:v>
                </c:pt>
                <c:pt idx="9">
                  <c:v>30.234097683848155</c:v>
                </c:pt>
                <c:pt idx="10">
                  <c:v>30.742763499679633</c:v>
                </c:pt>
                <c:pt idx="11">
                  <c:v>28.412233350657413</c:v>
                </c:pt>
                <c:pt idx="12">
                  <c:v>32.22302319338641</c:v>
                </c:pt>
                <c:pt idx="13">
                  <c:v>29.671972840849847</c:v>
                </c:pt>
                <c:pt idx="14">
                  <c:v>30.161745929695417</c:v>
                </c:pt>
                <c:pt idx="15">
                  <c:v>27.915255676669869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A-48E3-A982-B72D9A1BBB62}"/>
            </c:ext>
          </c:extLst>
        </c:ser>
        <c:ser>
          <c:idx val="7"/>
          <c:order val="7"/>
          <c:tx>
            <c:strRef>
              <c:f>'cost splitting'!$B$41</c:f>
              <c:strCache>
                <c:ptCount val="1"/>
                <c:pt idx="0">
                  <c:v>O&amp;M costs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splitting'!$D$33:$S$33</c:f>
              <c:strCache>
                <c:ptCount val="16"/>
                <c:pt idx="0">
                  <c:v>SNPU</c:v>
                </c:pt>
                <c:pt idx="1">
                  <c:v>SNPR</c:v>
                </c:pt>
                <c:pt idx="2">
                  <c:v>SNCU</c:v>
                </c:pt>
                <c:pt idx="3">
                  <c:v>SNCR</c:v>
                </c:pt>
                <c:pt idx="4">
                  <c:v>SRPU</c:v>
                </c:pt>
                <c:pt idx="5">
                  <c:v>SRPR</c:v>
                </c:pt>
                <c:pt idx="6">
                  <c:v>SRCU</c:v>
                </c:pt>
                <c:pt idx="7">
                  <c:v>SRCR</c:v>
                </c:pt>
                <c:pt idx="8">
                  <c:v>MNPU</c:v>
                </c:pt>
                <c:pt idx="9">
                  <c:v>MNPR</c:v>
                </c:pt>
                <c:pt idx="10">
                  <c:v>MNCU</c:v>
                </c:pt>
                <c:pt idx="11">
                  <c:v>MNCR</c:v>
                </c:pt>
                <c:pt idx="12">
                  <c:v>MRPU</c:v>
                </c:pt>
                <c:pt idx="13">
                  <c:v>MRPR</c:v>
                </c:pt>
                <c:pt idx="14">
                  <c:v>MRCU</c:v>
                </c:pt>
                <c:pt idx="15">
                  <c:v>MRCR</c:v>
                </c:pt>
              </c:strCache>
            </c:strRef>
          </c:cat>
          <c:val>
            <c:numRef>
              <c:f>'cost splitting'!$D$41:$S$41</c:f>
              <c:numCache>
                <c:formatCode>#,##0.000</c:formatCode>
                <c:ptCount val="16"/>
                <c:pt idx="0">
                  <c:v>23.687898560680793</c:v>
                </c:pt>
                <c:pt idx="1">
                  <c:v>23.797693996341053</c:v>
                </c:pt>
                <c:pt idx="2">
                  <c:v>23.781726119073905</c:v>
                </c:pt>
                <c:pt idx="3">
                  <c:v>23.88150913511263</c:v>
                </c:pt>
                <c:pt idx="4">
                  <c:v>23.654998802133818</c:v>
                </c:pt>
                <c:pt idx="5">
                  <c:v>23.595678541463862</c:v>
                </c:pt>
                <c:pt idx="6">
                  <c:v>23.596568110286629</c:v>
                </c:pt>
                <c:pt idx="7">
                  <c:v>23.543567914210179</c:v>
                </c:pt>
                <c:pt idx="8">
                  <c:v>19.651123016914614</c:v>
                </c:pt>
                <c:pt idx="9">
                  <c:v>19.894678481215056</c:v>
                </c:pt>
                <c:pt idx="10">
                  <c:v>19.84060869090499</c:v>
                </c:pt>
                <c:pt idx="11">
                  <c:v>20.055123444587082</c:v>
                </c:pt>
                <c:pt idx="12">
                  <c:v>19.334926719395447</c:v>
                </c:pt>
                <c:pt idx="13">
                  <c:v>19.598987478101339</c:v>
                </c:pt>
                <c:pt idx="14">
                  <c:v>19.541057974655992</c:v>
                </c:pt>
                <c:pt idx="15">
                  <c:v>19.774131543888835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A-48E3-A982-B72D9A1BB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475488"/>
        <c:axId val="1509117440"/>
      </c:barChart>
      <c:catAx>
        <c:axId val="15114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117440"/>
        <c:crosses val="autoZero"/>
        <c:auto val="1"/>
        <c:lblAlgn val="ctr"/>
        <c:lblOffset val="100"/>
        <c:noMultiLvlLbl val="0"/>
      </c:catAx>
      <c:valAx>
        <c:axId val="150911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47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693420</xdr:colOff>
      <xdr:row>28</xdr:row>
      <xdr:rowOff>0</xdr:rowOff>
    </xdr:from>
    <xdr:to>
      <xdr:col>10</xdr:col>
      <xdr:colOff>274320</xdr:colOff>
      <xdr:row>42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66E036-80EC-413E-83FF-4AA93E7243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3C11-07B6-4FB9-961C-62F18CAE6AF3}">
  <dimension ref="A1:AX42"/>
  <sheetViews>
    <sheetView workbookViewId="0">
      <selection activeCell="J25" sqref="J25"/>
    </sheetView>
  </sheetViews>
  <sheetFormatPr defaultRowHeight="14.4" x14ac:dyDescent="0.3"/>
  <cols>
    <col min="6" max="6" width="21.77734375" customWidth="1"/>
  </cols>
  <sheetData>
    <row r="1" spans="1:43" x14ac:dyDescent="0.3">
      <c r="A1" s="7"/>
      <c r="B1" s="191"/>
      <c r="C1" s="191"/>
      <c r="D1" s="191"/>
      <c r="E1" s="191"/>
      <c r="F1" s="191"/>
      <c r="G1" s="7"/>
      <c r="H1" s="7"/>
      <c r="I1" s="7"/>
      <c r="J1" s="7"/>
      <c r="K1" s="7"/>
      <c r="L1" s="7"/>
      <c r="M1" s="7"/>
      <c r="N1" s="7"/>
      <c r="O1" s="7"/>
      <c r="P1" s="7"/>
    </row>
    <row r="2" spans="1:43" ht="15" thickBo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x14ac:dyDescent="0.3">
      <c r="A3" s="7"/>
      <c r="B3" s="133" t="s">
        <v>97</v>
      </c>
      <c r="C3" s="125"/>
      <c r="D3" s="125"/>
      <c r="E3" s="152"/>
      <c r="F3" s="133"/>
      <c r="G3" s="156">
        <v>8</v>
      </c>
      <c r="H3" s="157">
        <v>11</v>
      </c>
      <c r="I3" s="3"/>
      <c r="J3" s="193" t="s">
        <v>98</v>
      </c>
      <c r="K3" s="194"/>
      <c r="L3" s="195"/>
      <c r="M3" s="3"/>
      <c r="N3" s="133"/>
      <c r="O3" s="125" t="s">
        <v>169</v>
      </c>
      <c r="P3" s="12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5" thickBot="1" x14ac:dyDescent="0.35">
      <c r="A4" s="7"/>
      <c r="B4" s="153" t="s">
        <v>46</v>
      </c>
      <c r="C4" s="154">
        <v>3.5</v>
      </c>
      <c r="D4" s="127"/>
      <c r="E4" s="155"/>
      <c r="F4" s="132"/>
      <c r="G4" s="158">
        <v>11.8</v>
      </c>
      <c r="H4" s="159">
        <v>23</v>
      </c>
      <c r="J4" s="34"/>
      <c r="K4" s="35" t="s">
        <v>25</v>
      </c>
      <c r="L4" s="36" t="s">
        <v>90</v>
      </c>
      <c r="N4" s="132"/>
      <c r="O4" s="122" t="s">
        <v>170</v>
      </c>
      <c r="P4" s="123" t="s">
        <v>100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x14ac:dyDescent="0.3">
      <c r="A5" s="7"/>
      <c r="B5" s="25"/>
      <c r="C5" s="7"/>
      <c r="D5" s="7"/>
      <c r="F5" s="132"/>
      <c r="G5" s="158">
        <v>23.8</v>
      </c>
      <c r="H5" s="123"/>
      <c r="J5" s="34" t="s">
        <v>21</v>
      </c>
      <c r="K5" s="51">
        <f>O5/$C$4</f>
        <v>51.904761904761905</v>
      </c>
      <c r="L5" s="52">
        <f t="shared" ref="L5:L16" si="0">P5/$C$4</f>
        <v>270</v>
      </c>
      <c r="N5" s="132" t="s">
        <v>148</v>
      </c>
      <c r="O5" s="122">
        <f t="shared" ref="O5:O16" si="1">$G$17</f>
        <v>181.66666666666666</v>
      </c>
      <c r="P5" s="123">
        <f t="shared" ref="P5:P16" si="2">$H$17</f>
        <v>945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x14ac:dyDescent="0.3">
      <c r="A6" s="7"/>
      <c r="B6" s="25"/>
      <c r="C6" s="7"/>
      <c r="D6" s="7"/>
      <c r="F6" s="132"/>
      <c r="G6" s="158">
        <v>15.2</v>
      </c>
      <c r="H6" s="123"/>
      <c r="J6" s="34" t="s">
        <v>1</v>
      </c>
      <c r="K6" s="51">
        <f t="shared" ref="K6:K16" si="3">O6/$C$4</f>
        <v>51.904761904761905</v>
      </c>
      <c r="L6" s="52">
        <f t="shared" si="0"/>
        <v>270</v>
      </c>
      <c r="N6" s="132" t="s">
        <v>149</v>
      </c>
      <c r="O6" s="122">
        <f t="shared" si="1"/>
        <v>181.66666666666666</v>
      </c>
      <c r="P6" s="123">
        <f t="shared" si="2"/>
        <v>945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x14ac:dyDescent="0.3">
      <c r="A7" s="7"/>
      <c r="B7" s="25"/>
      <c r="C7" s="7"/>
      <c r="D7" s="7"/>
      <c r="F7" s="132" t="s">
        <v>299</v>
      </c>
      <c r="G7" s="122">
        <f>AVERAGE(G3:G6)</f>
        <v>14.7</v>
      </c>
      <c r="H7" s="123">
        <f>AVERAGE(H3:H4)</f>
        <v>17</v>
      </c>
      <c r="J7" s="34" t="s">
        <v>2</v>
      </c>
      <c r="K7" s="51">
        <f t="shared" si="3"/>
        <v>51.904761904761905</v>
      </c>
      <c r="L7" s="52">
        <f t="shared" si="0"/>
        <v>270</v>
      </c>
      <c r="N7" s="132" t="s">
        <v>150</v>
      </c>
      <c r="O7" s="122">
        <f t="shared" si="1"/>
        <v>181.66666666666666</v>
      </c>
      <c r="P7" s="123">
        <f t="shared" si="2"/>
        <v>945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x14ac:dyDescent="0.3">
      <c r="A8" s="7"/>
      <c r="B8" s="25"/>
      <c r="C8" s="7"/>
      <c r="D8" s="7"/>
      <c r="F8" s="132"/>
      <c r="G8" s="122"/>
      <c r="H8" s="123"/>
      <c r="J8" s="34" t="s">
        <v>3</v>
      </c>
      <c r="K8" s="51">
        <f t="shared" si="3"/>
        <v>51.904761904761905</v>
      </c>
      <c r="L8" s="52">
        <f t="shared" si="0"/>
        <v>270</v>
      </c>
      <c r="N8" s="132" t="s">
        <v>151</v>
      </c>
      <c r="O8" s="122">
        <f t="shared" si="1"/>
        <v>181.66666666666666</v>
      </c>
      <c r="P8" s="123">
        <f t="shared" si="2"/>
        <v>945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A9" s="7"/>
      <c r="B9" s="25"/>
      <c r="C9" s="7"/>
      <c r="D9" s="7"/>
      <c r="F9" s="132"/>
      <c r="G9" s="122">
        <f>G7-0.26*G7</f>
        <v>10.878</v>
      </c>
      <c r="H9" s="123">
        <f>H7-0.26*H7</f>
        <v>12.58</v>
      </c>
      <c r="J9" s="34" t="s">
        <v>4</v>
      </c>
      <c r="K9" s="51">
        <f t="shared" si="3"/>
        <v>51.904761904761905</v>
      </c>
      <c r="L9" s="52">
        <f t="shared" si="0"/>
        <v>270</v>
      </c>
      <c r="N9" s="132" t="s">
        <v>152</v>
      </c>
      <c r="O9" s="122">
        <f t="shared" si="1"/>
        <v>181.66666666666666</v>
      </c>
      <c r="P9" s="123">
        <f t="shared" si="2"/>
        <v>945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x14ac:dyDescent="0.3">
      <c r="A10" s="7"/>
      <c r="B10" s="25"/>
      <c r="C10" s="7"/>
      <c r="D10" s="7"/>
      <c r="F10" s="132"/>
      <c r="G10" s="122"/>
      <c r="H10" s="123"/>
      <c r="J10" s="34" t="s">
        <v>5</v>
      </c>
      <c r="K10" s="51">
        <f t="shared" si="3"/>
        <v>51.904761904761905</v>
      </c>
      <c r="L10" s="52">
        <f t="shared" si="0"/>
        <v>270</v>
      </c>
      <c r="N10" s="132" t="s">
        <v>153</v>
      </c>
      <c r="O10" s="122">
        <f t="shared" si="1"/>
        <v>181.66666666666666</v>
      </c>
      <c r="P10" s="123">
        <f t="shared" si="2"/>
        <v>945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x14ac:dyDescent="0.3">
      <c r="A11" s="7"/>
      <c r="B11" s="25"/>
      <c r="C11" s="7"/>
      <c r="D11" s="7"/>
      <c r="F11" s="132"/>
      <c r="G11" s="122"/>
      <c r="H11" s="123"/>
      <c r="J11" s="34" t="s">
        <v>6</v>
      </c>
      <c r="K11" s="51">
        <f t="shared" si="3"/>
        <v>51.904761904761905</v>
      </c>
      <c r="L11" s="52">
        <f t="shared" si="0"/>
        <v>270</v>
      </c>
      <c r="N11" s="132" t="s">
        <v>154</v>
      </c>
      <c r="O11" s="122">
        <f t="shared" si="1"/>
        <v>181.66666666666666</v>
      </c>
      <c r="P11" s="123">
        <f t="shared" si="2"/>
        <v>945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x14ac:dyDescent="0.3">
      <c r="A12" s="7"/>
      <c r="B12" s="25"/>
      <c r="C12" s="7"/>
      <c r="D12" s="7"/>
      <c r="F12" s="132"/>
      <c r="G12" s="122"/>
      <c r="H12" s="123"/>
      <c r="J12" s="34" t="s">
        <v>7</v>
      </c>
      <c r="K12" s="51">
        <f t="shared" si="3"/>
        <v>51.904761904761905</v>
      </c>
      <c r="L12" s="52">
        <f t="shared" si="0"/>
        <v>270</v>
      </c>
      <c r="N12" s="132" t="s">
        <v>155</v>
      </c>
      <c r="O12" s="122">
        <f t="shared" si="1"/>
        <v>181.66666666666666</v>
      </c>
      <c r="P12" s="123">
        <f t="shared" si="2"/>
        <v>945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x14ac:dyDescent="0.3">
      <c r="A13" s="7"/>
      <c r="B13" s="25"/>
      <c r="C13" s="7"/>
      <c r="D13" s="7"/>
      <c r="F13" s="132"/>
      <c r="G13" s="151" t="s">
        <v>170</v>
      </c>
      <c r="H13" s="160" t="s">
        <v>100</v>
      </c>
      <c r="J13" s="34" t="s">
        <v>8</v>
      </c>
      <c r="K13" s="51">
        <f t="shared" si="3"/>
        <v>51.904761904761905</v>
      </c>
      <c r="L13" s="52">
        <f t="shared" si="0"/>
        <v>270</v>
      </c>
      <c r="N13" s="132" t="s">
        <v>156</v>
      </c>
      <c r="O13" s="122">
        <f t="shared" si="1"/>
        <v>181.66666666666666</v>
      </c>
      <c r="P13" s="123">
        <f t="shared" si="2"/>
        <v>945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3">
      <c r="A14" s="7"/>
      <c r="B14" s="25"/>
      <c r="C14" s="7"/>
      <c r="D14" s="7"/>
      <c r="F14" s="132"/>
      <c r="G14" s="122">
        <v>10.9</v>
      </c>
      <c r="H14" s="123">
        <v>12.6</v>
      </c>
      <c r="J14" s="34" t="s">
        <v>9</v>
      </c>
      <c r="K14" s="51">
        <f t="shared" si="3"/>
        <v>51.904761904761905</v>
      </c>
      <c r="L14" s="52">
        <f t="shared" si="0"/>
        <v>270</v>
      </c>
      <c r="N14" s="132" t="s">
        <v>157</v>
      </c>
      <c r="O14" s="122">
        <f t="shared" si="1"/>
        <v>181.66666666666666</v>
      </c>
      <c r="P14" s="123">
        <f t="shared" si="2"/>
        <v>945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3">
      <c r="A15" s="7"/>
      <c r="B15" s="25"/>
      <c r="C15" s="7"/>
      <c r="D15" s="7"/>
      <c r="F15" s="132"/>
      <c r="G15" s="122">
        <f>200</f>
        <v>200</v>
      </c>
      <c r="H15" s="123">
        <v>900</v>
      </c>
      <c r="J15" s="34" t="s">
        <v>10</v>
      </c>
      <c r="K15" s="51">
        <f t="shared" si="3"/>
        <v>51.904761904761905</v>
      </c>
      <c r="L15" s="52">
        <f t="shared" si="0"/>
        <v>270</v>
      </c>
      <c r="N15" s="132" t="s">
        <v>158</v>
      </c>
      <c r="O15" s="122">
        <f t="shared" si="1"/>
        <v>181.66666666666666</v>
      </c>
      <c r="P15" s="123">
        <f t="shared" si="2"/>
        <v>945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x14ac:dyDescent="0.3">
      <c r="A16" s="7"/>
      <c r="B16" s="25"/>
      <c r="C16" s="7"/>
      <c r="D16" s="7"/>
      <c r="F16" s="132"/>
      <c r="G16" s="122">
        <f>G15*G14</f>
        <v>2180</v>
      </c>
      <c r="H16" s="123">
        <f>H15*H14</f>
        <v>11340</v>
      </c>
      <c r="J16" s="34" t="s">
        <v>11</v>
      </c>
      <c r="K16" s="51">
        <f t="shared" si="3"/>
        <v>51.904761904761905</v>
      </c>
      <c r="L16" s="52">
        <f t="shared" si="0"/>
        <v>270</v>
      </c>
      <c r="N16" s="132" t="s">
        <v>159</v>
      </c>
      <c r="O16" s="122">
        <f t="shared" si="1"/>
        <v>181.66666666666666</v>
      </c>
      <c r="P16" s="123">
        <f t="shared" si="2"/>
        <v>945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50" ht="15" thickBot="1" x14ac:dyDescent="0.35">
      <c r="A17" s="7"/>
      <c r="B17" s="26"/>
      <c r="C17" s="27"/>
      <c r="D17" s="27"/>
      <c r="E17" s="6"/>
      <c r="F17" s="134"/>
      <c r="G17" s="127">
        <f>G16/12</f>
        <v>181.66666666666666</v>
      </c>
      <c r="H17" s="128">
        <f>H16/12</f>
        <v>945</v>
      </c>
      <c r="I17" s="6"/>
      <c r="J17" s="37" t="s">
        <v>23</v>
      </c>
      <c r="K17" s="53">
        <f>SUM(K5:K16)</f>
        <v>622.857142857143</v>
      </c>
      <c r="L17" s="54">
        <f>SUM(L5:L16)</f>
        <v>3240</v>
      </c>
      <c r="M17" s="6"/>
      <c r="N17" s="134" t="s">
        <v>165</v>
      </c>
      <c r="O17" s="127">
        <f>SUM(O5:O16)</f>
        <v>2180.0000000000005</v>
      </c>
      <c r="P17" s="128">
        <f>SUM(P5:P16)</f>
        <v>11340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S17" s="7"/>
    </row>
    <row r="18" spans="1:50" x14ac:dyDescent="0.3">
      <c r="A18" s="7"/>
      <c r="B18" s="7"/>
      <c r="C18" s="7"/>
      <c r="D18" s="7"/>
      <c r="I18" s="7"/>
      <c r="J18" s="7"/>
      <c r="K18" s="7"/>
      <c r="L18" s="7"/>
      <c r="M18" s="7"/>
      <c r="N18" s="7"/>
      <c r="O18" s="7"/>
      <c r="P18" s="7"/>
      <c r="AX18" s="2"/>
    </row>
    <row r="19" spans="1:50" x14ac:dyDescent="0.3">
      <c r="A19" s="7"/>
      <c r="B19" s="7"/>
      <c r="C19" s="7"/>
      <c r="D19" s="7"/>
      <c r="I19" s="7"/>
      <c r="J19" s="7"/>
      <c r="K19" s="7"/>
      <c r="L19" s="7"/>
      <c r="M19" s="7"/>
      <c r="N19" s="7"/>
      <c r="O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50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W20" s="192"/>
      <c r="AX20" s="192"/>
    </row>
    <row r="21" spans="1:50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50" x14ac:dyDescent="0.3">
      <c r="A22" s="7"/>
      <c r="B22" s="7"/>
      <c r="C22" s="7"/>
      <c r="D22" s="7"/>
      <c r="J22" s="7"/>
      <c r="K22" s="7"/>
      <c r="L22" s="7"/>
      <c r="M22" s="7"/>
      <c r="N22" s="7"/>
      <c r="O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T22" s="8"/>
      <c r="AU22" s="2"/>
      <c r="AW22" s="2"/>
      <c r="AX22" s="2"/>
    </row>
    <row r="23" spans="1:50" x14ac:dyDescent="0.3">
      <c r="A23" s="7"/>
      <c r="J23" s="7"/>
      <c r="K23" s="7"/>
      <c r="L23" s="7"/>
      <c r="M23" s="7"/>
      <c r="N23" s="7"/>
      <c r="O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T23" s="8"/>
      <c r="AU23" s="2"/>
      <c r="AW23" s="2"/>
      <c r="AX23" s="2"/>
    </row>
    <row r="24" spans="1:50" x14ac:dyDescent="0.3">
      <c r="A24" s="7"/>
      <c r="J24" s="7"/>
      <c r="K24" s="7"/>
      <c r="L24" s="7"/>
      <c r="M24" s="7"/>
      <c r="N24" s="7"/>
      <c r="O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T24" s="8"/>
      <c r="AU24" s="2"/>
      <c r="AW24" s="2"/>
      <c r="AX24" s="2"/>
    </row>
    <row r="25" spans="1:50" x14ac:dyDescent="0.3">
      <c r="A25" s="7"/>
      <c r="J25" s="7"/>
      <c r="K25" s="7"/>
      <c r="L25" s="7"/>
      <c r="M25" s="7"/>
      <c r="N25" s="7"/>
      <c r="O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T25" s="8"/>
      <c r="AU25" s="2"/>
      <c r="AW25" s="2"/>
      <c r="AX25" s="2"/>
    </row>
    <row r="26" spans="1:50" x14ac:dyDescent="0.3">
      <c r="A26" s="7"/>
      <c r="J26" s="7"/>
      <c r="K26" s="7"/>
      <c r="L26" s="7"/>
      <c r="M26" s="7"/>
      <c r="N26" s="7"/>
      <c r="O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T26" s="8"/>
      <c r="AU26" s="2"/>
      <c r="AW26" s="2"/>
      <c r="AX26" s="2"/>
    </row>
    <row r="27" spans="1:50" x14ac:dyDescent="0.3">
      <c r="A27" s="7"/>
      <c r="J27" s="7"/>
      <c r="K27" s="7"/>
      <c r="L27" s="7"/>
      <c r="M27" s="7"/>
      <c r="N27" s="7"/>
      <c r="O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T27" s="8"/>
      <c r="AU27" s="2"/>
      <c r="AW27" s="2"/>
      <c r="AX27" s="2"/>
    </row>
    <row r="28" spans="1:50" x14ac:dyDescent="0.3">
      <c r="A28" s="7"/>
      <c r="J28" s="7"/>
      <c r="K28" s="7"/>
      <c r="L28" s="7"/>
      <c r="M28" s="7"/>
      <c r="N28" s="7"/>
      <c r="O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T28" s="8"/>
      <c r="AU28" s="2"/>
      <c r="AW28" s="2"/>
      <c r="AX28" s="2"/>
    </row>
    <row r="29" spans="1:50" x14ac:dyDescent="0.3">
      <c r="A29" s="7"/>
      <c r="J29" s="7"/>
      <c r="K29" s="7"/>
      <c r="L29" s="43"/>
      <c r="M29" s="7"/>
      <c r="N29" s="7"/>
      <c r="O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T29" s="8"/>
      <c r="AU29" s="2"/>
      <c r="AW29" s="2"/>
      <c r="AX29" s="2"/>
    </row>
    <row r="30" spans="1:50" x14ac:dyDescent="0.3">
      <c r="A30" s="7"/>
      <c r="J30" s="7"/>
      <c r="K30" s="7"/>
      <c r="L30" s="43"/>
      <c r="M30" s="7"/>
      <c r="N30" s="7"/>
      <c r="O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T30" s="8"/>
      <c r="AU30" s="2"/>
      <c r="AW30" s="2"/>
      <c r="AX30" s="2"/>
    </row>
    <row r="31" spans="1:50" x14ac:dyDescent="0.3">
      <c r="A31" s="7"/>
      <c r="J31" s="7"/>
      <c r="K31" s="7"/>
      <c r="L31" s="43"/>
      <c r="M31" s="7"/>
      <c r="N31" s="7"/>
      <c r="O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T31" s="8"/>
      <c r="AU31" s="2"/>
      <c r="AW31" s="2"/>
      <c r="AX31" s="2"/>
    </row>
    <row r="32" spans="1:50" x14ac:dyDescent="0.3">
      <c r="A32" s="7"/>
      <c r="J32" s="7"/>
      <c r="K32" s="7"/>
      <c r="L32" s="43"/>
      <c r="M32" s="7"/>
      <c r="N32" s="7"/>
      <c r="O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T32" s="8"/>
      <c r="AU32" s="2"/>
      <c r="AW32" s="2"/>
      <c r="AX32" s="2"/>
    </row>
    <row r="33" spans="1:50" x14ac:dyDescent="0.3">
      <c r="A33" s="7"/>
      <c r="J33" s="7"/>
      <c r="K33" s="7"/>
      <c r="L33" s="43"/>
      <c r="M33" s="7"/>
      <c r="N33" s="7"/>
      <c r="O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T33" s="8"/>
      <c r="AU33" s="2"/>
      <c r="AW33" s="2"/>
      <c r="AX33" s="2"/>
    </row>
    <row r="34" spans="1:50" x14ac:dyDescent="0.3">
      <c r="A34" s="7"/>
      <c r="J34" s="7"/>
      <c r="K34" s="7"/>
      <c r="L34" s="43"/>
      <c r="M34" s="7"/>
      <c r="N34" s="7"/>
      <c r="O34" s="7"/>
      <c r="P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T34" s="8"/>
      <c r="AU34" s="2"/>
      <c r="AW34" s="2"/>
      <c r="AX34" s="2"/>
    </row>
    <row r="35" spans="1:50" x14ac:dyDescent="0.3">
      <c r="A35" s="7"/>
      <c r="J35" s="7"/>
      <c r="K35" s="7"/>
      <c r="L35" s="43"/>
      <c r="M35" s="7"/>
      <c r="N35" s="7"/>
      <c r="O35" s="7"/>
      <c r="P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T35" s="8"/>
      <c r="AU35" s="2"/>
      <c r="AW35" s="2"/>
      <c r="AX35" s="2"/>
    </row>
    <row r="36" spans="1:50" x14ac:dyDescent="0.3">
      <c r="A36" s="7"/>
      <c r="J36" s="7"/>
      <c r="K36" s="7"/>
      <c r="L36" s="43"/>
      <c r="M36" s="7"/>
      <c r="N36" s="7"/>
      <c r="O36" s="7"/>
      <c r="P36" s="7"/>
    </row>
    <row r="37" spans="1:50" x14ac:dyDescent="0.3">
      <c r="A37" s="7"/>
      <c r="H37" s="43"/>
      <c r="I37" s="43"/>
      <c r="J37" s="7"/>
      <c r="K37" s="7"/>
      <c r="L37" s="43"/>
      <c r="M37" s="7"/>
      <c r="N37" s="7"/>
      <c r="O37" s="7"/>
      <c r="P37" s="7"/>
    </row>
    <row r="38" spans="1:50" x14ac:dyDescent="0.3">
      <c r="A38" s="7"/>
      <c r="B38" s="43"/>
      <c r="C38" s="43"/>
      <c r="D38" s="7"/>
      <c r="E38" s="7"/>
      <c r="F38" s="7"/>
      <c r="G38" s="7"/>
      <c r="H38" s="43"/>
      <c r="I38" s="43"/>
      <c r="J38" s="7"/>
      <c r="K38" s="7"/>
      <c r="L38" s="7"/>
      <c r="M38" s="7"/>
      <c r="N38" s="7"/>
      <c r="O38" s="7"/>
      <c r="P38" s="7"/>
    </row>
    <row r="39" spans="1:50" x14ac:dyDescent="0.3">
      <c r="B39" s="2"/>
      <c r="C39" s="2"/>
      <c r="H39" s="2"/>
      <c r="I39" s="2"/>
    </row>
    <row r="40" spans="1:50" x14ac:dyDescent="0.3">
      <c r="B40" s="2"/>
      <c r="C40" s="2"/>
      <c r="H40" s="2"/>
      <c r="I40" s="2"/>
    </row>
    <row r="41" spans="1:50" x14ac:dyDescent="0.3">
      <c r="B41" s="2"/>
      <c r="C41" s="2"/>
      <c r="H41" s="2"/>
      <c r="I41" s="2"/>
      <c r="J41" s="2"/>
    </row>
    <row r="42" spans="1:50" x14ac:dyDescent="0.3">
      <c r="B42" s="2"/>
      <c r="C42" s="2"/>
      <c r="H42" s="2"/>
      <c r="I42" s="2"/>
      <c r="J42" s="2"/>
    </row>
  </sheetData>
  <mergeCells count="3">
    <mergeCell ref="B1:F1"/>
    <mergeCell ref="AW20:AX20"/>
    <mergeCell ref="J3:L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D31B-F861-42CB-8C12-C1D151942B69}">
  <dimension ref="A1:AZ73"/>
  <sheetViews>
    <sheetView tabSelected="1" zoomScaleNormal="100" workbookViewId="0">
      <selection activeCell="B3" sqref="B3"/>
    </sheetView>
  </sheetViews>
  <sheetFormatPr defaultRowHeight="14.4" x14ac:dyDescent="0.3"/>
  <cols>
    <col min="2" max="2" width="23.21875" customWidth="1"/>
    <col min="3" max="19" width="10.44140625" customWidth="1"/>
    <col min="20" max="52" width="8.88671875" style="117"/>
  </cols>
  <sheetData>
    <row r="1" spans="1:21" ht="15" thickBot="1" x14ac:dyDescent="0.35">
      <c r="A1" s="141"/>
      <c r="B1" s="142"/>
      <c r="C1" s="213" t="s">
        <v>91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21" ht="15" thickBot="1" x14ac:dyDescent="0.35">
      <c r="A2" s="143"/>
      <c r="B2" s="115"/>
      <c r="C2" s="216" t="s">
        <v>25</v>
      </c>
      <c r="D2" s="204"/>
      <c r="E2" s="204"/>
      <c r="F2" s="204"/>
      <c r="G2" s="204"/>
      <c r="H2" s="204"/>
      <c r="I2" s="204"/>
      <c r="J2" s="205"/>
      <c r="K2" s="115"/>
      <c r="L2" s="216" t="s">
        <v>90</v>
      </c>
      <c r="M2" s="204"/>
      <c r="N2" s="204"/>
      <c r="O2" s="204"/>
      <c r="P2" s="204"/>
      <c r="Q2" s="204"/>
      <c r="R2" s="204"/>
      <c r="S2" s="205"/>
    </row>
    <row r="3" spans="1:21" ht="15" thickBot="1" x14ac:dyDescent="0.35">
      <c r="A3" s="143"/>
      <c r="B3" s="115"/>
      <c r="C3" s="213" t="s">
        <v>85</v>
      </c>
      <c r="D3" s="202"/>
      <c r="E3" s="202"/>
      <c r="F3" s="203"/>
      <c r="G3" s="213" t="s">
        <v>86</v>
      </c>
      <c r="H3" s="202"/>
      <c r="I3" s="202"/>
      <c r="J3" s="203"/>
      <c r="K3" s="115"/>
      <c r="L3" s="213" t="s">
        <v>85</v>
      </c>
      <c r="M3" s="202"/>
      <c r="N3" s="202"/>
      <c r="O3" s="203"/>
      <c r="P3" s="213" t="s">
        <v>86</v>
      </c>
      <c r="Q3" s="202"/>
      <c r="R3" s="202"/>
      <c r="S3" s="203"/>
    </row>
    <row r="4" spans="1:21" ht="15" thickBot="1" x14ac:dyDescent="0.35">
      <c r="A4" s="143"/>
      <c r="B4" s="115"/>
      <c r="C4" s="213" t="s">
        <v>87</v>
      </c>
      <c r="D4" s="203"/>
      <c r="E4" s="213" t="s">
        <v>88</v>
      </c>
      <c r="F4" s="203"/>
      <c r="G4" s="213" t="s">
        <v>87</v>
      </c>
      <c r="H4" s="203"/>
      <c r="I4" s="213" t="s">
        <v>88</v>
      </c>
      <c r="J4" s="203"/>
      <c r="K4" s="115"/>
      <c r="L4" s="213" t="s">
        <v>87</v>
      </c>
      <c r="M4" s="203"/>
      <c r="N4" s="213" t="s">
        <v>88</v>
      </c>
      <c r="O4" s="203"/>
      <c r="P4" s="213" t="s">
        <v>87</v>
      </c>
      <c r="Q4" s="203"/>
      <c r="R4" s="213" t="s">
        <v>88</v>
      </c>
      <c r="S4" s="203"/>
    </row>
    <row r="5" spans="1:21" ht="15" thickBot="1" x14ac:dyDescent="0.35">
      <c r="A5" s="143"/>
      <c r="B5" s="115"/>
      <c r="C5" s="76" t="s">
        <v>89</v>
      </c>
      <c r="D5" s="76" t="s">
        <v>60</v>
      </c>
      <c r="E5" s="76" t="s">
        <v>89</v>
      </c>
      <c r="F5" s="76" t="s">
        <v>60</v>
      </c>
      <c r="G5" s="76" t="s">
        <v>89</v>
      </c>
      <c r="H5" s="76" t="s">
        <v>60</v>
      </c>
      <c r="I5" s="76" t="s">
        <v>89</v>
      </c>
      <c r="J5" s="76" t="s">
        <v>60</v>
      </c>
      <c r="K5" s="115"/>
      <c r="L5" s="76" t="s">
        <v>89</v>
      </c>
      <c r="M5" s="76" t="s">
        <v>60</v>
      </c>
      <c r="N5" s="76" t="s">
        <v>89</v>
      </c>
      <c r="O5" s="76" t="s">
        <v>60</v>
      </c>
      <c r="P5" s="76" t="s">
        <v>89</v>
      </c>
      <c r="Q5" s="76" t="s">
        <v>60</v>
      </c>
      <c r="R5" s="76" t="s">
        <v>89</v>
      </c>
      <c r="S5" s="76" t="s">
        <v>60</v>
      </c>
    </row>
    <row r="6" spans="1:21" x14ac:dyDescent="0.3">
      <c r="A6" s="143"/>
      <c r="B6" s="133" t="s">
        <v>92</v>
      </c>
      <c r="C6" s="102">
        <f>'Electricity prod.'!$D16</f>
        <v>10414.645775434186</v>
      </c>
      <c r="D6" s="103">
        <f>'Electricity prod.'!$D16</f>
        <v>10414.645775434186</v>
      </c>
      <c r="E6" s="103">
        <f>'Electricity prod.'!$D16</f>
        <v>10414.645775434186</v>
      </c>
      <c r="F6" s="103">
        <f>'Electricity prod.'!$D16</f>
        <v>10414.645775434186</v>
      </c>
      <c r="G6" s="103">
        <f>'Electricity prod.'!$F16</f>
        <v>10414.645775434186</v>
      </c>
      <c r="H6" s="103">
        <f>'Electricity prod.'!$F16</f>
        <v>10414.645775434186</v>
      </c>
      <c r="I6" s="103">
        <f>'Electricity prod.'!$F16</f>
        <v>10414.645775434186</v>
      </c>
      <c r="J6" s="104">
        <f>'Electricity prod.'!$F16</f>
        <v>10414.645775434186</v>
      </c>
      <c r="K6" s="115"/>
      <c r="L6" s="90">
        <f>'Electricity prod.'!$E16</f>
        <v>28119.543593672304</v>
      </c>
      <c r="M6" s="91">
        <f>'Electricity prod.'!$E16</f>
        <v>28119.543593672304</v>
      </c>
      <c r="N6" s="91">
        <f>'Electricity prod.'!$E16</f>
        <v>28119.543593672304</v>
      </c>
      <c r="O6" s="91">
        <f>'Electricity prod.'!$E16</f>
        <v>28119.543593672304</v>
      </c>
      <c r="P6" s="91">
        <f>'Electricity prod.'!$G16</f>
        <v>28119.543593672304</v>
      </c>
      <c r="Q6" s="91">
        <f>'Electricity prod.'!$G16</f>
        <v>28119.543593672304</v>
      </c>
      <c r="R6" s="91">
        <f>'Electricity prod.'!$G16</f>
        <v>28119.543593672304</v>
      </c>
      <c r="S6" s="92">
        <f>'Electricity prod.'!$G16</f>
        <v>28119.543593672304</v>
      </c>
    </row>
    <row r="7" spans="1:21" x14ac:dyDescent="0.3">
      <c r="A7" s="143"/>
      <c r="B7" s="132" t="s">
        <v>93</v>
      </c>
      <c r="C7" s="105">
        <f>'DHW real'!$K17</f>
        <v>622.857142857143</v>
      </c>
      <c r="D7" s="106">
        <f>'DHW real'!$K17</f>
        <v>622.857142857143</v>
      </c>
      <c r="E7" s="106">
        <f>'DHW real'!$K17</f>
        <v>622.857142857143</v>
      </c>
      <c r="F7" s="106">
        <f>'DHW real'!$K17</f>
        <v>622.857142857143</v>
      </c>
      <c r="G7" s="106">
        <f>'DHW real'!$K17</f>
        <v>622.857142857143</v>
      </c>
      <c r="H7" s="106">
        <f>'DHW real'!$K17</f>
        <v>622.857142857143</v>
      </c>
      <c r="I7" s="106">
        <f>'DHW real'!$K17</f>
        <v>622.857142857143</v>
      </c>
      <c r="J7" s="107">
        <f>'DHW real'!$K17</f>
        <v>622.857142857143</v>
      </c>
      <c r="K7" s="115"/>
      <c r="L7" s="93">
        <f>'DHW real'!$L17</f>
        <v>3240</v>
      </c>
      <c r="M7" s="94">
        <f>'DHW real'!$L17</f>
        <v>3240</v>
      </c>
      <c r="N7" s="94">
        <f>'DHW real'!$L17</f>
        <v>3240</v>
      </c>
      <c r="O7" s="94">
        <f>'DHW real'!$L17</f>
        <v>3240</v>
      </c>
      <c r="P7" s="94">
        <f>'DHW real'!$L17</f>
        <v>3240</v>
      </c>
      <c r="Q7" s="94">
        <f>'DHW real'!$L17</f>
        <v>3240</v>
      </c>
      <c r="R7" s="94">
        <f>'DHW real'!$L17</f>
        <v>3240</v>
      </c>
      <c r="S7" s="95">
        <f>'DHW real'!$L17</f>
        <v>3240</v>
      </c>
    </row>
    <row r="8" spans="1:21" x14ac:dyDescent="0.3">
      <c r="A8" s="143"/>
      <c r="B8" s="132" t="s">
        <v>94</v>
      </c>
      <c r="C8" s="59">
        <f>'space heat'!$E25</f>
        <v>311.85056039850565</v>
      </c>
      <c r="D8" s="60">
        <f>'space heat'!$E25</f>
        <v>311.85056039850565</v>
      </c>
      <c r="E8" s="60">
        <f>'space heat'!$E25</f>
        <v>311.85056039850565</v>
      </c>
      <c r="F8" s="60">
        <f>'space heat'!$E25</f>
        <v>311.85056039850565</v>
      </c>
      <c r="G8" s="60">
        <f>'space heat'!$F25</f>
        <v>451.15158813788946</v>
      </c>
      <c r="H8" s="60">
        <f>'space heat'!$F25</f>
        <v>451.15158813788946</v>
      </c>
      <c r="I8" s="60">
        <f>'space heat'!$F25</f>
        <v>451.15158813788946</v>
      </c>
      <c r="J8" s="108">
        <f>'space heat'!$F25</f>
        <v>451.15158813788946</v>
      </c>
      <c r="K8" s="115"/>
      <c r="L8" s="96">
        <f>'space heat'!$G25</f>
        <v>2241.5917808219178</v>
      </c>
      <c r="M8" s="97">
        <f>'space heat'!$G25</f>
        <v>2241.5917808219178</v>
      </c>
      <c r="N8" s="97">
        <f>'space heat'!$G25</f>
        <v>2241.5917808219178</v>
      </c>
      <c r="O8" s="97">
        <f>'space heat'!$G25</f>
        <v>2241.5917808219178</v>
      </c>
      <c r="P8" s="97">
        <f>'space heat'!$H25</f>
        <v>2614.4234532590699</v>
      </c>
      <c r="Q8" s="97">
        <f>'space heat'!$H25</f>
        <v>2614.4234532590699</v>
      </c>
      <c r="R8" s="97">
        <f>'space heat'!$H25</f>
        <v>2614.4234532590699</v>
      </c>
      <c r="S8" s="98">
        <f>'space heat'!$H25</f>
        <v>2614.4234532590699</v>
      </c>
    </row>
    <row r="9" spans="1:21" x14ac:dyDescent="0.3">
      <c r="A9" s="143"/>
      <c r="B9" s="132" t="s">
        <v>95</v>
      </c>
      <c r="C9" s="105">
        <f>'Electricity demand'!$D17</f>
        <v>3806.0880000000002</v>
      </c>
      <c r="D9" s="106">
        <f>'Electricity demand'!$D17</f>
        <v>3806.0880000000002</v>
      </c>
      <c r="E9" s="106">
        <f>'Electricity demand'!$F17</f>
        <v>4945.771999999999</v>
      </c>
      <c r="F9" s="106">
        <f>'Electricity demand'!$F17</f>
        <v>4945.771999999999</v>
      </c>
      <c r="G9" s="106">
        <f>'Electricity demand'!$D17</f>
        <v>3806.0880000000002</v>
      </c>
      <c r="H9" s="106">
        <f>'Electricity demand'!$D17</f>
        <v>3806.0880000000002</v>
      </c>
      <c r="I9" s="106">
        <f>'Electricity demand'!$F17</f>
        <v>4945.771999999999</v>
      </c>
      <c r="J9" s="107">
        <f>'Electricity demand'!$F17</f>
        <v>4945.771999999999</v>
      </c>
      <c r="K9" s="115"/>
      <c r="L9" s="93">
        <f>'Electricity demand'!$E17</f>
        <v>14089.845000000001</v>
      </c>
      <c r="M9" s="94">
        <f>'Electricity demand'!$E17</f>
        <v>14089.845000000001</v>
      </c>
      <c r="N9" s="94">
        <f>'Electricity demand'!$G17</f>
        <v>18308.867500000004</v>
      </c>
      <c r="O9" s="94">
        <f>'Electricity demand'!$G17</f>
        <v>18308.867500000004</v>
      </c>
      <c r="P9" s="94">
        <f>'Electricity demand'!$E17</f>
        <v>14089.845000000001</v>
      </c>
      <c r="Q9" s="94">
        <f>'Electricity demand'!$E17</f>
        <v>14089.845000000001</v>
      </c>
      <c r="R9" s="94">
        <f>'Electricity demand'!$G17</f>
        <v>18308.867500000004</v>
      </c>
      <c r="S9" s="95">
        <f>'Electricity demand'!$G17</f>
        <v>18308.867500000004</v>
      </c>
    </row>
    <row r="10" spans="1:21" x14ac:dyDescent="0.3">
      <c r="A10" s="143"/>
      <c r="B10" s="132" t="s">
        <v>96</v>
      </c>
      <c r="C10" s="59">
        <f>'Spatial dimension'!L22</f>
        <v>2310.2097327512315</v>
      </c>
      <c r="D10" s="60">
        <f>'Spatial dimension'!O22</f>
        <v>3625.7981097345128</v>
      </c>
      <c r="E10" s="60">
        <f>C10</f>
        <v>2310.2097327512315</v>
      </c>
      <c r="F10" s="60">
        <f>D10</f>
        <v>3625.7981097345128</v>
      </c>
      <c r="G10" s="60">
        <f>'Spatial dimension'!L22</f>
        <v>2310.2097327512315</v>
      </c>
      <c r="H10" s="60">
        <f>'Spatial dimension'!O22</f>
        <v>3625.7981097345128</v>
      </c>
      <c r="I10" s="60">
        <f>'Spatial dimension'!L22</f>
        <v>2310.2097327512315</v>
      </c>
      <c r="J10" s="108">
        <f>'Spatial dimension'!O22</f>
        <v>3625.7981097345128</v>
      </c>
      <c r="K10" s="115"/>
      <c r="L10" s="96">
        <f>'Spatial dimension'!$M22</f>
        <v>10080.915197459919</v>
      </c>
      <c r="M10" s="97">
        <f>'Spatial dimension'!$P22</f>
        <v>15454.22145132743</v>
      </c>
      <c r="N10" s="97">
        <f>'Spatial dimension'!$M22</f>
        <v>10080.915197459919</v>
      </c>
      <c r="O10" s="97">
        <f>'Spatial dimension'!$P22</f>
        <v>15454.22145132743</v>
      </c>
      <c r="P10" s="97">
        <f>'Spatial dimension'!$M22</f>
        <v>10080.915197459919</v>
      </c>
      <c r="Q10" s="97">
        <f>'Spatial dimension'!$P22</f>
        <v>15454.22145132743</v>
      </c>
      <c r="R10" s="97">
        <f>'Spatial dimension'!$M22</f>
        <v>10080.915197459919</v>
      </c>
      <c r="S10" s="98">
        <f>'Spatial dimension'!$P22</f>
        <v>15454.22145132743</v>
      </c>
    </row>
    <row r="11" spans="1:21" ht="15" thickBot="1" x14ac:dyDescent="0.35">
      <c r="A11" s="143"/>
      <c r="B11" s="134" t="s">
        <v>279</v>
      </c>
      <c r="C11" s="105">
        <f>C6-(SUM(C7:C10))</f>
        <v>3363.6403394273057</v>
      </c>
      <c r="D11" s="106">
        <f>D6-(SUM(D7:D10))</f>
        <v>2048.051962444024</v>
      </c>
      <c r="E11" s="106">
        <f t="shared" ref="E11:J11" si="0">E6-(SUM(E7:E10))</f>
        <v>2223.9563394273064</v>
      </c>
      <c r="F11" s="106">
        <f t="shared" si="0"/>
        <v>908.36796244402649</v>
      </c>
      <c r="G11" s="106">
        <f t="shared" si="0"/>
        <v>3224.3393116879215</v>
      </c>
      <c r="H11" s="106">
        <f t="shared" si="0"/>
        <v>1908.7509347046398</v>
      </c>
      <c r="I11" s="106">
        <f t="shared" si="0"/>
        <v>2084.655311687924</v>
      </c>
      <c r="J11" s="107">
        <f t="shared" si="0"/>
        <v>769.06693470464234</v>
      </c>
      <c r="K11" s="115"/>
      <c r="L11" s="93">
        <f t="shared" ref="L11:S11" si="1">L6-(SUM(L7:L10))</f>
        <v>-1532.8083846095324</v>
      </c>
      <c r="M11" s="94">
        <f t="shared" si="1"/>
        <v>-6906.1146384770436</v>
      </c>
      <c r="N11" s="94">
        <f t="shared" si="1"/>
        <v>-5751.8308846095351</v>
      </c>
      <c r="O11" s="94">
        <f t="shared" si="1"/>
        <v>-11125.13713847705</v>
      </c>
      <c r="P11" s="94">
        <f t="shared" si="1"/>
        <v>-1905.6400570466867</v>
      </c>
      <c r="Q11" s="94">
        <f t="shared" si="1"/>
        <v>-7278.946310914198</v>
      </c>
      <c r="R11" s="94">
        <f>R6-(SUM(R7:R10))</f>
        <v>-6124.6625570466895</v>
      </c>
      <c r="S11" s="95">
        <f t="shared" si="1"/>
        <v>-11497.968810914204</v>
      </c>
      <c r="U11" s="118"/>
    </row>
    <row r="12" spans="1:21" ht="15" thickBot="1" x14ac:dyDescent="0.35">
      <c r="A12" s="143"/>
      <c r="B12" s="7"/>
      <c r="C12" s="214"/>
      <c r="D12" s="191"/>
      <c r="E12" s="191"/>
      <c r="F12" s="191"/>
      <c r="G12" s="191"/>
      <c r="H12" s="191"/>
      <c r="I12" s="191"/>
      <c r="J12" s="215"/>
      <c r="K12" s="115"/>
      <c r="L12" s="214"/>
      <c r="M12" s="191"/>
      <c r="N12" s="191"/>
      <c r="O12" s="191"/>
      <c r="P12" s="191"/>
      <c r="Q12" s="191"/>
      <c r="R12" s="191"/>
      <c r="S12" s="215"/>
    </row>
    <row r="13" spans="1:21" x14ac:dyDescent="0.3">
      <c r="A13" s="143"/>
      <c r="B13" s="112" t="s">
        <v>0</v>
      </c>
      <c r="C13" s="105">
        <f>'Electricity prod.'!D4-('DHW real'!K5+'space heat'!E13+'Electricity demand'!D5+'Spatial dimension'!L$28)</f>
        <v>-265.54507337089262</v>
      </c>
      <c r="D13" s="106">
        <f>'Electricity prod.'!D4-('DHW real'!K5+'space heat'!E13+'Electricity demand'!D5+'Spatial dimension'!O$28)</f>
        <v>-375.17743811949936</v>
      </c>
      <c r="E13" s="106">
        <f>'Electricity prod.'!D4-('DHW real'!K5+'space heat'!E13+'Electricity demand'!F5+'Spatial dimension'!L$28)</f>
        <v>-366.66781797046997</v>
      </c>
      <c r="F13" s="106">
        <f>'Electricity prod.'!D4-('DHW real'!K5+'space heat'!E13+'Electricity demand'!F5+'Spatial dimension'!O$28)</f>
        <v>-476.3001827190767</v>
      </c>
      <c r="G13" s="106">
        <f>'Electricity prod.'!F4-('DHW real'!K5+'space heat'!F13+'Electricity demand'!D5+'Spatial dimension'!L$28)</f>
        <v>-293.15428607599574</v>
      </c>
      <c r="H13" s="106">
        <f>'Electricity prod.'!F4-('DHW real'!K5+'space heat'!F13+'Electricity demand'!D5+'Spatial dimension'!O$28)</f>
        <v>-402.78665082460248</v>
      </c>
      <c r="I13" s="106">
        <f>'Electricity prod.'!F4-('DHW real'!K5+'space heat'!F13+'Electricity demand'!F5+'Spatial dimension'!L$28)</f>
        <v>-394.27703067557309</v>
      </c>
      <c r="J13" s="107">
        <f>'Electricity prod.'!F4-('DHW real'!K5+'space heat'!F13+'Electricity demand'!F5+'Spatial dimension'!O$28)</f>
        <v>-503.90939542417982</v>
      </c>
      <c r="K13" s="115"/>
      <c r="L13" s="93">
        <f>'Electricity prod.'!E4-('DHW real'!L5+'space heat'!G13+'Electricity demand'!E5+'Spatial dimension'!M$28)</f>
        <v>-1771.3071554546113</v>
      </c>
      <c r="M13" s="94">
        <f>'Electricity prod.'!E4-('DHW real'!L5+'space heat'!G13+'Electricity demand'!E5+'Spatial dimension'!P$28)</f>
        <v>-2219.0826766102368</v>
      </c>
      <c r="N13" s="94">
        <f>'Electricity prod.'!E4-('DHW real'!L5+'space heat'!G13+'Electricity demand'!G5+'Spatial dimension'!M$28)</f>
        <v>-2145.6557772895853</v>
      </c>
      <c r="O13" s="94">
        <f>'Electricity prod.'!E4-('DHW real'!L5+'space heat'!G13+'Electricity demand'!G5+'Spatial dimension'!P$28)</f>
        <v>-2593.4312984452113</v>
      </c>
      <c r="P13" s="94">
        <f>'Electricity prod.'!G4-('DHW real'!L5+'space heat'!H13+'Electricity demand'!E5+'Spatial dimension'!M$28)</f>
        <v>-1845.2017211628759</v>
      </c>
      <c r="Q13" s="94">
        <f>'Electricity prod.'!G4-('DHW real'!L5+'space heat'!H13+'Electricity demand'!E5+'Spatial dimension'!P$28)</f>
        <v>-2292.9772423185018</v>
      </c>
      <c r="R13" s="94">
        <f>'Electricity prod.'!G4-('DHW real'!L5+'space heat'!H13+'Electricity demand'!G5+'Spatial dimension'!M$28)</f>
        <v>-2219.5503429978498</v>
      </c>
      <c r="S13" s="95">
        <f>'Electricity prod.'!G4-('DHW real'!L5+'space heat'!H13+'Electricity demand'!G5+'Spatial dimension'!P$28)</f>
        <v>-2667.3258641534753</v>
      </c>
    </row>
    <row r="14" spans="1:21" x14ac:dyDescent="0.3">
      <c r="A14" s="143"/>
      <c r="B14" s="113" t="s">
        <v>1</v>
      </c>
      <c r="C14" s="105">
        <f>'Electricity prod.'!D5-('DHW real'!K6+'space heat'!E14+'Electricity demand'!D6+'Spatial dimension'!L$28)</f>
        <v>-73.357270732006441</v>
      </c>
      <c r="D14" s="106">
        <f>'Electricity prod.'!D5-('DHW real'!K6+'space heat'!E14+'Electricity demand'!D6+'Spatial dimension'!O$28)</f>
        <v>-182.98963548061317</v>
      </c>
      <c r="E14" s="106">
        <f>'Electricity prod.'!D5-('DHW real'!K6+'space heat'!E14+'Electricity demand'!F6+'Spatial dimension'!L$28)</f>
        <v>-171.1397754667928</v>
      </c>
      <c r="F14" s="106">
        <f>'Electricity prod.'!D5-('DHW real'!K6+'space heat'!E14+'Electricity demand'!F6+'Spatial dimension'!O$28)</f>
        <v>-280.77214021539953</v>
      </c>
      <c r="G14" s="106">
        <f>'Electricity prod.'!F5-('DHW real'!K6+'space heat'!F14+'Electricity demand'!D6+'Spatial dimension'!L$28)</f>
        <v>-96.36494798625904</v>
      </c>
      <c r="H14" s="106">
        <f>'Electricity prod.'!F5-('DHW real'!K6+'space heat'!F14+'Electricity demand'!D6+'Spatial dimension'!O$28)</f>
        <v>-205.99731273486577</v>
      </c>
      <c r="I14" s="106">
        <f>'Electricity prod.'!F5-('DHW real'!K6+'space heat'!F14+'Electricity demand'!F6+'Spatial dimension'!L$28)</f>
        <v>-194.1474527210454</v>
      </c>
      <c r="J14" s="107">
        <f>'Electricity prod.'!F5-('DHW real'!K6+'space heat'!F14+'Electricity demand'!F6+'Spatial dimension'!O$28)</f>
        <v>-303.77981746965213</v>
      </c>
      <c r="K14" s="115"/>
      <c r="L14" s="93">
        <f>'Electricity prod.'!E5-('DHW real'!L6+'space heat'!G14+'Electricity demand'!E6+'Spatial dimension'!M$28)</f>
        <v>-1195.3724394034305</v>
      </c>
      <c r="M14" s="94">
        <f>'Electricity prod.'!E5-('DHW real'!L6+'space heat'!G14+'Electricity demand'!E6+'Spatial dimension'!P$28)</f>
        <v>-1643.1479605590564</v>
      </c>
      <c r="N14" s="94">
        <f>'Electricity prod.'!E5-('DHW real'!L6+'space heat'!G14+'Electricity demand'!G6+'Spatial dimension'!M$28)</f>
        <v>-1557.3557502004767</v>
      </c>
      <c r="O14" s="94">
        <f>'Electricity prod.'!E5-('DHW real'!L6+'space heat'!G14+'Electricity demand'!G6+'Spatial dimension'!P$28)</f>
        <v>-2005.1312713561022</v>
      </c>
      <c r="P14" s="94">
        <f>'Electricity prod.'!G5-('DHW real'!L6+'space heat'!H14+'Electricity demand'!E6+'Spatial dimension'!M$28)</f>
        <v>-1256.9512441603176</v>
      </c>
      <c r="Q14" s="94">
        <f>'Electricity prod.'!G5-('DHW real'!L6+'space heat'!H14+'Electricity demand'!E6+'Spatial dimension'!P$28)</f>
        <v>-1704.7267653159436</v>
      </c>
      <c r="R14" s="94">
        <f>'Electricity prod.'!G5-('DHW real'!L6+'space heat'!H14+'Electricity demand'!G6+'Spatial dimension'!M$28)</f>
        <v>-1618.9345549573634</v>
      </c>
      <c r="S14" s="95">
        <f>'Electricity prod.'!G5-('DHW real'!L6+'space heat'!H14+'Electricity demand'!G6+'Spatial dimension'!P$28)</f>
        <v>-2066.7100761129886</v>
      </c>
    </row>
    <row r="15" spans="1:21" x14ac:dyDescent="0.3">
      <c r="A15" s="143"/>
      <c r="B15" s="113" t="s">
        <v>2</v>
      </c>
      <c r="C15" s="105">
        <f>'Electricity prod.'!D6-('DHW real'!K7+'space heat'!E15+'Electricity demand'!D7+'Spatial dimension'!L$28)</f>
        <v>285.10848057354531</v>
      </c>
      <c r="D15" s="106">
        <f>'Electricity prod.'!D6-('DHW real'!K7+'space heat'!E15+'Electricity demand'!D7+'Spatial dimension'!O$28)</f>
        <v>175.47611582493857</v>
      </c>
      <c r="E15" s="106">
        <f>'Electricity prod.'!D6-('DHW real'!K7+'space heat'!E15+'Electricity demand'!F7+'Spatial dimension'!L$28)</f>
        <v>188.84426668639128</v>
      </c>
      <c r="F15" s="106">
        <f>'Electricity prod.'!D6-('DHW real'!K7+'space heat'!E15+'Electricity demand'!F7+'Spatial dimension'!O$28)</f>
        <v>79.211901937784546</v>
      </c>
      <c r="G15" s="106">
        <f>'Electricity prod.'!F6-('DHW real'!K7+'space heat'!F15+'Electricity demand'!D7+'Spatial dimension'!L$28)</f>
        <v>265.30793408806733</v>
      </c>
      <c r="H15" s="106">
        <f>'Electricity prod.'!F6-('DHW real'!K7+'space heat'!F15+'Electricity demand'!D7+'Spatial dimension'!O$28)</f>
        <v>155.67556933946059</v>
      </c>
      <c r="I15" s="106">
        <f>'Electricity prod.'!F6-('DHW real'!K7+'space heat'!F15+'Electricity demand'!F7+'Spatial dimension'!L$28)</f>
        <v>169.04372020091319</v>
      </c>
      <c r="J15" s="107">
        <f>'Electricity prod.'!F6-('DHW real'!K7+'space heat'!F15+'Electricity demand'!F7+'Spatial dimension'!O$28)</f>
        <v>59.411355452306452</v>
      </c>
      <c r="K15" s="115"/>
      <c r="L15" s="93">
        <f>'Electricity prod.'!E6-('DHW real'!L7+'space heat'!G15+'Electricity demand'!E7+'Spatial dimension'!M$28)</f>
        <v>-190.38528216354825</v>
      </c>
      <c r="M15" s="94">
        <f>'Electricity prod.'!E6-('DHW real'!L7+'space heat'!G15+'Electricity demand'!E7+'Spatial dimension'!P$28)</f>
        <v>-638.16080331917419</v>
      </c>
      <c r="N15" s="94">
        <f>'Electricity prod.'!E6-('DHW real'!L7+'space heat'!G15+'Electricity demand'!G7+'Spatial dimension'!M$28)</f>
        <v>-546.74799703426334</v>
      </c>
      <c r="O15" s="94">
        <f>'Electricity prod.'!E6-('DHW real'!L7+'space heat'!G15+'Electricity demand'!G7+'Spatial dimension'!P$28)</f>
        <v>-994.52351818988882</v>
      </c>
      <c r="P15" s="94">
        <f>'Electricity prod.'!G6-('DHW real'!L7+'space heat'!H15+'Electricity demand'!E7+'Spatial dimension'!M$28)</f>
        <v>-243.38037474220255</v>
      </c>
      <c r="Q15" s="94">
        <f>'Electricity prod.'!G6-('DHW real'!L7+'space heat'!H15+'Electricity demand'!E7+'Spatial dimension'!P$28)</f>
        <v>-691.15589589782849</v>
      </c>
      <c r="R15" s="94">
        <f>'Electricity prod.'!G6-('DHW real'!L7+'space heat'!H15+'Electricity demand'!G7+'Spatial dimension'!M$28)</f>
        <v>-599.74308961291717</v>
      </c>
      <c r="S15" s="95">
        <f>'Electricity prod.'!G6-('DHW real'!L7+'space heat'!H15+'Electricity demand'!G7+'Spatial dimension'!P$28)</f>
        <v>-1047.5186107685431</v>
      </c>
    </row>
    <row r="16" spans="1:21" x14ac:dyDescent="0.3">
      <c r="A16" s="143"/>
      <c r="B16" s="113" t="s">
        <v>3</v>
      </c>
      <c r="C16" s="105">
        <f>'Electricity prod.'!D7-('DHW real'!K8+'space heat'!E16+'Electricity demand'!D8+'Spatial dimension'!L$28)</f>
        <v>534.28412007421923</v>
      </c>
      <c r="D16" s="106">
        <f>'Electricity prod.'!D7-('DHW real'!K8+'space heat'!E16+'Electricity demand'!D8+'Spatial dimension'!O$28)</f>
        <v>424.6517553256125</v>
      </c>
      <c r="E16" s="106">
        <f>'Electricity prod.'!D7-('DHW real'!K8+'space heat'!E16+'Electricity demand'!F8+'Spatial dimension'!L$28)</f>
        <v>441.20831696709286</v>
      </c>
      <c r="F16" s="106">
        <f>'Electricity prod.'!D7-('DHW real'!K8+'space heat'!E16+'Electricity demand'!F8+'Spatial dimension'!O$28)</f>
        <v>331.57595221848612</v>
      </c>
      <c r="G16" s="106">
        <f>'Electricity prod.'!F7-('DHW real'!K8+'space heat'!F16+'Electricity demand'!D8+'Spatial dimension'!L$28)</f>
        <v>529.82202509157639</v>
      </c>
      <c r="H16" s="106">
        <f>'Electricity prod.'!F7-('DHW real'!K8+'space heat'!F16+'Electricity demand'!D8+'Spatial dimension'!O$28)</f>
        <v>420.18966034296955</v>
      </c>
      <c r="I16" s="106">
        <f>'Electricity prod.'!F7-('DHW real'!K8+'space heat'!F16+'Electricity demand'!F8+'Spatial dimension'!L$28)</f>
        <v>436.74622198445002</v>
      </c>
      <c r="J16" s="107">
        <f>'Electricity prod.'!F7-('DHW real'!K8+'space heat'!F16+'Electricity demand'!F8+'Spatial dimension'!O$28)</f>
        <v>327.11385723584317</v>
      </c>
      <c r="K16" s="115"/>
      <c r="L16" s="93">
        <f>'Electricity prod.'!E7-('DHW real'!L8+'space heat'!G16+'Electricity demand'!E8+'Spatial dimension'!M$28)</f>
        <v>646.80263427895943</v>
      </c>
      <c r="M16" s="94">
        <f>'Electricity prod.'!E7-('DHW real'!L8+'space heat'!G16+'Electricity demand'!E8+'Spatial dimension'!P$28)</f>
        <v>199.02711312333349</v>
      </c>
      <c r="N16" s="94">
        <f>'Electricity prod.'!E7-('DHW real'!L8+'space heat'!G16+'Electricity demand'!G8+'Spatial dimension'!M$28)</f>
        <v>302.24317085354005</v>
      </c>
      <c r="O16" s="94">
        <f>'Electricity prod.'!E7-('DHW real'!L8+'space heat'!G16+'Electricity demand'!G8+'Spatial dimension'!P$28)</f>
        <v>-145.53235030208589</v>
      </c>
      <c r="P16" s="94">
        <f>'Electricity prod.'!G7-('DHW real'!L8+'space heat'!H16+'Electricity demand'!E8+'Spatial dimension'!M$28)</f>
        <v>634.86007820489658</v>
      </c>
      <c r="Q16" s="94">
        <f>'Electricity prod.'!G7-('DHW real'!L8+'space heat'!H16+'Electricity demand'!E8+'Spatial dimension'!P$28)</f>
        <v>187.08455704927064</v>
      </c>
      <c r="R16" s="94">
        <f>'Electricity prod.'!G7-('DHW real'!L8+'space heat'!H16+'Electricity demand'!G8+'Spatial dimension'!M$28)</f>
        <v>290.3006147794772</v>
      </c>
      <c r="S16" s="95">
        <f>'Electricity prod.'!G7-('DHW real'!L8+'space heat'!H16+'Electricity demand'!G8+'Spatial dimension'!P$28)</f>
        <v>-157.47490637614874</v>
      </c>
    </row>
    <row r="17" spans="1:25" x14ac:dyDescent="0.3">
      <c r="A17" s="143"/>
      <c r="B17" s="113" t="s">
        <v>4</v>
      </c>
      <c r="C17" s="105">
        <f>'Electricity prod.'!D8-('DHW real'!K9+'space heat'!E17+'Electricity demand'!D9+'Spatial dimension'!L$28)</f>
        <v>753.42069792769132</v>
      </c>
      <c r="D17" s="106">
        <f>'Electricity prod.'!D8-('DHW real'!K9+'space heat'!E17+'Electricity demand'!D9+'Spatial dimension'!O$28)</f>
        <v>643.78833317908459</v>
      </c>
      <c r="E17" s="106">
        <f>'Electricity prod.'!D8-('DHW real'!K9+'space heat'!E17+'Electricity demand'!F9+'Spatial dimension'!L$28)</f>
        <v>662.16684383772372</v>
      </c>
      <c r="F17" s="106">
        <f>'Electricity prod.'!D8-('DHW real'!K9+'space heat'!E17+'Electricity demand'!F9+'Spatial dimension'!O$28)</f>
        <v>552.53447908911699</v>
      </c>
      <c r="G17" s="106">
        <f>'Electricity prod.'!F8-('DHW real'!K9+'space heat'!F17+'Electricity demand'!D9+'Spatial dimension'!L$28)</f>
        <v>753.42069792769132</v>
      </c>
      <c r="H17" s="106">
        <f>'Electricity prod.'!F8-('DHW real'!K9+'space heat'!F17+'Electricity demand'!D9+'Spatial dimension'!O$28)</f>
        <v>643.78833317908459</v>
      </c>
      <c r="I17" s="106">
        <f>'Electricity prod.'!F8-('DHW real'!K9+'space heat'!F17+'Electricity demand'!F9+'Spatial dimension'!L$28)</f>
        <v>662.16684383772372</v>
      </c>
      <c r="J17" s="107">
        <f>'Electricity prod.'!F8-('DHW real'!K9+'space heat'!F17+'Electricity demand'!F9+'Spatial dimension'!O$28)</f>
        <v>552.53447908911699</v>
      </c>
      <c r="K17" s="115"/>
      <c r="L17" s="93">
        <f>'Electricity prod.'!E8-('DHW real'!L9+'space heat'!G17+'Electricity demand'!E9+'Spatial dimension'!M$28)</f>
        <v>1289.191332502849</v>
      </c>
      <c r="M17" s="94">
        <f>'Electricity prod.'!E8-('DHW real'!L9+'space heat'!G17+'Electricity demand'!E9+'Spatial dimension'!P$28)</f>
        <v>841.4158113472231</v>
      </c>
      <c r="N17" s="94">
        <f>'Electricity prod.'!E8-('DHW real'!L9+'space heat'!G17+'Electricity demand'!G9+'Spatial dimension'!M$28)</f>
        <v>951.37658418902629</v>
      </c>
      <c r="O17" s="94">
        <f>'Electricity prod.'!E8-('DHW real'!L9+'space heat'!G17+'Electricity demand'!G9+'Spatial dimension'!P$28)</f>
        <v>503.60106303340081</v>
      </c>
      <c r="P17" s="94">
        <f>'Electricity prod.'!G8-('DHW real'!L9+'space heat'!H17+'Electricity demand'!E9+'Spatial dimension'!M$28)</f>
        <v>1289.191332502849</v>
      </c>
      <c r="Q17" s="94">
        <f>'Electricity prod.'!G8-('DHW real'!L9+'space heat'!H17+'Electricity demand'!E9+'Spatial dimension'!P$28)</f>
        <v>841.4158113472231</v>
      </c>
      <c r="R17" s="94">
        <f>'Electricity prod.'!G8-('DHW real'!L9+'space heat'!H17+'Electricity demand'!G9+'Spatial dimension'!M$28)</f>
        <v>951.37658418902629</v>
      </c>
      <c r="S17" s="95">
        <f>'Electricity prod.'!G8-('DHW real'!L9+'space heat'!H17+'Electricity demand'!G9+'Spatial dimension'!P$28)</f>
        <v>503.60106303340081</v>
      </c>
    </row>
    <row r="18" spans="1:25" x14ac:dyDescent="0.3">
      <c r="A18" s="143"/>
      <c r="B18" s="113" t="s">
        <v>5</v>
      </c>
      <c r="C18" s="105">
        <f>'Electricity prod.'!D9-('DHW real'!K10+'space heat'!E18+'Electricity demand'!D10+'Spatial dimension'!L$28)</f>
        <v>784.07596766888253</v>
      </c>
      <c r="D18" s="106">
        <f>'Electricity prod.'!D9-('DHW real'!K10+'space heat'!E18+'Electricity demand'!D10+'Spatial dimension'!O$28)</f>
        <v>674.44360292027568</v>
      </c>
      <c r="E18" s="106">
        <f>'Electricity prod.'!D9-('DHW real'!K10+'space heat'!E18+'Electricity demand'!F10+'Spatial dimension'!L$28)</f>
        <v>695.09954985036325</v>
      </c>
      <c r="F18" s="106">
        <f>'Electricity prod.'!D9-('DHW real'!K10+'space heat'!E18+'Electricity demand'!F10+'Spatial dimension'!O$28)</f>
        <v>585.46718510175651</v>
      </c>
      <c r="G18" s="106">
        <f>'Electricity prod.'!F9-('DHW real'!K10+'space heat'!F18+'Electricity demand'!D10+'Spatial dimension'!L$28)</f>
        <v>784.07596766888253</v>
      </c>
      <c r="H18" s="106">
        <f>'Electricity prod.'!F9-('DHW real'!K10+'space heat'!F18+'Electricity demand'!D10+'Spatial dimension'!O$28)</f>
        <v>674.44360292027568</v>
      </c>
      <c r="I18" s="106">
        <f>'Electricity prod.'!F9-('DHW real'!K10+'space heat'!F18+'Electricity demand'!F10+'Spatial dimension'!L$28)</f>
        <v>695.09954985036325</v>
      </c>
      <c r="J18" s="107">
        <f>'Electricity prod.'!F9-('DHW real'!K10+'space heat'!F18+'Electricity demand'!F10+'Spatial dimension'!O$28)</f>
        <v>585.46718510175651</v>
      </c>
      <c r="K18" s="115"/>
      <c r="L18" s="93">
        <f>'Electricity prod.'!E9-('DHW real'!L10+'space heat'!G18+'Electricity demand'!E10+'Spatial dimension'!M$28)</f>
        <v>1353.2706327680598</v>
      </c>
      <c r="M18" s="94">
        <f>'Electricity prod.'!E9-('DHW real'!L10+'space heat'!G18+'Electricity demand'!E10+'Spatial dimension'!P$28)</f>
        <v>905.49511161243436</v>
      </c>
      <c r="N18" s="94">
        <f>'Electricity prod.'!E9-('DHW real'!L10+'space heat'!G18+'Electricity demand'!G10+'Spatial dimension'!M$28)</f>
        <v>1023.886778343734</v>
      </c>
      <c r="O18" s="94">
        <f>'Electricity prod.'!E9-('DHW real'!L10+'space heat'!G18+'Electricity demand'!G10+'Spatial dimension'!P$28)</f>
        <v>576.11125718810808</v>
      </c>
      <c r="P18" s="94">
        <f>'Electricity prod.'!G9-('DHW real'!L10+'space heat'!H18+'Electricity demand'!E10+'Spatial dimension'!M$28)</f>
        <v>1353.2706327680598</v>
      </c>
      <c r="Q18" s="94">
        <f>'Electricity prod.'!G9-('DHW real'!L10+'space heat'!H18+'Electricity demand'!E10+'Spatial dimension'!P$28)</f>
        <v>905.49511161243436</v>
      </c>
      <c r="R18" s="94">
        <f>'Electricity prod.'!G9-('DHW real'!L10+'space heat'!H18+'Electricity demand'!G10+'Spatial dimension'!M$28)</f>
        <v>1023.886778343734</v>
      </c>
      <c r="S18" s="95">
        <f>'Electricity prod.'!G9-('DHW real'!L10+'space heat'!H18+'Electricity demand'!G10+'Spatial dimension'!P$28)</f>
        <v>576.11125718810808</v>
      </c>
    </row>
    <row r="19" spans="1:25" x14ac:dyDescent="0.3">
      <c r="A19" s="143"/>
      <c r="B19" s="113" t="s">
        <v>6</v>
      </c>
      <c r="C19" s="105">
        <f>'Electricity prod.'!D10-('DHW real'!K11+'space heat'!E19+'Electricity demand'!D11+'Spatial dimension'!L$28)</f>
        <v>833.02421116438597</v>
      </c>
      <c r="D19" s="106">
        <f>'Electricity prod.'!D10-('DHW real'!K11+'space heat'!E19+'Electricity demand'!D11+'Spatial dimension'!O$28)</f>
        <v>723.39184641577924</v>
      </c>
      <c r="E19" s="106">
        <f>'Electricity prod.'!D10-('DHW real'!K11+'space heat'!E19+'Electricity demand'!F11+'Spatial dimension'!L$28)</f>
        <v>744.50328060015636</v>
      </c>
      <c r="F19" s="106">
        <f>'Electricity prod.'!D10-('DHW real'!K11+'space heat'!E19+'Electricity demand'!F11+'Spatial dimension'!O$28)</f>
        <v>634.87091585154963</v>
      </c>
      <c r="G19" s="106">
        <f>'Electricity prod.'!F10-('DHW real'!K11+'space heat'!F19+'Electricity demand'!D11+'Spatial dimension'!L$28)</f>
        <v>833.02421116438597</v>
      </c>
      <c r="H19" s="106">
        <f>'Electricity prod.'!F10-('DHW real'!K11+'space heat'!F19+'Electricity demand'!D11+'Spatial dimension'!O$28)</f>
        <v>723.39184641577924</v>
      </c>
      <c r="I19" s="106">
        <f>'Electricity prod.'!F10-('DHW real'!K11+'space heat'!F19+'Electricity demand'!F11+'Spatial dimension'!L$28)</f>
        <v>744.50328060015636</v>
      </c>
      <c r="J19" s="107">
        <f>'Electricity prod.'!F10-('DHW real'!K11+'space heat'!F19+'Electricity demand'!F11+'Spatial dimension'!O$28)</f>
        <v>634.87091585154963</v>
      </c>
      <c r="K19" s="115"/>
      <c r="L19" s="93">
        <f>'Electricity prod.'!E10-('DHW real'!L11+'space heat'!G19+'Electricity demand'!E11+'Spatial dimension'!M$28)</f>
        <v>1447.8279045987183</v>
      </c>
      <c r="M19" s="94">
        <f>'Electricity prod.'!E10-('DHW real'!L11+'space heat'!G19+'Electricity demand'!E11+'Spatial dimension'!P$28)</f>
        <v>1000.0523834430928</v>
      </c>
      <c r="N19" s="94">
        <f>'Electricity prod.'!E10-('DHW real'!L11+'space heat'!G19+'Electricity demand'!G11+'Spatial dimension'!M$28)</f>
        <v>1120.1302289522919</v>
      </c>
      <c r="O19" s="94">
        <f>'Electricity prod.'!E10-('DHW real'!L11+'space heat'!G19+'Electricity demand'!G11+'Spatial dimension'!P$28)</f>
        <v>672.35470779666593</v>
      </c>
      <c r="P19" s="94">
        <f>'Electricity prod.'!G10-('DHW real'!L11+'space heat'!H19+'Electricity demand'!E11+'Spatial dimension'!M$28)</f>
        <v>1447.8279045987183</v>
      </c>
      <c r="Q19" s="94">
        <f>'Electricity prod.'!G10-('DHW real'!L11+'space heat'!H19+'Electricity demand'!E11+'Spatial dimension'!P$28)</f>
        <v>1000.0523834430928</v>
      </c>
      <c r="R19" s="94">
        <f>'Electricity prod.'!G10-('DHW real'!L11+'space heat'!H19+'Electricity demand'!G11+'Spatial dimension'!M$28)</f>
        <v>1120.1302289522919</v>
      </c>
      <c r="S19" s="95">
        <f>'Electricity prod.'!G10-('DHW real'!L11+'space heat'!H19+'Electricity demand'!G11+'Spatial dimension'!P$28)</f>
        <v>672.35470779666593</v>
      </c>
    </row>
    <row r="20" spans="1:25" x14ac:dyDescent="0.3">
      <c r="A20" s="143"/>
      <c r="B20" s="113" t="s">
        <v>7</v>
      </c>
      <c r="C20" s="105">
        <f>'Electricity prod.'!D11-('DHW real'!K12+'space heat'!E20+'Electricity demand'!D12+'Spatial dimension'!L$28)</f>
        <v>696.76790914079686</v>
      </c>
      <c r="D20" s="106">
        <f>'Electricity prod.'!D11-('DHW real'!K12+'space heat'!E20+'Electricity demand'!D12+'Spatial dimension'!O$28)</f>
        <v>587.13554439219013</v>
      </c>
      <c r="E20" s="106">
        <f>'Electricity prod.'!D11-('DHW real'!K12+'space heat'!E20+'Electricity demand'!F12+'Spatial dimension'!L$28)</f>
        <v>608.39880766133058</v>
      </c>
      <c r="F20" s="106">
        <f>'Electricity prod.'!D11-('DHW real'!K12+'space heat'!E20+'Electricity demand'!F12+'Spatial dimension'!O$28)</f>
        <v>498.76644291272373</v>
      </c>
      <c r="G20" s="106">
        <f>'Electricity prod.'!F11-('DHW real'!K12+'space heat'!F20+'Electricity demand'!D12+'Spatial dimension'!L$28)</f>
        <v>696.76790914079686</v>
      </c>
      <c r="H20" s="106">
        <f>'Electricity prod.'!F11-('DHW real'!K12+'space heat'!F20+'Electricity demand'!D12+'Spatial dimension'!O$28)</f>
        <v>587.13554439219013</v>
      </c>
      <c r="I20" s="106">
        <f>'Electricity prod.'!F11-('DHW real'!K12+'space heat'!F20+'Electricity demand'!F12+'Spatial dimension'!L$28)</f>
        <v>608.39880766133058</v>
      </c>
      <c r="J20" s="107">
        <f>'Electricity prod.'!F11-('DHW real'!K12+'space heat'!F20+'Electricity demand'!F12+'Spatial dimension'!O$28)</f>
        <v>498.76644291272373</v>
      </c>
      <c r="K20" s="115"/>
      <c r="L20" s="93">
        <f>'Electricity prod.'!E11-('DHW real'!L12+'space heat'!G20+'Electricity demand'!E12+'Spatial dimension'!M$28)</f>
        <v>1106.4765605992943</v>
      </c>
      <c r="M20" s="94">
        <f>'Electricity prod.'!E11-('DHW real'!L12+'space heat'!G20+'Electricity demand'!E12+'Spatial dimension'!P$28)</f>
        <v>658.70103944366838</v>
      </c>
      <c r="N20" s="94">
        <f>'Electricity prod.'!E11-('DHW real'!L12+'space heat'!G20+'Electricity demand'!G12+'Spatial dimension'!M$28)</f>
        <v>779.34094454550041</v>
      </c>
      <c r="O20" s="94">
        <f>'Electricity prod.'!E11-('DHW real'!L12+'space heat'!G20+'Electricity demand'!G12+'Spatial dimension'!P$28)</f>
        <v>331.56542338987447</v>
      </c>
      <c r="P20" s="94">
        <f>'Electricity prod.'!G11-('DHW real'!L12+'space heat'!H20+'Electricity demand'!E12+'Spatial dimension'!M$28)</f>
        <v>1106.4765605992943</v>
      </c>
      <c r="Q20" s="94">
        <f>'Electricity prod.'!G11-('DHW real'!L12+'space heat'!H20+'Electricity demand'!E12+'Spatial dimension'!P$28)</f>
        <v>658.70103944366838</v>
      </c>
      <c r="R20" s="94">
        <f>'Electricity prod.'!G11-('DHW real'!L12+'space heat'!H20+'Electricity demand'!G12+'Spatial dimension'!M$28)</f>
        <v>779.34094454550041</v>
      </c>
      <c r="S20" s="95">
        <f>'Electricity prod.'!G11-('DHW real'!L12+'space heat'!H20+'Electricity demand'!G12+'Spatial dimension'!P$28)</f>
        <v>331.56542338987447</v>
      </c>
    </row>
    <row r="21" spans="1:25" x14ac:dyDescent="0.3">
      <c r="A21" s="143"/>
      <c r="B21" s="113" t="s">
        <v>8</v>
      </c>
      <c r="C21" s="105">
        <f>'Electricity prod.'!D12-('DHW real'!K13+'space heat'!E21+'Electricity demand'!D13+'Spatial dimension'!L$28)</f>
        <v>386.02173677217286</v>
      </c>
      <c r="D21" s="106">
        <f>'Electricity prod.'!D12-('DHW real'!K13+'space heat'!E21+'Electricity demand'!D13+'Spatial dimension'!O$28)</f>
        <v>276.38937202356601</v>
      </c>
      <c r="E21" s="106">
        <f>'Electricity prod.'!D12-('DHW real'!K13+'space heat'!E21+'Electricity demand'!F13+'Spatial dimension'!L$28)</f>
        <v>293.40142091933615</v>
      </c>
      <c r="F21" s="106">
        <f>'Electricity prod.'!D12-('DHW real'!K13+'space heat'!E21+'Electricity demand'!F13+'Spatial dimension'!O$28)</f>
        <v>183.76905617072941</v>
      </c>
      <c r="G21" s="106">
        <f>'Electricity prod.'!F12-('DHW real'!K13+'space heat'!F21+'Electricity demand'!D13+'Spatial dimension'!L$28)</f>
        <v>383.93012974905889</v>
      </c>
      <c r="H21" s="106">
        <f>'Electricity prod.'!F12-('DHW real'!K13+'space heat'!F21+'Electricity demand'!D13+'Spatial dimension'!O$28)</f>
        <v>274.29776500045216</v>
      </c>
      <c r="I21" s="106">
        <f>'Electricity prod.'!F12-('DHW real'!K13+'space heat'!F21+'Electricity demand'!F13+'Spatial dimension'!L$28)</f>
        <v>291.30981389622229</v>
      </c>
      <c r="J21" s="107">
        <f>'Electricity prod.'!F12-('DHW real'!K13+'space heat'!F21+'Electricity demand'!F13+'Spatial dimension'!O$28)</f>
        <v>181.67744914761556</v>
      </c>
      <c r="K21" s="115"/>
      <c r="L21" s="93">
        <f>'Electricity prod.'!E12-('DHW real'!L13+'space heat'!G21+'Electricity demand'!E13+'Spatial dimension'!M$28)</f>
        <v>271.78315024440235</v>
      </c>
      <c r="M21" s="94">
        <f>'Electricity prod.'!E12-('DHW real'!L13+'space heat'!G21+'Electricity demand'!E13+'Spatial dimension'!P$28)</f>
        <v>-175.99237091122313</v>
      </c>
      <c r="N21" s="94">
        <f>'Electricity prod.'!E12-('DHW real'!L13+'space heat'!G21+'Electricity demand'!G13+'Spatial dimension'!M$28)</f>
        <v>-71.090134403117645</v>
      </c>
      <c r="O21" s="94">
        <f>'Electricity prod.'!E12-('DHW real'!L13+'space heat'!G21+'Electricity demand'!G13+'Spatial dimension'!P$28)</f>
        <v>-518.86565555874358</v>
      </c>
      <c r="P21" s="94">
        <f>'Electricity prod.'!G12-('DHW real'!L13+'space heat'!H21+'Electricity demand'!E13+'Spatial dimension'!M$28)</f>
        <v>266.18507708468542</v>
      </c>
      <c r="Q21" s="94">
        <f>'Electricity prod.'!G12-('DHW real'!L13+'space heat'!H21+'Electricity demand'!E13+'Spatial dimension'!P$28)</f>
        <v>-181.59044407094052</v>
      </c>
      <c r="R21" s="94">
        <f>'Electricity prod.'!G12-('DHW real'!L13+'space heat'!H21+'Electricity demand'!G13+'Spatial dimension'!M$28)</f>
        <v>-76.688207562835032</v>
      </c>
      <c r="S21" s="95">
        <f>'Electricity prod.'!G12-('DHW real'!L13+'space heat'!H21+'Electricity demand'!G13+'Spatial dimension'!P$28)</f>
        <v>-524.46372871846097</v>
      </c>
    </row>
    <row r="22" spans="1:25" x14ac:dyDescent="0.3">
      <c r="A22" s="143"/>
      <c r="B22" s="113" t="s">
        <v>9</v>
      </c>
      <c r="C22" s="105">
        <f>'Electricity prod.'!D13-('DHW real'!K14+'space heat'!E22+'Electricity demand'!D14+'Spatial dimension'!L$28)</f>
        <v>32.470728834146598</v>
      </c>
      <c r="D22" s="106">
        <f>'Electricity prod.'!D13-('DHW real'!K14+'space heat'!E22+'Electricity demand'!D14+'Spatial dimension'!O$28)</f>
        <v>-77.161635914460135</v>
      </c>
      <c r="E22" s="106">
        <f>'Electricity prod.'!D13-('DHW real'!K14+'space heat'!E22+'Electricity demand'!F14+'Spatial dimension'!L$28)</f>
        <v>-65.767263154929424</v>
      </c>
      <c r="F22" s="106">
        <f>'Electricity prod.'!D13-('DHW real'!K14+'space heat'!E22+'Electricity demand'!F14+'Spatial dimension'!O$28)</f>
        <v>-175.39962790353616</v>
      </c>
      <c r="G22" s="106">
        <f>'Electricity prod.'!F13-('DHW real'!K14+'space heat'!F22+'Electricity demand'!D14+'Spatial dimension'!L$28)</f>
        <v>19.921086695463373</v>
      </c>
      <c r="H22" s="106">
        <f>'Electricity prod.'!F13-('DHW real'!K14+'space heat'!F22+'Electricity demand'!D14+'Spatial dimension'!O$28)</f>
        <v>-89.71127805314336</v>
      </c>
      <c r="I22" s="106">
        <f>'Electricity prod.'!F13-('DHW real'!K14+'space heat'!F22+'Electricity demand'!F14+'Spatial dimension'!L$28)</f>
        <v>-78.316905293612649</v>
      </c>
      <c r="J22" s="107">
        <f>'Electricity prod.'!F13-('DHW real'!K14+'space heat'!F22+'Electricity demand'!F14+'Spatial dimension'!O$28)</f>
        <v>-187.94927004221938</v>
      </c>
      <c r="K22" s="115"/>
      <c r="L22" s="93">
        <f>'Electricity prod.'!E13-('DHW real'!L14+'space heat'!G22+'Electricity demand'!E14+'Spatial dimension'!M$28)</f>
        <v>-806.03413516686919</v>
      </c>
      <c r="M22" s="94">
        <f>'Electricity prod.'!E13-('DHW real'!L14+'space heat'!G22+'Electricity demand'!E14+'Spatial dimension'!P$28)</f>
        <v>-1253.8096563224951</v>
      </c>
      <c r="N22" s="94">
        <f>'Electricity prod.'!E13-('DHW real'!L14+'space heat'!G22+'Electricity demand'!G14+'Spatial dimension'!M$28)</f>
        <v>-1169.7036247418143</v>
      </c>
      <c r="O22" s="94">
        <f>'Electricity prod.'!E13-('DHW real'!L14+'space heat'!G22+'Electricity demand'!G14+'Spatial dimension'!P$28)</f>
        <v>-1617.4791458974403</v>
      </c>
      <c r="P22" s="94">
        <f>'Electricity prod.'!G13-('DHW real'!L14+'space heat'!H22+'Electricity demand'!E14+'Spatial dimension'!M$28)</f>
        <v>-839.62257412517124</v>
      </c>
      <c r="Q22" s="94">
        <f>'Electricity prod.'!G13-('DHW real'!L14+'space heat'!H22+'Electricity demand'!E14+'Spatial dimension'!P$28)</f>
        <v>-1287.3980952807967</v>
      </c>
      <c r="R22" s="94">
        <f>'Electricity prod.'!G13-('DHW real'!L14+'space heat'!H22+'Electricity demand'!G14+'Spatial dimension'!M$28)</f>
        <v>-1203.2920637001164</v>
      </c>
      <c r="S22" s="95">
        <f>'Electricity prod.'!G13-('DHW real'!L14+'space heat'!H22+'Electricity demand'!G14+'Spatial dimension'!P$28)</f>
        <v>-1651.0675848557419</v>
      </c>
    </row>
    <row r="23" spans="1:25" x14ac:dyDescent="0.3">
      <c r="A23" s="143"/>
      <c r="B23" s="113" t="s">
        <v>10</v>
      </c>
      <c r="C23" s="105">
        <f>'Electricity prod.'!D14-('DHW real'!K15+'space heat'!E23+'Electricity demand'!D15+'Spatial dimension'!L$28)</f>
        <v>-244.78991778631905</v>
      </c>
      <c r="D23" s="106">
        <f>'Electricity prod.'!D14-('DHW real'!K15+'space heat'!E23+'Electricity demand'!D15+'Spatial dimension'!O$28)</f>
        <v>-354.42228253492578</v>
      </c>
      <c r="E23" s="106">
        <f>'Electricity prod.'!D14-('DHW real'!K15+'space heat'!E23+'Electricity demand'!F15+'Spatial dimension'!L$28)</f>
        <v>-345.91266238589628</v>
      </c>
      <c r="F23" s="106">
        <f>'Electricity prod.'!D14-('DHW real'!K15+'space heat'!E23+'Electricity demand'!F15+'Spatial dimension'!O$28)</f>
        <v>-455.54502713450302</v>
      </c>
      <c r="G23" s="106">
        <f>'Electricity prod.'!F14-('DHW real'!K15+'space heat'!F23+'Electricity demand'!D15+'Spatial dimension'!L$28)</f>
        <v>-264.03270239896665</v>
      </c>
      <c r="H23" s="106">
        <f>'Electricity prod.'!F14-('DHW real'!K15+'space heat'!F23+'Electricity demand'!D15+'Spatial dimension'!O$28)</f>
        <v>-373.66506714757338</v>
      </c>
      <c r="I23" s="106">
        <f>'Electricity prod.'!F14-('DHW real'!K15+'space heat'!F23+'Electricity demand'!F15+'Spatial dimension'!L$28)</f>
        <v>-365.15544699854399</v>
      </c>
      <c r="J23" s="107">
        <f>'Electricity prod.'!F14-('DHW real'!K15+'space heat'!F23+'Electricity demand'!F15+'Spatial dimension'!O$28)</f>
        <v>-474.78781174715073</v>
      </c>
      <c r="K23" s="115"/>
      <c r="L23" s="93">
        <f>'Electricity prod.'!E14-('DHW real'!L15+'space heat'!G23+'Electricity demand'!E15+'Spatial dimension'!M$28)</f>
        <v>-1631.208459535665</v>
      </c>
      <c r="M23" s="94">
        <f>'Electricity prod.'!E14-('DHW real'!L15+'space heat'!G23+'Electricity demand'!E15+'Spatial dimension'!P$28)</f>
        <v>-2078.9839806912905</v>
      </c>
      <c r="N23" s="94">
        <f>'Electricity prod.'!E14-('DHW real'!L15+'space heat'!G23+'Electricity demand'!G15+'Spatial dimension'!M$28)</f>
        <v>-2005.557081370639</v>
      </c>
      <c r="O23" s="94">
        <f>'Electricity prod.'!E14-('DHW real'!L15+'space heat'!G23+'Electricity demand'!G15+'Spatial dimension'!P$28)</f>
        <v>-2453.332602526265</v>
      </c>
      <c r="P23" s="94">
        <f>'Electricity prod.'!G14-('DHW real'!L15+'space heat'!H23+'Electricity demand'!E15+'Spatial dimension'!M$28)</f>
        <v>-1682.7107326050614</v>
      </c>
      <c r="Q23" s="94">
        <f>'Electricity prod.'!G14-('DHW real'!L15+'space heat'!H23+'Electricity demand'!E15+'Spatial dimension'!P$28)</f>
        <v>-2130.4862537606869</v>
      </c>
      <c r="R23" s="94">
        <f>'Electricity prod.'!G14-('DHW real'!L15+'space heat'!H23+'Electricity demand'!G15+'Spatial dimension'!M$28)</f>
        <v>-2057.0593544400353</v>
      </c>
      <c r="S23" s="95">
        <f>'Electricity prod.'!G14-('DHW real'!L15+'space heat'!H23+'Electricity demand'!G15+'Spatial dimension'!P$28)</f>
        <v>-2504.8348755956613</v>
      </c>
    </row>
    <row r="24" spans="1:25" x14ac:dyDescent="0.3">
      <c r="A24" s="143"/>
      <c r="B24" s="113" t="s">
        <v>11</v>
      </c>
      <c r="C24" s="105">
        <f>'Electricity prod.'!D15-('DHW real'!K16+'space heat'!E24+'Electricity demand'!D16+'Spatial dimension'!L$28)</f>
        <v>-357.84125083931536</v>
      </c>
      <c r="D24" s="106">
        <f>'Electricity prod.'!D15-('DHW real'!K16+'space heat'!E24+'Electricity demand'!D16+'Spatial dimension'!O$28)</f>
        <v>-467.4736155879221</v>
      </c>
      <c r="E24" s="106">
        <f>'Electricity prod.'!D15-('DHW real'!K16+'space heat'!E24+'Electricity demand'!F16+'Spatial dimension'!L$28)</f>
        <v>-460.17862811699848</v>
      </c>
      <c r="F24" s="106">
        <f>'Electricity prod.'!D15-('DHW real'!K16+'space heat'!E24+'Electricity demand'!F16+'Spatial dimension'!O$28)</f>
        <v>-569.81099286560516</v>
      </c>
      <c r="G24" s="106">
        <f>'Electricity prod.'!F15-('DHW real'!K16+'space heat'!F24+'Electricity demand'!D16+'Spatial dimension'!L$28)</f>
        <v>-388.37871337677785</v>
      </c>
      <c r="H24" s="106">
        <f>'Electricity prod.'!F15-('DHW real'!K16+'space heat'!F24+'Electricity demand'!D16+'Spatial dimension'!O$28)</f>
        <v>-498.01107812538459</v>
      </c>
      <c r="I24" s="106">
        <f>'Electricity prod.'!F15-('DHW real'!K16+'space heat'!F24+'Electricity demand'!F16+'Spatial dimension'!L$28)</f>
        <v>-490.71609065446097</v>
      </c>
      <c r="J24" s="107">
        <f>'Electricity prod.'!F15-('DHW real'!K16+'space heat'!F24+'Electricity demand'!F16+'Spatial dimension'!O$28)</f>
        <v>-600.34845540306765</v>
      </c>
      <c r="K24" s="115"/>
      <c r="L24" s="93">
        <f>'Electricity prod.'!E15-('DHW real'!L16+'space heat'!G24+'Electricity demand'!E16+'Spatial dimension'!M$28)</f>
        <v>-2053.8531278776918</v>
      </c>
      <c r="M24" s="94">
        <f>'Electricity prod.'!E15-('DHW real'!L16+'space heat'!G24+'Electricity demand'!E16+'Spatial dimension'!P$28)</f>
        <v>-2501.6286490333177</v>
      </c>
      <c r="N24" s="94">
        <f>'Electricity prod.'!E15-('DHW real'!L16+'space heat'!G24+'Electricity demand'!G16+'Spatial dimension'!M$28)</f>
        <v>-2432.698226453731</v>
      </c>
      <c r="O24" s="94">
        <f>'Electricity prod.'!E15-('DHW real'!L16+'space heat'!G24+'Electricity demand'!G16+'Spatial dimension'!P$28)</f>
        <v>-2880.4737476093565</v>
      </c>
      <c r="P24" s="94">
        <f>'Electricity prod.'!G15-('DHW real'!L16+'space heat'!H24+'Electricity demand'!E16+'Spatial dimension'!M$28)</f>
        <v>-2135.5849960095602</v>
      </c>
      <c r="Q24" s="94">
        <f>'Electricity prod.'!G15-('DHW real'!L16+'space heat'!H24+'Electricity demand'!E16+'Spatial dimension'!P$28)</f>
        <v>-2583.3605171651857</v>
      </c>
      <c r="R24" s="94">
        <f>'Electricity prod.'!G15-('DHW real'!L16+'space heat'!H24+'Electricity demand'!G16+'Spatial dimension'!M$28)</f>
        <v>-2514.4300945855989</v>
      </c>
      <c r="S24" s="95">
        <f>'Electricity prod.'!G15-('DHW real'!L16+'space heat'!H24+'Electricity demand'!G16+'Spatial dimension'!P$28)</f>
        <v>-2962.2056157412248</v>
      </c>
      <c r="V24" s="217"/>
      <c r="W24" s="217"/>
      <c r="X24" s="217"/>
      <c r="Y24" s="217"/>
    </row>
    <row r="25" spans="1:25" ht="15" thickBot="1" x14ac:dyDescent="0.35">
      <c r="A25" s="143"/>
      <c r="B25" s="114" t="s">
        <v>23</v>
      </c>
      <c r="C25" s="109">
        <f>SUM(C13:C24)</f>
        <v>3363.640339427307</v>
      </c>
      <c r="D25" s="110">
        <f t="shared" ref="D25:J25" si="2">SUM(D13:D24)</f>
        <v>2048.0519624440262</v>
      </c>
      <c r="E25" s="110">
        <f t="shared" si="2"/>
        <v>2223.9563394273068</v>
      </c>
      <c r="F25" s="110">
        <f t="shared" si="2"/>
        <v>908.36796244402649</v>
      </c>
      <c r="G25" s="110">
        <f t="shared" si="2"/>
        <v>3224.3393116879238</v>
      </c>
      <c r="H25" s="110">
        <f t="shared" si="2"/>
        <v>1908.7509347046423</v>
      </c>
      <c r="I25" s="110">
        <f t="shared" si="2"/>
        <v>2084.6553116879231</v>
      </c>
      <c r="J25" s="111">
        <f t="shared" si="2"/>
        <v>769.06693470464234</v>
      </c>
      <c r="K25" s="115"/>
      <c r="L25" s="99">
        <f t="shared" ref="L25:S25" si="3">SUM(L13:L24)</f>
        <v>-1532.8083846095328</v>
      </c>
      <c r="M25" s="100">
        <f t="shared" si="3"/>
        <v>-6906.1146384770418</v>
      </c>
      <c r="N25" s="100">
        <f t="shared" si="3"/>
        <v>-5751.8308846095342</v>
      </c>
      <c r="O25" s="100">
        <f t="shared" si="3"/>
        <v>-11125.137138477045</v>
      </c>
      <c r="P25" s="100">
        <f t="shared" si="3"/>
        <v>-1905.6400570466856</v>
      </c>
      <c r="Q25" s="100">
        <f t="shared" si="3"/>
        <v>-7278.9463109141943</v>
      </c>
      <c r="R25" s="100">
        <f>SUM(R13:R24)</f>
        <v>-6124.6625570466877</v>
      </c>
      <c r="S25" s="101">
        <f t="shared" si="3"/>
        <v>-11497.968810914195</v>
      </c>
      <c r="T25" s="118"/>
    </row>
    <row r="26" spans="1:25" ht="15" thickBot="1" x14ac:dyDescent="0.35">
      <c r="A26" s="143"/>
      <c r="B26" s="7"/>
      <c r="C26" s="224"/>
      <c r="D26" s="224"/>
      <c r="E26" s="224"/>
      <c r="F26" s="224"/>
      <c r="G26" s="224"/>
      <c r="H26" s="224"/>
      <c r="I26" s="224"/>
      <c r="J26" s="224"/>
      <c r="K26" s="115"/>
      <c r="L26" s="224"/>
      <c r="M26" s="224"/>
      <c r="N26" s="224"/>
      <c r="O26" s="224"/>
      <c r="P26" s="224"/>
      <c r="Q26" s="224"/>
      <c r="R26" s="224"/>
      <c r="S26" s="225"/>
    </row>
    <row r="27" spans="1:25" x14ac:dyDescent="0.3">
      <c r="A27" s="220" t="s">
        <v>280</v>
      </c>
      <c r="B27" s="221"/>
      <c r="C27" s="120">
        <f>C6-C11</f>
        <v>7051.0054360068807</v>
      </c>
      <c r="D27" s="120">
        <f t="shared" ref="D27:S27" si="4">D6-D11</f>
        <v>8366.5938129901624</v>
      </c>
      <c r="E27" s="120">
        <f t="shared" si="4"/>
        <v>8190.68943600688</v>
      </c>
      <c r="F27" s="120">
        <f t="shared" si="4"/>
        <v>9506.2778129901599</v>
      </c>
      <c r="G27" s="120">
        <f t="shared" si="4"/>
        <v>7190.3064637462649</v>
      </c>
      <c r="H27" s="120">
        <f t="shared" si="4"/>
        <v>8505.8948407295466</v>
      </c>
      <c r="I27" s="120">
        <f t="shared" si="4"/>
        <v>8329.9904637462623</v>
      </c>
      <c r="J27" s="121">
        <f t="shared" si="4"/>
        <v>9645.578840729544</v>
      </c>
      <c r="K27" s="116"/>
      <c r="L27" s="135">
        <f>L6-L11</f>
        <v>29652.351978281837</v>
      </c>
      <c r="M27" s="120">
        <f t="shared" si="4"/>
        <v>35025.658232149348</v>
      </c>
      <c r="N27" s="120">
        <f t="shared" si="4"/>
        <v>33871.374478281839</v>
      </c>
      <c r="O27" s="120">
        <f t="shared" si="4"/>
        <v>39244.680732149354</v>
      </c>
      <c r="P27" s="120">
        <f t="shared" si="4"/>
        <v>30025.183650718991</v>
      </c>
      <c r="Q27" s="120">
        <f t="shared" si="4"/>
        <v>35398.489904586502</v>
      </c>
      <c r="R27" s="120">
        <f>R6-R11</f>
        <v>34244.206150718994</v>
      </c>
      <c r="S27" s="121">
        <f t="shared" si="4"/>
        <v>39617.512404586509</v>
      </c>
    </row>
    <row r="28" spans="1:25" x14ac:dyDescent="0.3">
      <c r="A28" s="222" t="s">
        <v>144</v>
      </c>
      <c r="B28" s="223"/>
      <c r="C28" s="122">
        <f>C27/365</f>
        <v>19.317823112347618</v>
      </c>
      <c r="D28" s="122">
        <f>D27/365</f>
        <v>22.922174830110034</v>
      </c>
      <c r="E28" s="122">
        <f t="shared" ref="E28:J28" si="5">E27/365</f>
        <v>22.440245030155836</v>
      </c>
      <c r="F28" s="122">
        <f t="shared" si="5"/>
        <v>26.044596747918245</v>
      </c>
      <c r="G28" s="122">
        <f t="shared" si="5"/>
        <v>19.699469763688398</v>
      </c>
      <c r="H28" s="122">
        <f t="shared" si="5"/>
        <v>23.303821481450811</v>
      </c>
      <c r="I28" s="122">
        <f t="shared" si="5"/>
        <v>22.821891681496609</v>
      </c>
      <c r="J28" s="123">
        <f t="shared" si="5"/>
        <v>26.426243399259025</v>
      </c>
      <c r="K28" s="115"/>
      <c r="L28" s="132">
        <f>L27/365</f>
        <v>81.239320488443383</v>
      </c>
      <c r="M28" s="122">
        <f t="shared" ref="M28" si="6">M27/365</f>
        <v>95.960707485340677</v>
      </c>
      <c r="N28" s="122">
        <f t="shared" ref="N28" si="7">N27/365</f>
        <v>92.798286241868055</v>
      </c>
      <c r="O28" s="122">
        <f t="shared" ref="O28" si="8">O27/365</f>
        <v>107.51967323876535</v>
      </c>
      <c r="P28" s="122">
        <f t="shared" ref="P28" si="9">P27/365</f>
        <v>82.260777125257505</v>
      </c>
      <c r="Q28" s="122">
        <f t="shared" ref="Q28" si="10">Q27/365</f>
        <v>96.982164122154799</v>
      </c>
      <c r="R28" s="122">
        <f t="shared" ref="R28:S28" si="11">R27/365</f>
        <v>93.819742878682177</v>
      </c>
      <c r="S28" s="123">
        <f t="shared" si="11"/>
        <v>108.54112987557947</v>
      </c>
    </row>
    <row r="29" spans="1:25" x14ac:dyDescent="0.3">
      <c r="A29" s="218" t="s">
        <v>145</v>
      </c>
      <c r="B29" s="219"/>
      <c r="C29" s="122">
        <f>C28*2</f>
        <v>38.635646224695236</v>
      </c>
      <c r="D29" s="122">
        <f t="shared" ref="D29:S29" si="12">D28*2</f>
        <v>45.844349660220068</v>
      </c>
      <c r="E29" s="122">
        <f t="shared" si="12"/>
        <v>44.880490060311672</v>
      </c>
      <c r="F29" s="122">
        <f t="shared" si="12"/>
        <v>52.08919349583649</v>
      </c>
      <c r="G29" s="122">
        <f t="shared" si="12"/>
        <v>39.398939527376797</v>
      </c>
      <c r="H29" s="122">
        <f t="shared" si="12"/>
        <v>46.607642962901622</v>
      </c>
      <c r="I29" s="122">
        <f t="shared" si="12"/>
        <v>45.643783362993219</v>
      </c>
      <c r="J29" s="123">
        <f t="shared" si="12"/>
        <v>52.852486798518051</v>
      </c>
      <c r="K29" s="115"/>
      <c r="L29" s="132">
        <f>L28*2</f>
        <v>162.47864097688677</v>
      </c>
      <c r="M29" s="122">
        <f t="shared" si="12"/>
        <v>191.92141497068135</v>
      </c>
      <c r="N29" s="122">
        <f t="shared" si="12"/>
        <v>185.59657248373611</v>
      </c>
      <c r="O29" s="122">
        <f t="shared" si="12"/>
        <v>215.0393464775307</v>
      </c>
      <c r="P29" s="122">
        <f t="shared" si="12"/>
        <v>164.52155425051501</v>
      </c>
      <c r="Q29" s="122">
        <f t="shared" si="12"/>
        <v>193.9643282443096</v>
      </c>
      <c r="R29" s="122">
        <f t="shared" si="12"/>
        <v>187.63948575736435</v>
      </c>
      <c r="S29" s="123">
        <f t="shared" si="12"/>
        <v>217.08225975115894</v>
      </c>
    </row>
    <row r="30" spans="1:25" x14ac:dyDescent="0.3">
      <c r="A30" s="138" t="s">
        <v>301</v>
      </c>
      <c r="B30" s="122"/>
      <c r="C30" s="122"/>
      <c r="D30" s="122"/>
      <c r="E30" s="122"/>
      <c r="F30" s="122"/>
      <c r="G30" s="122"/>
      <c r="H30" s="122"/>
      <c r="I30" s="122"/>
      <c r="J30" s="123"/>
      <c r="K30" s="115"/>
      <c r="L30" s="132"/>
      <c r="M30" s="122"/>
      <c r="N30" s="122"/>
      <c r="O30" s="122"/>
      <c r="P30" s="122"/>
      <c r="Q30" s="122"/>
      <c r="R30" s="122"/>
      <c r="S30" s="123"/>
    </row>
    <row r="31" spans="1:25" x14ac:dyDescent="0.3">
      <c r="A31" s="132"/>
      <c r="B31" s="122" t="s">
        <v>250</v>
      </c>
      <c r="C31" s="122">
        <f>SUMIF(C13:C24,"&lt;1")</f>
        <v>-941.53351272853342</v>
      </c>
      <c r="D31" s="122">
        <f>SUMIF(D13:D24,"&lt;1")</f>
        <v>-1457.2246076374206</v>
      </c>
      <c r="E31" s="122">
        <f t="shared" ref="E31:Q31" si="13">SUMIF(E13:E24,"&lt;1")</f>
        <v>-1409.6661470950869</v>
      </c>
      <c r="F31" s="122">
        <f t="shared" si="13"/>
        <v>-1957.8279708381206</v>
      </c>
      <c r="G31" s="122">
        <f>SUMIF(G13:G24,"&lt;1")</f>
        <v>-1041.9306498379992</v>
      </c>
      <c r="H31" s="122">
        <f t="shared" si="13"/>
        <v>-1570.1713868855695</v>
      </c>
      <c r="I31" s="122">
        <f t="shared" si="13"/>
        <v>-1522.612926343236</v>
      </c>
      <c r="J31" s="123">
        <f t="shared" si="13"/>
        <v>-2070.7747500862697</v>
      </c>
      <c r="K31" s="115"/>
      <c r="L31" s="132">
        <f>SUMIF(L13:L24,"&lt;1")</f>
        <v>-7648.160599601817</v>
      </c>
      <c r="M31" s="122">
        <f t="shared" si="13"/>
        <v>-10510.806097446794</v>
      </c>
      <c r="N31" s="122">
        <f t="shared" si="13"/>
        <v>-9928.8085914936273</v>
      </c>
      <c r="O31" s="122">
        <f t="shared" si="13"/>
        <v>-13208.769589885093</v>
      </c>
      <c r="P31" s="122">
        <f t="shared" si="13"/>
        <v>-8003.4516428051884</v>
      </c>
      <c r="Q31" s="122">
        <f t="shared" si="13"/>
        <v>-10871.695213809884</v>
      </c>
      <c r="R31" s="122">
        <f>SUMIF(R13:R24,"&lt;1")</f>
        <v>-10289.697707856716</v>
      </c>
      <c r="S31" s="123">
        <f>SUMIF(S13:S24,"&lt;1")</f>
        <v>-13581.601262322245</v>
      </c>
    </row>
    <row r="32" spans="1:25" x14ac:dyDescent="0.3">
      <c r="A32" s="132"/>
      <c r="B32" s="122" t="s">
        <v>251</v>
      </c>
      <c r="C32" s="122">
        <f>-C31</f>
        <v>941.53351272853342</v>
      </c>
      <c r="D32" s="122">
        <f t="shared" ref="D32:R32" si="14">-D31</f>
        <v>1457.2246076374206</v>
      </c>
      <c r="E32" s="122">
        <f t="shared" si="14"/>
        <v>1409.6661470950869</v>
      </c>
      <c r="F32" s="122">
        <f t="shared" si="14"/>
        <v>1957.8279708381206</v>
      </c>
      <c r="G32" s="122">
        <f>-G31</f>
        <v>1041.9306498379992</v>
      </c>
      <c r="H32" s="122">
        <f t="shared" si="14"/>
        <v>1570.1713868855695</v>
      </c>
      <c r="I32" s="122">
        <f t="shared" si="14"/>
        <v>1522.612926343236</v>
      </c>
      <c r="J32" s="123">
        <f t="shared" si="14"/>
        <v>2070.7747500862697</v>
      </c>
      <c r="K32" s="115"/>
      <c r="L32" s="132">
        <f t="shared" si="14"/>
        <v>7648.160599601817</v>
      </c>
      <c r="M32" s="122">
        <f t="shared" si="14"/>
        <v>10510.806097446794</v>
      </c>
      <c r="N32" s="122">
        <f t="shared" si="14"/>
        <v>9928.8085914936273</v>
      </c>
      <c r="O32" s="122">
        <f t="shared" si="14"/>
        <v>13208.769589885093</v>
      </c>
      <c r="P32" s="122">
        <f t="shared" si="14"/>
        <v>8003.4516428051884</v>
      </c>
      <c r="Q32" s="122">
        <f t="shared" si="14"/>
        <v>10871.695213809884</v>
      </c>
      <c r="R32" s="122">
        <f t="shared" si="14"/>
        <v>10289.697707856716</v>
      </c>
      <c r="S32" s="123">
        <f>-S31</f>
        <v>13581.601262322245</v>
      </c>
    </row>
    <row r="33" spans="1:24" x14ac:dyDescent="0.3">
      <c r="A33" s="132"/>
      <c r="B33" s="122" t="s">
        <v>278</v>
      </c>
      <c r="C33" s="122">
        <f>C32/'Storage eff.'!$C7</f>
        <v>2460.1105579236341</v>
      </c>
      <c r="D33" s="122">
        <f>D32/'Storage eff.'!$C7</f>
        <v>3807.5475743034604</v>
      </c>
      <c r="E33" s="122">
        <f>E32/'Storage eff.'!$C7</f>
        <v>3683.2832020670116</v>
      </c>
      <c r="F33" s="122">
        <f>F32/'Storage eff.'!$C7</f>
        <v>5115.5622147735166</v>
      </c>
      <c r="G33" s="122">
        <f>G32/'Storage eff.'!$C7</f>
        <v>2722.4358534646713</v>
      </c>
      <c r="H33" s="122">
        <f>H32/'Storage eff.'!$C7</f>
        <v>4102.6635317871269</v>
      </c>
      <c r="I33" s="122">
        <f>I32/'Storage eff.'!$C7</f>
        <v>3978.3991595506786</v>
      </c>
      <c r="J33" s="123">
        <f>J32/'Storage eff.'!$C7</f>
        <v>5410.6781722571841</v>
      </c>
      <c r="K33" s="115"/>
      <c r="L33" s="132">
        <f>L32/'Storage eff.'!$C7</f>
        <v>19983.697218859259</v>
      </c>
      <c r="M33" s="122">
        <f>M32/'Storage eff.'!$C7</f>
        <v>27463.435664315406</v>
      </c>
      <c r="N33" s="122">
        <f>N32/'Storage eff.'!$C7</f>
        <v>25942.748201018043</v>
      </c>
      <c r="O33" s="122">
        <f>O32/'Storage eff.'!$C7</f>
        <v>34512.880408353602</v>
      </c>
      <c r="P33" s="122">
        <f>P32/'Storage eff.'!$C7</f>
        <v>20912.028748968401</v>
      </c>
      <c r="Q33" s="122">
        <f>Q32/'Storage eff.'!$C7</f>
        <v>28406.394266852745</v>
      </c>
      <c r="R33" s="122">
        <f>R32/'Storage eff.'!$C7</f>
        <v>26885.706803555378</v>
      </c>
      <c r="S33" s="123">
        <f>S32/'Storage eff.'!$C7</f>
        <v>35487.043432071077</v>
      </c>
    </row>
    <row r="34" spans="1:24" x14ac:dyDescent="0.3">
      <c r="A34" s="132"/>
      <c r="B34" s="122" t="s">
        <v>294</v>
      </c>
      <c r="C34" s="122">
        <f>C33+C33*0.75</f>
        <v>4305.1934763663594</v>
      </c>
      <c r="D34" s="122">
        <f t="shared" ref="D34:J34" si="15">D33+D33*0.75</f>
        <v>6663.2082550310552</v>
      </c>
      <c r="E34" s="122">
        <f t="shared" si="15"/>
        <v>6445.7456036172698</v>
      </c>
      <c r="F34" s="122">
        <f t="shared" si="15"/>
        <v>8952.2338758536534</v>
      </c>
      <c r="G34" s="122">
        <f t="shared" si="15"/>
        <v>4764.2627435631748</v>
      </c>
      <c r="H34" s="122">
        <f t="shared" si="15"/>
        <v>7179.6611806274723</v>
      </c>
      <c r="I34" s="122">
        <f t="shared" si="15"/>
        <v>6962.1985292136878</v>
      </c>
      <c r="J34" s="123">
        <f t="shared" si="15"/>
        <v>9468.6868014500724</v>
      </c>
      <c r="K34" s="115"/>
      <c r="L34" s="132">
        <f t="shared" ref="L34" si="16">L33+L33*0.75</f>
        <v>34971.470133003706</v>
      </c>
      <c r="M34" s="122">
        <f t="shared" ref="M34" si="17">M33+M33*0.75</f>
        <v>48061.012412551965</v>
      </c>
      <c r="N34" s="122">
        <f t="shared" ref="N34" si="18">N33+N33*0.75</f>
        <v>45399.809351781572</v>
      </c>
      <c r="O34" s="122">
        <f t="shared" ref="O34" si="19">O33+O33*0.75</f>
        <v>60397.540714618801</v>
      </c>
      <c r="P34" s="122">
        <f t="shared" ref="P34" si="20">P33+P33*0.75</f>
        <v>36596.0503106947</v>
      </c>
      <c r="Q34" s="122">
        <f t="shared" ref="Q34" si="21">Q33+Q33*0.75</f>
        <v>49711.1899669923</v>
      </c>
      <c r="R34" s="122">
        <f t="shared" ref="R34:S34" si="22">R33+R33*0.75</f>
        <v>47049.986906221908</v>
      </c>
      <c r="S34" s="123">
        <f t="shared" si="22"/>
        <v>62102.326006124385</v>
      </c>
    </row>
    <row r="35" spans="1:24" x14ac:dyDescent="0.3">
      <c r="A35" s="132"/>
      <c r="B35" s="122" t="s">
        <v>252</v>
      </c>
      <c r="C35" s="122">
        <f>SUMIF(C13:C24,"&gt;1")</f>
        <v>4305.1738521558409</v>
      </c>
      <c r="D35" s="122">
        <f t="shared" ref="D35:S35" si="23">SUMIF(D13:D24,"&gt;1")</f>
        <v>3505.2765700814466</v>
      </c>
      <c r="E35" s="122">
        <f t="shared" si="23"/>
        <v>3633.622486522394</v>
      </c>
      <c r="F35" s="122">
        <f t="shared" si="23"/>
        <v>2866.1959332821471</v>
      </c>
      <c r="G35" s="122">
        <f>SUMIF(G13:G24,"&gt;1")</f>
        <v>4266.2699615259235</v>
      </c>
      <c r="H35" s="122">
        <f t="shared" si="23"/>
        <v>3478.9223215902121</v>
      </c>
      <c r="I35" s="122">
        <f t="shared" si="23"/>
        <v>3607.2682380311589</v>
      </c>
      <c r="J35" s="123">
        <f t="shared" si="23"/>
        <v>2839.841684790912</v>
      </c>
      <c r="K35" s="115"/>
      <c r="L35" s="132">
        <f t="shared" si="23"/>
        <v>6115.3522149922828</v>
      </c>
      <c r="M35" s="122">
        <f t="shared" si="23"/>
        <v>3604.6914589697521</v>
      </c>
      <c r="N35" s="122">
        <f t="shared" si="23"/>
        <v>4176.9777068840922</v>
      </c>
      <c r="O35" s="122">
        <f t="shared" si="23"/>
        <v>2083.6324514080493</v>
      </c>
      <c r="P35" s="122">
        <f t="shared" si="23"/>
        <v>6097.8115857585035</v>
      </c>
      <c r="Q35" s="122">
        <f t="shared" si="23"/>
        <v>3592.7489028956893</v>
      </c>
      <c r="R35" s="122">
        <f>SUMIF(R13:R24,"&gt;1")</f>
        <v>4165.0351508100302</v>
      </c>
      <c r="S35" s="123">
        <f t="shared" si="23"/>
        <v>2083.6324514080493</v>
      </c>
    </row>
    <row r="36" spans="1:24" x14ac:dyDescent="0.3">
      <c r="A36" s="132"/>
      <c r="B36" s="122" t="s">
        <v>253</v>
      </c>
      <c r="C36" s="122">
        <f>C35-C34</f>
        <v>-1.9624210518486507E-2</v>
      </c>
      <c r="D36" s="122">
        <f t="shared" ref="D36:S36" si="24">D35-D34</f>
        <v>-3157.9316849496086</v>
      </c>
      <c r="E36" s="122">
        <f t="shared" si="24"/>
        <v>-2812.1231170948759</v>
      </c>
      <c r="F36" s="122">
        <f t="shared" si="24"/>
        <v>-6086.0379425715064</v>
      </c>
      <c r="G36" s="122">
        <f t="shared" si="24"/>
        <v>-497.99278203725135</v>
      </c>
      <c r="H36" s="122">
        <f t="shared" si="24"/>
        <v>-3700.7388590372602</v>
      </c>
      <c r="I36" s="122">
        <f>I35-I34</f>
        <v>-3354.9302911825289</v>
      </c>
      <c r="J36" s="123">
        <f>J35-J34</f>
        <v>-6628.8451166591603</v>
      </c>
      <c r="K36" s="115"/>
      <c r="L36" s="132">
        <f t="shared" si="24"/>
        <v>-28856.117918011423</v>
      </c>
      <c r="M36" s="122">
        <f t="shared" si="24"/>
        <v>-44456.32095358221</v>
      </c>
      <c r="N36" s="122">
        <f t="shared" si="24"/>
        <v>-41222.83164489748</v>
      </c>
      <c r="O36" s="122">
        <f t="shared" si="24"/>
        <v>-58313.908263210753</v>
      </c>
      <c r="P36" s="122">
        <f t="shared" si="24"/>
        <v>-30498.238724936196</v>
      </c>
      <c r="Q36" s="122">
        <f t="shared" si="24"/>
        <v>-46118.441064096609</v>
      </c>
      <c r="R36" s="122">
        <f t="shared" si="24"/>
        <v>-42884.951755411879</v>
      </c>
      <c r="S36" s="123">
        <f t="shared" si="24"/>
        <v>-60018.693554716338</v>
      </c>
    </row>
    <row r="37" spans="1:24" x14ac:dyDescent="0.3">
      <c r="A37" s="132"/>
      <c r="B37" s="122" t="s">
        <v>281</v>
      </c>
      <c r="C37" s="119">
        <f>C6-C36</f>
        <v>10414.665399644706</v>
      </c>
      <c r="D37" s="119">
        <f t="shared" ref="D37:J37" si="25">D6-D36</f>
        <v>13572.577460383794</v>
      </c>
      <c r="E37" s="119">
        <f t="shared" si="25"/>
        <v>13226.768892529062</v>
      </c>
      <c r="F37" s="119">
        <f t="shared" si="25"/>
        <v>16500.683718005694</v>
      </c>
      <c r="G37" s="119">
        <f t="shared" si="25"/>
        <v>10912.638557471437</v>
      </c>
      <c r="H37" s="119">
        <f>H6-H36</f>
        <v>14115.384634471447</v>
      </c>
      <c r="I37" s="119">
        <f t="shared" si="25"/>
        <v>13769.576066616715</v>
      </c>
      <c r="J37" s="124">
        <f t="shared" si="25"/>
        <v>17043.490892093345</v>
      </c>
      <c r="K37" s="116"/>
      <c r="L37" s="136">
        <f t="shared" ref="L37:S37" si="26">L6-L36</f>
        <v>56975.661511683727</v>
      </c>
      <c r="M37" s="119">
        <f t="shared" si="26"/>
        <v>72575.864547254518</v>
      </c>
      <c r="N37" s="119">
        <f t="shared" si="26"/>
        <v>69342.375238569788</v>
      </c>
      <c r="O37" s="119">
        <f t="shared" si="26"/>
        <v>86433.451856883054</v>
      </c>
      <c r="P37" s="119">
        <f t="shared" si="26"/>
        <v>58617.782318608501</v>
      </c>
      <c r="Q37" s="119">
        <f t="shared" si="26"/>
        <v>74237.984657768917</v>
      </c>
      <c r="R37" s="119">
        <f t="shared" si="26"/>
        <v>71004.495349084187</v>
      </c>
      <c r="S37" s="124">
        <f t="shared" si="26"/>
        <v>88138.237148388638</v>
      </c>
    </row>
    <row r="38" spans="1:24" ht="15" thickBot="1" x14ac:dyDescent="0.35">
      <c r="A38" s="132"/>
      <c r="B38" s="122"/>
      <c r="C38" s="119">
        <f t="shared" ref="C38:J38" si="27">C6-C37</f>
        <v>-1.9624210519396001E-2</v>
      </c>
      <c r="D38" s="119">
        <f t="shared" si="27"/>
        <v>-3157.9316849496081</v>
      </c>
      <c r="E38" s="119">
        <f t="shared" si="27"/>
        <v>-2812.1231170948759</v>
      </c>
      <c r="F38" s="119">
        <f t="shared" si="27"/>
        <v>-6086.0379425715073</v>
      </c>
      <c r="G38" s="119">
        <f t="shared" si="27"/>
        <v>-497.99278203725044</v>
      </c>
      <c r="H38" s="119">
        <f t="shared" si="27"/>
        <v>-3700.7388590372611</v>
      </c>
      <c r="I38" s="119">
        <f t="shared" si="27"/>
        <v>-3354.9302911825289</v>
      </c>
      <c r="J38" s="124">
        <f t="shared" si="27"/>
        <v>-6628.8451166591585</v>
      </c>
      <c r="K38" s="116"/>
      <c r="L38" s="137">
        <f t="shared" ref="L38:S38" si="28">L6-L37</f>
        <v>-28856.117918011423</v>
      </c>
      <c r="M38" s="129">
        <f t="shared" si="28"/>
        <v>-44456.32095358221</v>
      </c>
      <c r="N38" s="129">
        <f t="shared" si="28"/>
        <v>-41222.83164489748</v>
      </c>
      <c r="O38" s="129">
        <f t="shared" si="28"/>
        <v>-58313.908263210746</v>
      </c>
      <c r="P38" s="129">
        <f t="shared" si="28"/>
        <v>-30498.238724936196</v>
      </c>
      <c r="Q38" s="129">
        <f t="shared" si="28"/>
        <v>-46118.441064096609</v>
      </c>
      <c r="R38" s="129">
        <f t="shared" si="28"/>
        <v>-42884.951755411879</v>
      </c>
      <c r="S38" s="131">
        <f t="shared" si="28"/>
        <v>-60018.69355471633</v>
      </c>
    </row>
    <row r="39" spans="1:24" s="117" customFormat="1" x14ac:dyDescent="0.3">
      <c r="A39" s="132"/>
      <c r="B39" s="133" t="s">
        <v>42</v>
      </c>
      <c r="C39" s="125">
        <f>IF(C40=0,D39,E39)</f>
        <v>0.57393914485134423</v>
      </c>
      <c r="D39" s="125">
        <v>0.57393914485134423</v>
      </c>
      <c r="E39" s="126">
        <v>1</v>
      </c>
      <c r="F39" s="122" t="s">
        <v>293</v>
      </c>
      <c r="G39" s="122"/>
      <c r="H39" s="122"/>
      <c r="I39" s="122"/>
      <c r="J39" s="123"/>
      <c r="K39" s="115"/>
      <c r="L39" s="115"/>
      <c r="M39" s="115"/>
      <c r="N39" s="115"/>
      <c r="O39" s="115"/>
      <c r="P39" s="115"/>
      <c r="Q39" s="115"/>
      <c r="R39" s="115"/>
      <c r="S39" s="144"/>
    </row>
    <row r="40" spans="1:24" s="117" customFormat="1" ht="15" thickBot="1" x14ac:dyDescent="0.35">
      <c r="A40" s="132"/>
      <c r="B40" s="134" t="s">
        <v>45</v>
      </c>
      <c r="C40" s="127">
        <v>0</v>
      </c>
      <c r="D40" s="127"/>
      <c r="E40" s="128"/>
      <c r="F40" s="86">
        <f>F41</f>
        <v>0.27200000000000002</v>
      </c>
      <c r="G40" s="122">
        <v>0.221</v>
      </c>
      <c r="H40" s="122"/>
      <c r="I40" s="122"/>
      <c r="J40" s="123"/>
      <c r="K40" s="115"/>
      <c r="L40" s="115"/>
      <c r="M40" s="115"/>
      <c r="N40" s="115"/>
      <c r="O40" s="115"/>
      <c r="P40" s="115"/>
      <c r="Q40" s="115"/>
      <c r="R40" s="115"/>
      <c r="S40" s="144"/>
    </row>
    <row r="41" spans="1:24" s="117" customFormat="1" ht="15" thickBot="1" x14ac:dyDescent="0.35">
      <c r="A41" s="134"/>
      <c r="B41" s="127"/>
      <c r="C41" s="129"/>
      <c r="D41" s="129"/>
      <c r="E41" s="129"/>
      <c r="F41" s="130">
        <v>0.27200000000000002</v>
      </c>
      <c r="G41" s="129"/>
      <c r="H41" s="129"/>
      <c r="I41" s="129"/>
      <c r="J41" s="131"/>
      <c r="K41" s="145"/>
      <c r="L41" s="145"/>
      <c r="M41" s="145"/>
      <c r="N41" s="145"/>
      <c r="O41" s="145"/>
      <c r="P41" s="145"/>
      <c r="Q41" s="145"/>
      <c r="R41" s="145"/>
      <c r="S41" s="146"/>
    </row>
    <row r="42" spans="1:24" s="117" customFormat="1" x14ac:dyDescent="0.3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1:24" s="117" customFormat="1" x14ac:dyDescent="0.3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1:24" s="117" customFormat="1" x14ac:dyDescent="0.3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4" s="117" customFormat="1" x14ac:dyDescent="0.3">
      <c r="A45" s="115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5"/>
      <c r="M45" s="115"/>
      <c r="N45" s="115"/>
      <c r="O45" s="115"/>
      <c r="P45" s="115"/>
      <c r="Q45" s="115"/>
      <c r="R45" s="115"/>
      <c r="S45" s="115"/>
      <c r="T45" s="118"/>
      <c r="U45" s="118"/>
      <c r="V45" s="118"/>
      <c r="W45" s="118"/>
      <c r="X45" s="118"/>
    </row>
    <row r="46" spans="1:24" s="117" customFormat="1" x14ac:dyDescent="0.3">
      <c r="A46" s="115"/>
      <c r="B46" s="115"/>
      <c r="C46" s="116"/>
      <c r="D46" s="116"/>
      <c r="E46" s="116"/>
      <c r="F46" s="116"/>
      <c r="G46" s="116"/>
      <c r="H46" s="116"/>
      <c r="I46" s="186"/>
      <c r="J46" s="186"/>
      <c r="K46" s="186"/>
      <c r="L46" s="115"/>
      <c r="M46" s="115"/>
      <c r="N46" s="115"/>
      <c r="O46" s="115"/>
      <c r="P46" s="115"/>
      <c r="Q46" s="115"/>
      <c r="R46" s="115"/>
      <c r="S46" s="115"/>
      <c r="T46" s="118"/>
      <c r="U46" s="118"/>
      <c r="V46" s="118"/>
    </row>
    <row r="47" spans="1:24" s="117" customFormat="1" x14ac:dyDescent="0.3">
      <c r="A47" s="115"/>
      <c r="B47" s="115"/>
      <c r="C47" s="116"/>
      <c r="D47" s="116"/>
      <c r="E47" s="116"/>
      <c r="F47" s="116"/>
      <c r="G47" s="116"/>
      <c r="H47" s="116"/>
      <c r="I47" s="186"/>
      <c r="J47" s="186"/>
      <c r="K47" s="186"/>
      <c r="L47" s="115"/>
      <c r="M47" s="115"/>
      <c r="N47" s="115"/>
      <c r="O47" s="115"/>
      <c r="P47" s="115"/>
      <c r="Q47" s="115"/>
      <c r="R47" s="115"/>
      <c r="S47" s="115"/>
      <c r="T47" s="118"/>
      <c r="U47" s="118"/>
      <c r="V47" s="118"/>
    </row>
    <row r="48" spans="1:24" s="117" customFormat="1" x14ac:dyDescent="0.3">
      <c r="A48" s="115"/>
      <c r="B48" s="115"/>
      <c r="C48" s="116"/>
      <c r="D48" s="116"/>
      <c r="E48" s="116"/>
      <c r="F48" s="116"/>
      <c r="G48" s="116"/>
      <c r="H48" s="116"/>
      <c r="I48" s="186"/>
      <c r="J48" s="186"/>
      <c r="K48" s="186"/>
      <c r="L48" s="115"/>
      <c r="M48" s="115"/>
      <c r="N48" s="115"/>
      <c r="O48" s="115"/>
      <c r="P48" s="115"/>
      <c r="Q48" s="115"/>
      <c r="R48" s="115"/>
      <c r="S48" s="115"/>
      <c r="T48" s="118"/>
      <c r="U48" s="118"/>
      <c r="V48" s="118"/>
    </row>
    <row r="49" spans="1:23" s="117" customFormat="1" x14ac:dyDescent="0.3">
      <c r="A49" s="115"/>
      <c r="B49" s="115"/>
      <c r="C49" s="116"/>
      <c r="D49" s="116"/>
      <c r="E49" s="116"/>
      <c r="F49" s="116"/>
      <c r="G49" s="116"/>
      <c r="H49" s="116"/>
      <c r="I49" s="186"/>
      <c r="J49" s="186"/>
      <c r="K49" s="186"/>
      <c r="L49" s="115"/>
      <c r="M49" s="115"/>
      <c r="N49" s="115"/>
      <c r="O49" s="115"/>
      <c r="P49" s="115"/>
      <c r="Q49" s="115"/>
      <c r="R49" s="115"/>
      <c r="S49" s="115"/>
      <c r="T49" s="118"/>
      <c r="U49" s="118"/>
      <c r="V49" s="118"/>
    </row>
    <row r="50" spans="1:23" s="117" customFormat="1" x14ac:dyDescent="0.3">
      <c r="A50" s="115"/>
      <c r="B50" s="115"/>
      <c r="C50" s="116"/>
      <c r="D50" s="116"/>
      <c r="E50" s="116"/>
      <c r="F50" s="116"/>
      <c r="G50" s="116"/>
      <c r="H50" s="116"/>
      <c r="I50" s="186"/>
      <c r="J50" s="186"/>
      <c r="K50" s="186"/>
      <c r="L50" s="115"/>
      <c r="M50" s="115"/>
      <c r="N50" s="115"/>
      <c r="O50" s="115"/>
      <c r="P50" s="115"/>
      <c r="Q50" s="115"/>
      <c r="R50" s="115"/>
      <c r="S50" s="115"/>
      <c r="T50" s="118"/>
      <c r="U50" s="118"/>
      <c r="V50" s="118"/>
    </row>
    <row r="51" spans="1:23" s="117" customFormat="1" x14ac:dyDescent="0.3">
      <c r="A51" s="115"/>
      <c r="B51" s="115"/>
      <c r="C51" s="116"/>
      <c r="D51" s="116"/>
      <c r="E51" s="116"/>
      <c r="F51" s="116"/>
      <c r="G51" s="116"/>
      <c r="H51" s="116"/>
      <c r="I51" s="186"/>
      <c r="J51" s="186"/>
      <c r="K51" s="186"/>
      <c r="L51" s="115"/>
      <c r="M51" s="115"/>
      <c r="N51" s="115"/>
      <c r="O51" s="115"/>
      <c r="P51" s="115"/>
      <c r="Q51" s="115"/>
      <c r="R51" s="115"/>
      <c r="S51" s="115"/>
      <c r="T51" s="118"/>
      <c r="U51" s="118"/>
      <c r="V51" s="118"/>
      <c r="W51" s="118"/>
    </row>
    <row r="52" spans="1:23" s="117" customFormat="1" x14ac:dyDescent="0.3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16"/>
      <c r="N52" s="116"/>
      <c r="O52" s="115"/>
      <c r="P52" s="115"/>
      <c r="Q52" s="115"/>
      <c r="R52" s="115"/>
      <c r="S52" s="115"/>
    </row>
    <row r="53" spans="1:23" s="117" customFormat="1" x14ac:dyDescent="0.3">
      <c r="A53" s="115"/>
      <c r="B53" s="115"/>
      <c r="C53" s="116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1:23" s="117" customFormat="1" x14ac:dyDescent="0.3">
      <c r="A54" s="115"/>
      <c r="B54" s="115"/>
      <c r="C54" s="116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1:23" s="117" customFormat="1" x14ac:dyDescent="0.3">
      <c r="A55" s="115"/>
      <c r="B55" s="115"/>
      <c r="C55" s="116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1:23" s="117" customFormat="1" x14ac:dyDescent="0.3">
      <c r="A56" s="115"/>
      <c r="B56" s="115"/>
      <c r="C56" s="116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1:23" s="117" customFormat="1" x14ac:dyDescent="0.3">
      <c r="A57" s="115"/>
      <c r="B57" s="115"/>
      <c r="C57" s="116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</row>
    <row r="58" spans="1:23" s="117" customFormat="1" x14ac:dyDescent="0.3">
      <c r="A58" s="115"/>
      <c r="B58" s="115"/>
      <c r="C58" s="116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spans="1:23" s="117" customFormat="1" x14ac:dyDescent="0.3">
      <c r="A59" s="115"/>
      <c r="B59" s="115"/>
      <c r="C59" s="116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1:23" s="117" customFormat="1" x14ac:dyDescent="0.3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</row>
    <row r="61" spans="1:23" s="117" customFormat="1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1:23" s="117" customFormat="1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</row>
    <row r="63" spans="1:23" s="117" customFormat="1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1:23" s="117" customFormat="1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1:19" s="117" customFormat="1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:19" s="117" customFormat="1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:19" s="117" customFormat="1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:19" s="117" customForma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:19" s="117" customFormat="1" x14ac:dyDescent="0.3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:19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</sheetData>
  <mergeCells count="23">
    <mergeCell ref="V24:Y24"/>
    <mergeCell ref="A29:B29"/>
    <mergeCell ref="G3:J3"/>
    <mergeCell ref="C4:D4"/>
    <mergeCell ref="A27:B27"/>
    <mergeCell ref="A28:B28"/>
    <mergeCell ref="E4:F4"/>
    <mergeCell ref="I4:J4"/>
    <mergeCell ref="G4:H4"/>
    <mergeCell ref="C12:J12"/>
    <mergeCell ref="C26:J26"/>
    <mergeCell ref="L26:S26"/>
    <mergeCell ref="C1:S1"/>
    <mergeCell ref="L12:S12"/>
    <mergeCell ref="L2:S2"/>
    <mergeCell ref="L3:O3"/>
    <mergeCell ref="P3:S3"/>
    <mergeCell ref="L4:M4"/>
    <mergeCell ref="N4:O4"/>
    <mergeCell ref="P4:Q4"/>
    <mergeCell ref="R4:S4"/>
    <mergeCell ref="C2:J2"/>
    <mergeCell ref="C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8809-DCA3-4DE7-8078-C4115C3BC263}">
  <dimension ref="B2:T5"/>
  <sheetViews>
    <sheetView workbookViewId="0">
      <selection activeCell="E10" sqref="E10"/>
    </sheetView>
  </sheetViews>
  <sheetFormatPr defaultRowHeight="14.4" x14ac:dyDescent="0.3"/>
  <sheetData>
    <row r="2" spans="2:20" ht="15" thickBot="1" x14ac:dyDescent="0.35"/>
    <row r="3" spans="2:20" x14ac:dyDescent="0.3">
      <c r="B3" s="2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329</v>
      </c>
      <c r="Q3" s="3"/>
      <c r="R3" s="3">
        <v>3.8</v>
      </c>
      <c r="S3" s="3">
        <v>36000</v>
      </c>
      <c r="T3" s="238">
        <v>1</v>
      </c>
    </row>
    <row r="4" spans="2:20" x14ac:dyDescent="0.3">
      <c r="B4" s="4" t="s">
        <v>304</v>
      </c>
      <c r="C4" s="229"/>
      <c r="D4" s="229" t="s">
        <v>191</v>
      </c>
      <c r="E4" s="229"/>
      <c r="F4" s="229" t="s">
        <v>207</v>
      </c>
      <c r="G4" s="229"/>
      <c r="H4" s="229" t="s">
        <v>302</v>
      </c>
      <c r="I4" s="229"/>
      <c r="J4" s="229" t="s">
        <v>183</v>
      </c>
      <c r="K4" s="229"/>
      <c r="L4" s="229" t="s">
        <v>303</v>
      </c>
      <c r="M4" s="229"/>
      <c r="N4" s="229"/>
      <c r="O4" s="229"/>
      <c r="P4" s="229" t="s">
        <v>170</v>
      </c>
      <c r="Q4" s="229" t="s">
        <v>100</v>
      </c>
      <c r="R4" s="229"/>
      <c r="S4" s="229"/>
      <c r="T4" s="239"/>
    </row>
    <row r="5" spans="2:20" ht="15" thickBot="1" x14ac:dyDescent="0.35">
      <c r="B5" s="5">
        <v>0.04</v>
      </c>
      <c r="C5" s="6"/>
      <c r="D5" s="6">
        <f>2/3</f>
        <v>0.66666666666666663</v>
      </c>
      <c r="E5" s="6"/>
      <c r="F5" s="6">
        <v>600</v>
      </c>
      <c r="G5" s="6"/>
      <c r="H5" s="6">
        <f>1/3</f>
        <v>0.33333333333333331</v>
      </c>
      <c r="I5" s="6"/>
      <c r="J5" s="6">
        <v>0.5</v>
      </c>
      <c r="K5" s="6"/>
      <c r="L5" s="6">
        <v>200</v>
      </c>
      <c r="M5" s="6"/>
      <c r="N5" s="6"/>
      <c r="O5" s="6"/>
      <c r="P5" s="6">
        <f>S3*T3</f>
        <v>36000</v>
      </c>
      <c r="Q5" s="6">
        <f>P5*R3</f>
        <v>136800</v>
      </c>
      <c r="R5" s="6"/>
      <c r="S5" s="6"/>
      <c r="T5" s="24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E26D-D676-45EA-98A4-D16ACD3241FF}">
  <dimension ref="A1:BG113"/>
  <sheetViews>
    <sheetView workbookViewId="0">
      <selection activeCell="B11" sqref="B11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59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7"/>
      <c r="B5" s="25" t="s">
        <v>188</v>
      </c>
      <c r="C5" s="79">
        <f>Cases!C37</f>
        <v>10414.665399644706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0.96104979111497724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136025.73956393986</v>
      </c>
      <c r="K6" s="7"/>
      <c r="L6" s="7"/>
      <c r="M6" s="7">
        <f>SUM(H8:H27)</f>
        <v>141538.70155481479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96367.943260088257</v>
      </c>
      <c r="H7" s="7"/>
      <c r="I7" s="7"/>
      <c r="J7" s="7"/>
      <c r="K7" s="7"/>
      <c r="L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2315.8665676410278</v>
      </c>
      <c r="H8" s="7">
        <f>C$5/((1+C$2)^F8)</f>
        <v>10014.101345812216</v>
      </c>
      <c r="I8" s="7"/>
      <c r="J8" s="7"/>
      <c r="K8" s="7"/>
      <c r="L8" s="46"/>
      <c r="M8" s="4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2226.7947765779113</v>
      </c>
      <c r="H9" s="7">
        <f>C$5/((1+C$2)^F9)</f>
        <v>9628.943601742516</v>
      </c>
      <c r="I9" s="7"/>
      <c r="J9" s="7"/>
      <c r="K9" s="7"/>
      <c r="L9" s="4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x14ac:dyDescent="0.3">
      <c r="A10" s="7"/>
      <c r="D10" s="7"/>
      <c r="E10" s="7"/>
      <c r="F10" s="7">
        <v>3</v>
      </c>
      <c r="G10" s="7">
        <f t="shared" si="0"/>
        <v>2141.1488236326072</v>
      </c>
      <c r="H10" s="7">
        <f t="shared" ref="H10:H27" si="1">C$5/((1+C$2)^F10)</f>
        <v>9258.599617060112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3">
      <c r="A11" s="7"/>
      <c r="D11" s="7"/>
      <c r="E11" s="7"/>
      <c r="F11" s="7">
        <v>4</v>
      </c>
      <c r="G11" s="7">
        <f t="shared" si="0"/>
        <v>2058.7969458005837</v>
      </c>
      <c r="H11" s="7">
        <f t="shared" si="1"/>
        <v>8902.4996317885671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x14ac:dyDescent="0.3">
      <c r="A12" s="7"/>
      <c r="B12" s="7"/>
      <c r="C12" s="7"/>
      <c r="D12" s="7"/>
      <c r="E12" s="7"/>
      <c r="F12" s="7">
        <v>5</v>
      </c>
      <c r="G12" s="7">
        <f t="shared" si="0"/>
        <v>1979.6124478851764</v>
      </c>
      <c r="H12" s="7">
        <f t="shared" si="1"/>
        <v>8560.095799796698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x14ac:dyDescent="0.3">
      <c r="A13" s="7"/>
      <c r="B13" s="7"/>
      <c r="C13" s="7"/>
      <c r="D13" s="7"/>
      <c r="E13" s="7"/>
      <c r="F13" s="7">
        <v>6</v>
      </c>
      <c r="G13" s="7">
        <f t="shared" si="0"/>
        <v>1903.4735075819003</v>
      </c>
      <c r="H13" s="7">
        <f t="shared" si="1"/>
        <v>8230.8613459583648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x14ac:dyDescent="0.3">
      <c r="A14" s="7"/>
      <c r="B14" s="7"/>
      <c r="C14" s="7"/>
      <c r="D14" s="7"/>
      <c r="E14" s="7"/>
      <c r="F14" s="7">
        <v>7</v>
      </c>
      <c r="G14" s="7">
        <f t="shared" si="0"/>
        <v>1830.2629880595198</v>
      </c>
      <c r="H14" s="7">
        <f t="shared" si="1"/>
        <v>7914.2897557291972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x14ac:dyDescent="0.3">
      <c r="A15" s="7"/>
      <c r="D15" s="7"/>
      <c r="E15" s="7"/>
      <c r="F15" s="7">
        <v>8</v>
      </c>
      <c r="G15" s="7">
        <f t="shared" si="0"/>
        <v>1759.8682577495379</v>
      </c>
      <c r="H15" s="7">
        <f t="shared" si="1"/>
        <v>7609.893995893457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x14ac:dyDescent="0.3">
      <c r="A16" s="7"/>
      <c r="B16" s="7"/>
      <c r="C16" s="7"/>
      <c r="D16" s="7"/>
      <c r="E16" s="7"/>
      <c r="F16" s="7">
        <v>9</v>
      </c>
      <c r="G16" s="7">
        <f t="shared" si="0"/>
        <v>1692.1810170668632</v>
      </c>
      <c r="H16" s="7">
        <f t="shared" si="1"/>
        <v>7317.2057652821695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1627.0971317950607</v>
      </c>
      <c r="H17" s="7">
        <f t="shared" si="1"/>
        <v>7035.7747743097789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1564.5164728798663</v>
      </c>
      <c r="H18" s="7">
        <f t="shared" si="1"/>
        <v>6765.1680522209417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1504.3427623844864</v>
      </c>
      <c r="H19" s="7">
        <f t="shared" si="1"/>
        <v>6504.9692809816734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1446.4834253696984</v>
      </c>
      <c r="H20" s="7">
        <f t="shared" si="1"/>
        <v>6254.7781547900704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1390.8494474708639</v>
      </c>
      <c r="H21" s="7">
        <f t="shared" si="1"/>
        <v>6014.2097642212211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1337.3552379527539</v>
      </c>
      <c r="H22" s="7">
        <f t="shared" si="1"/>
        <v>5782.8940040588668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x14ac:dyDescent="0.3">
      <c r="A23" s="7"/>
      <c r="B23" s="25" t="s">
        <v>177</v>
      </c>
      <c r="C23" s="24">
        <f>C19*C21</f>
        <v>25223.411647083496</v>
      </c>
      <c r="D23" s="7"/>
      <c r="F23" s="45">
        <v>16</v>
      </c>
      <c r="G23" s="7">
        <f>SUM(C$25,-C$9,C$54,N$67,C53,C$38)/((1+C$2)^F23)</f>
        <v>8211.397079215687</v>
      </c>
      <c r="H23" s="7">
        <f t="shared" si="1"/>
        <v>5560.4750039027558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1236.4600942610516</v>
      </c>
      <c r="H24" s="7">
        <f t="shared" si="1"/>
        <v>5346.6105806757269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3">
      <c r="A25" s="7"/>
      <c r="B25" s="25" t="s">
        <v>237</v>
      </c>
      <c r="C25" s="24">
        <f>C24*C5</f>
        <v>208.29330799289411</v>
      </c>
      <c r="D25" s="7"/>
      <c r="E25" s="7"/>
      <c r="F25" s="7">
        <v>18</v>
      </c>
      <c r="G25" s="7">
        <f t="shared" si="0"/>
        <v>1188.9039367894727</v>
      </c>
      <c r="H25" s="7">
        <f t="shared" si="1"/>
        <v>5140.9717121881977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1143.1768622975699</v>
      </c>
      <c r="H26" s="7">
        <f t="shared" si="1"/>
        <v>4943.2420309501904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1099.208521439971</v>
      </c>
      <c r="H27" s="7">
        <f t="shared" si="1"/>
        <v>4753.1173374521059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3">
      <c r="A31" s="7"/>
      <c r="B31" s="25" t="s">
        <v>179</v>
      </c>
      <c r="C31" s="24">
        <f>'Electricity prod.'!L25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x14ac:dyDescent="0.3">
      <c r="A33" s="7"/>
      <c r="B33" s="25" t="s">
        <v>181</v>
      </c>
      <c r="C33" s="24">
        <f>C31*C30</f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3">
      <c r="A37" s="7"/>
      <c r="B37" s="25" t="s">
        <v>212</v>
      </c>
      <c r="C37" s="24">
        <f>sensitivity!P5</f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x14ac:dyDescent="0.3">
      <c r="A39" s="7"/>
      <c r="B39" s="25" t="s">
        <v>211</v>
      </c>
      <c r="C39" s="24">
        <f>C37*3.8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3">
      <c r="A48" s="7"/>
      <c r="B48" s="25" t="s">
        <v>184</v>
      </c>
      <c r="C48" s="44">
        <f>Cases!C29</f>
        <v>38.635646224695236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x14ac:dyDescent="0.3">
      <c r="A50" s="7"/>
      <c r="B50" s="25" t="s">
        <v>221</v>
      </c>
      <c r="C50" s="24">
        <f>C48*C49</f>
        <v>10231.291500243369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x14ac:dyDescent="0.3">
      <c r="A51" s="7"/>
      <c r="B51" s="25" t="s">
        <v>220</v>
      </c>
      <c r="C51" s="24">
        <f>N80</f>
        <v>740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x14ac:dyDescent="0.3">
      <c r="A52" s="7"/>
      <c r="B52" s="25" t="s">
        <v>276</v>
      </c>
      <c r="C52" s="24">
        <v>2000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x14ac:dyDescent="0.3">
      <c r="A53" s="7"/>
      <c r="B53" s="25" t="s">
        <v>222</v>
      </c>
      <c r="C53" s="24">
        <f>C50+C51+C52</f>
        <v>12971.291500243369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x14ac:dyDescent="0.3">
      <c r="A54" s="7"/>
      <c r="B54" s="25" t="s">
        <v>213</v>
      </c>
      <c r="C54" s="24">
        <f>C50*K78</f>
        <v>455.32156297395312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58649.83899554961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5394.8783532977541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0.43116721279049425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5394.8783532977541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161.84635059893262</v>
      </c>
      <c r="M67" s="27">
        <f>(M66/100)*M63</f>
        <v>446.09777965312514</v>
      </c>
      <c r="N67" s="28">
        <f>SUM(K67:M67)</f>
        <v>1544.8863593798221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O88</f>
        <v>7051.0054360068807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211.74190498519164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8.9914639221629233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5394.8783532977541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29" t="s">
        <v>260</v>
      </c>
      <c r="Q95" s="23">
        <v>27500000</v>
      </c>
      <c r="R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25" t="s">
        <v>259</v>
      </c>
      <c r="Q96" s="24">
        <f>L90</f>
        <v>211.74190498519164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25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25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25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6" t="s">
        <v>255</v>
      </c>
      <c r="Q100" s="28">
        <f>(Q96*Q97*Q98)/Q95</f>
        <v>8.9914639221629233</v>
      </c>
      <c r="R100" s="27"/>
      <c r="S100" s="6"/>
      <c r="T100" s="6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s="19" customFormat="1" x14ac:dyDescent="0.3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1:59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A8A4-22EF-4505-B2B4-245EBD9FE712}">
  <dimension ref="A1:AI110"/>
  <sheetViews>
    <sheetView workbookViewId="0">
      <selection activeCell="B9" sqref="B9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5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3">
      <c r="A5" s="7"/>
      <c r="B5" s="25" t="s">
        <v>188</v>
      </c>
      <c r="C5" s="79">
        <f>Cases!D37</f>
        <v>13572.577460383794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0.77191306783230473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142383.80928756122</v>
      </c>
      <c r="K6" s="7"/>
      <c r="L6" s="7"/>
      <c r="M6" s="7">
        <f>SUM(H8:H27)</f>
        <v>184455.75702896842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99283.500143806596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2487.3189348148981</v>
      </c>
      <c r="H8" s="7">
        <f>C$5/((1+C$2)^F8)</f>
        <v>13050.555250369032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2391.6528219374018</v>
      </c>
      <c r="H9" s="7">
        <f>C$5/((1+C$2)^F9)</f>
        <v>12548.610817662531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x14ac:dyDescent="0.3">
      <c r="A10" s="7"/>
      <c r="B10" s="229"/>
      <c r="C10" s="229"/>
      <c r="D10" s="7"/>
      <c r="E10" s="7"/>
      <c r="F10" s="7">
        <v>3</v>
      </c>
      <c r="G10" s="7">
        <f t="shared" si="0"/>
        <v>2299.6661749398095</v>
      </c>
      <c r="H10" s="7">
        <f t="shared" ref="H10:H27" si="1">C$5/((1+C$2)^F10)</f>
        <v>12065.971940060126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x14ac:dyDescent="0.3">
      <c r="A11" s="7"/>
      <c r="B11" s="229"/>
      <c r="C11" s="229"/>
      <c r="D11" s="7"/>
      <c r="E11" s="7"/>
      <c r="F11" s="7">
        <v>4</v>
      </c>
      <c r="G11" s="7">
        <f t="shared" si="0"/>
        <v>2211.2174759036629</v>
      </c>
      <c r="H11" s="7">
        <f t="shared" si="1"/>
        <v>11601.896096211658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x14ac:dyDescent="0.3">
      <c r="A12" s="7"/>
      <c r="B12" s="7"/>
      <c r="C12" s="7"/>
      <c r="D12" s="7"/>
      <c r="E12" s="7"/>
      <c r="F12" s="7">
        <v>5</v>
      </c>
      <c r="G12" s="7">
        <f t="shared" si="0"/>
        <v>2126.170649907368</v>
      </c>
      <c r="H12" s="7">
        <f t="shared" si="1"/>
        <v>11155.669323280439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x14ac:dyDescent="0.3">
      <c r="A13" s="7"/>
      <c r="B13" s="7"/>
      <c r="C13" s="7"/>
      <c r="D13" s="7"/>
      <c r="E13" s="7"/>
      <c r="F13" s="7">
        <v>6</v>
      </c>
      <c r="G13" s="7">
        <f t="shared" si="0"/>
        <v>2044.3948556801613</v>
      </c>
      <c r="H13" s="7">
        <f t="shared" si="1"/>
        <v>10726.605118538884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3">
      <c r="A14" s="7"/>
      <c r="B14" s="7"/>
      <c r="C14" s="7"/>
      <c r="D14" s="7"/>
      <c r="E14" s="7"/>
      <c r="F14" s="7">
        <v>7</v>
      </c>
      <c r="G14" s="7">
        <f t="shared" si="0"/>
        <v>1965.7642843078477</v>
      </c>
      <c r="H14" s="7">
        <f t="shared" si="1"/>
        <v>10314.043383210466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x14ac:dyDescent="0.3">
      <c r="A15" s="7"/>
      <c r="D15" s="7"/>
      <c r="E15" s="7"/>
      <c r="F15" s="7">
        <v>8</v>
      </c>
      <c r="G15" s="7">
        <f t="shared" si="0"/>
        <v>1890.1579656806225</v>
      </c>
      <c r="H15" s="7">
        <f t="shared" si="1"/>
        <v>9917.3494069331391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x14ac:dyDescent="0.3">
      <c r="A16" s="7"/>
      <c r="B16" s="7"/>
      <c r="C16" s="7"/>
      <c r="D16" s="7"/>
      <c r="E16" s="7"/>
      <c r="F16" s="7">
        <v>9</v>
      </c>
      <c r="G16" s="7">
        <f t="shared" si="0"/>
        <v>1817.4595823852137</v>
      </c>
      <c r="H16" s="7">
        <f t="shared" si="1"/>
        <v>9535.9128912818633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1747.5572907550131</v>
      </c>
      <c r="H17" s="7">
        <f t="shared" si="1"/>
        <v>9169.1470108479461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1680.3435488028974</v>
      </c>
      <c r="H18" s="7">
        <f t="shared" si="1"/>
        <v>8816.4875104307175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1615.7149507720164</v>
      </c>
      <c r="H19" s="7">
        <f t="shared" si="1"/>
        <v>8477.3918369526109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1553.5720680500158</v>
      </c>
      <c r="H20" s="7">
        <f t="shared" si="1"/>
        <v>8151.3383047621264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1493.8192962019382</v>
      </c>
      <c r="H21" s="7">
        <f t="shared" si="1"/>
        <v>7837.825293040506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1436.3647078864792</v>
      </c>
      <c r="H22" s="7">
        <f t="shared" si="1"/>
        <v>7536.3704740774101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SUM(C$25,-C$9,C$54,N$67,C53,C$38)/((1+C$2)^F23)</f>
        <v>9325.8139651059973</v>
      </c>
      <c r="H23" s="7">
        <f t="shared" si="1"/>
        <v>7246.5100712282774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1327.9999148358718</v>
      </c>
      <c r="H24" s="7">
        <f t="shared" si="1"/>
        <v>6967.7981454118053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3">
      <c r="A25" s="7"/>
      <c r="B25" s="25" t="s">
        <v>237</v>
      </c>
      <c r="C25" s="24">
        <f>C24*C5</f>
        <v>271.4515492076759</v>
      </c>
      <c r="D25" s="7"/>
      <c r="E25" s="7"/>
      <c r="F25" s="7">
        <v>18</v>
      </c>
      <c r="G25" s="7">
        <f t="shared" si="0"/>
        <v>1276.9229950344918</v>
      </c>
      <c r="H25" s="7">
        <f t="shared" si="1"/>
        <v>6699.8059090498118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1227.8105721485499</v>
      </c>
      <c r="H26" s="7">
        <f t="shared" si="1"/>
        <v>6442.1210663940501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1180.5870886043749</v>
      </c>
      <c r="H27" s="7">
        <f t="shared" si="1"/>
        <v>6194.3471792250484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3">
      <c r="A31" s="7"/>
      <c r="B31" s="25" t="s">
        <v>179</v>
      </c>
      <c r="C31" s="24">
        <f>'Electricity prod.'!L25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3">
      <c r="A33" s="7"/>
      <c r="B33" s="25" t="s">
        <v>181</v>
      </c>
      <c r="C33" s="24">
        <f>C31*C30</f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3">
      <c r="A37" s="7"/>
      <c r="B37" s="25" t="s">
        <v>212</v>
      </c>
      <c r="C37" s="24">
        <f>sensitivity!P5</f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3">
      <c r="A39" s="7"/>
      <c r="B39" s="25" t="s">
        <v>211</v>
      </c>
      <c r="C39" s="24">
        <f>C37*3.8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3">
      <c r="A48" s="7"/>
      <c r="B48" s="25" t="s">
        <v>184</v>
      </c>
      <c r="C48" s="44">
        <f>Cases!D29</f>
        <v>45.844349660220068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3">
      <c r="A50" s="7"/>
      <c r="B50" s="25" t="s">
        <v>221</v>
      </c>
      <c r="C50" s="24">
        <f>C48*C49</f>
        <v>12140.262965576798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x14ac:dyDescent="0.3">
      <c r="A53" s="7"/>
      <c r="B53" s="25" t="s">
        <v>222</v>
      </c>
      <c r="C53" s="24">
        <f>C50+C52+C51</f>
        <v>14880.262965576798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x14ac:dyDescent="0.3">
      <c r="A54" s="7"/>
      <c r="B54" s="25" t="s">
        <v>213</v>
      </c>
      <c r="C54" s="24">
        <f>C50*K78</f>
        <v>540.27622106844876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62714.9239963742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6401.4637716826592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0.44046387233336248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6401.4637716826592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192.04391315047977</v>
      </c>
      <c r="M67" s="27">
        <f>(M66/100)*M63</f>
        <v>446.09777965312514</v>
      </c>
      <c r="N67" s="28">
        <f>SUM(K67:M67)</f>
        <v>1575.0839219313693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  <c r="AI84" s="7"/>
    </row>
    <row r="85" spans="1:35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  <c r="AI85" s="7"/>
    </row>
    <row r="86" spans="1:35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  <c r="AI86" s="7"/>
    </row>
    <row r="87" spans="1:35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  <c r="AI87" s="7"/>
    </row>
    <row r="88" spans="1:35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  <c r="AI88" s="7"/>
    </row>
    <row r="89" spans="1:35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P88</f>
        <v>8366.5938129901624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  <c r="AI89" s="7"/>
    </row>
    <row r="90" spans="1:35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251.24906345315804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  <c r="AI90" s="7"/>
    </row>
    <row r="91" spans="1:35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10.669106286137765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  <c r="AI91" s="7"/>
    </row>
    <row r="92" spans="1:35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6401.4637716826592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  <c r="AI92" s="7"/>
    </row>
    <row r="93" spans="1:35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  <c r="AI93" s="7"/>
    </row>
    <row r="94" spans="1:35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  <c r="AI94" s="7"/>
    </row>
    <row r="95" spans="1:35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  <c r="AI95" s="7"/>
    </row>
    <row r="96" spans="1:35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251.24906345315804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  <c r="AI96" s="7"/>
    </row>
    <row r="97" spans="1:35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  <c r="AI97" s="7"/>
    </row>
    <row r="98" spans="1:35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  <c r="AI98" s="7"/>
    </row>
    <row r="99" spans="1:35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  <c r="AI99" s="7"/>
    </row>
    <row r="100" spans="1:35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10.669106286137765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  <c r="AI100" s="7"/>
    </row>
    <row r="101" spans="1:35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9A8C-B852-47CB-847B-7CAC7CEC6C0E}">
  <dimension ref="A1:AK170"/>
  <sheetViews>
    <sheetView workbookViewId="0">
      <selection activeCell="B9" sqref="B9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7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x14ac:dyDescent="0.3">
      <c r="A5" s="7"/>
      <c r="B5" s="25" t="s">
        <v>188</v>
      </c>
      <c r="C5" s="79">
        <f>Cases!E37</f>
        <v>13226.768892529062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0.78748067709764336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141554.45985973347</v>
      </c>
      <c r="K6" s="7"/>
      <c r="L6" s="7"/>
      <c r="M6" s="7">
        <f>SUM(H8:H27)</f>
        <v>179756.10573893672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98893.667559266876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2465.8642069158041</v>
      </c>
      <c r="H8" s="7">
        <f>C$5/((1+C$2)^F8)</f>
        <v>12718.047012047175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2371.0232758805805</v>
      </c>
      <c r="H9" s="7">
        <f>C$5/((1+C$2)^F9)</f>
        <v>12228.891357737668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x14ac:dyDescent="0.3">
      <c r="A10" s="7"/>
      <c r="B10" s="229"/>
      <c r="C10" s="229"/>
      <c r="D10" s="7"/>
      <c r="E10" s="7"/>
      <c r="F10" s="7">
        <v>3</v>
      </c>
      <c r="G10" s="7">
        <f t="shared" si="0"/>
        <v>2279.8300729620969</v>
      </c>
      <c r="H10" s="7">
        <f t="shared" ref="H10:H27" si="1">C$5/((1+C$2)^F10)</f>
        <v>11758.549382440066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x14ac:dyDescent="0.3">
      <c r="A11" s="7"/>
      <c r="D11" s="7"/>
      <c r="E11" s="7"/>
      <c r="F11" s="7">
        <v>4</v>
      </c>
      <c r="G11" s="7">
        <f t="shared" si="0"/>
        <v>2192.1443009250929</v>
      </c>
      <c r="H11" s="7">
        <f t="shared" si="1"/>
        <v>11306.297483115446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x14ac:dyDescent="0.3">
      <c r="A12" s="7"/>
      <c r="B12" s="7"/>
      <c r="C12" s="7"/>
      <c r="D12" s="7"/>
      <c r="E12" s="7"/>
      <c r="F12" s="7">
        <v>5</v>
      </c>
      <c r="G12" s="7">
        <f t="shared" si="0"/>
        <v>2107.8310585818199</v>
      </c>
      <c r="H12" s="7">
        <f t="shared" si="1"/>
        <v>10871.439887611004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x14ac:dyDescent="0.3">
      <c r="A13" s="7"/>
      <c r="B13" s="7"/>
      <c r="C13" s="7"/>
      <c r="D13" s="7"/>
      <c r="E13" s="7"/>
      <c r="F13" s="7">
        <v>6</v>
      </c>
      <c r="G13" s="7">
        <f t="shared" si="0"/>
        <v>2026.7606332517498</v>
      </c>
      <c r="H13" s="7">
        <f t="shared" si="1"/>
        <v>10453.307584241351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x14ac:dyDescent="0.3">
      <c r="A14" s="7"/>
      <c r="B14" s="7"/>
      <c r="C14" s="7"/>
      <c r="D14" s="7"/>
      <c r="E14" s="7"/>
      <c r="F14" s="7">
        <v>7</v>
      </c>
      <c r="G14" s="7">
        <f t="shared" si="0"/>
        <v>1948.8083012036059</v>
      </c>
      <c r="H14" s="7">
        <f t="shared" si="1"/>
        <v>10051.257292539762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x14ac:dyDescent="0.3">
      <c r="A15" s="7"/>
      <c r="D15" s="7"/>
      <c r="E15" s="7"/>
      <c r="F15" s="7">
        <v>8</v>
      </c>
      <c r="G15" s="7">
        <f t="shared" si="0"/>
        <v>1873.8541357726976</v>
      </c>
      <c r="H15" s="7">
        <f t="shared" si="1"/>
        <v>9664.6704735959229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x14ac:dyDescent="0.3">
      <c r="A16" s="7"/>
      <c r="B16" s="7"/>
      <c r="C16" s="7"/>
      <c r="D16" s="7"/>
      <c r="E16" s="7"/>
      <c r="F16" s="7">
        <v>9</v>
      </c>
      <c r="G16" s="7">
        <f t="shared" si="0"/>
        <v>1801.782822858363</v>
      </c>
      <c r="H16" s="7">
        <f t="shared" si="1"/>
        <v>9292.9523784576177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1732.4834835176566</v>
      </c>
      <c r="H17" s="7">
        <f t="shared" si="1"/>
        <v>8935.5311331323246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1665.8495033823624</v>
      </c>
      <c r="H18" s="7">
        <f t="shared" si="1"/>
        <v>8591.8568587810805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1601.7783686368864</v>
      </c>
      <c r="H19" s="7">
        <f t="shared" si="1"/>
        <v>8261.4008257510377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1540.1715083046986</v>
      </c>
      <c r="H20" s="7">
        <f t="shared" si="1"/>
        <v>7943.6546401452288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1480.9341426006717</v>
      </c>
      <c r="H21" s="7">
        <f t="shared" si="1"/>
        <v>7638.1294616781042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1423.9751371160305</v>
      </c>
      <c r="H22" s="7">
        <f t="shared" si="1"/>
        <v>7344.3552516135624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SUM(C$25,-C$9,C$54,N$67,C53,C$38)/((1+C$2)^F23)</f>
        <v>9177.6238969430251</v>
      </c>
      <c r="H23" s="7">
        <f t="shared" si="1"/>
        <v>7061.8800496284239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1316.5450602034302</v>
      </c>
      <c r="H24" s="7">
        <f t="shared" si="1"/>
        <v>6790.2692784888686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x14ac:dyDescent="0.3">
      <c r="A25" s="7"/>
      <c r="B25" s="25" t="s">
        <v>237</v>
      </c>
      <c r="C25" s="24">
        <f>C24*C5</f>
        <v>264.53537785058126</v>
      </c>
      <c r="D25" s="7"/>
      <c r="E25" s="7"/>
      <c r="F25" s="7">
        <v>18</v>
      </c>
      <c r="G25" s="7">
        <f t="shared" si="0"/>
        <v>1265.9087117340675</v>
      </c>
      <c r="H25" s="7">
        <f t="shared" si="1"/>
        <v>6529.1050754700655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1217.219915128911</v>
      </c>
      <c r="H26" s="7">
        <f t="shared" si="1"/>
        <v>6277.9856494904479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1170.4037645470298</v>
      </c>
      <c r="H27" s="7">
        <f t="shared" si="1"/>
        <v>6036.5246629715848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x14ac:dyDescent="0.3">
      <c r="A31" s="7"/>
      <c r="B31" s="25" t="s">
        <v>179</v>
      </c>
      <c r="C31" s="24">
        <f>'Electricity prod.'!L25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x14ac:dyDescent="0.3">
      <c r="A33" s="7"/>
      <c r="B33" s="25" t="s">
        <v>181</v>
      </c>
      <c r="C33" s="24">
        <f>C31*C30</f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x14ac:dyDescent="0.3">
      <c r="A37" s="7"/>
      <c r="B37" s="25" t="s">
        <v>212</v>
      </c>
      <c r="C37" s="24">
        <f>sensitivity!P5</f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x14ac:dyDescent="0.3">
      <c r="A39" s="7"/>
      <c r="B39" s="25" t="s">
        <v>211</v>
      </c>
      <c r="C39" s="24">
        <f>C37*3.8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x14ac:dyDescent="0.3">
      <c r="A48" s="7"/>
      <c r="B48" s="25" t="s">
        <v>184</v>
      </c>
      <c r="C48" s="44">
        <f>Cases!E29</f>
        <v>44.880490060311672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x14ac:dyDescent="0.3">
      <c r="A50" s="7"/>
      <c r="B50" s="25" t="s">
        <v>221</v>
      </c>
      <c r="C50" s="24">
        <f>C48*C49</f>
        <v>11885.018664119574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x14ac:dyDescent="0.3">
      <c r="A53" s="7"/>
      <c r="B53" s="25" t="s">
        <v>222</v>
      </c>
      <c r="C53" s="24">
        <f>C50+C52+C51</f>
        <v>14625.018664119574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7"/>
      <c r="B54" s="25" t="s">
        <v>213</v>
      </c>
      <c r="C54" s="24">
        <f>C50*K78</f>
        <v>528.9171239029605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62171.390580478706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6266.8754886001752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0.43920474594784531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6266.8754886001752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188.00626465800525</v>
      </c>
      <c r="M67" s="27">
        <f>(M66/100)*M63</f>
        <v>446.09777965312514</v>
      </c>
      <c r="N67" s="28">
        <f>SUM(K67:M67)</f>
        <v>1571.0462734388948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  <c r="AI84" s="7"/>
      <c r="AJ84" s="7"/>
      <c r="AK84" s="7"/>
    </row>
    <row r="85" spans="1:37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  <c r="AI85" s="7"/>
      <c r="AJ85" s="7"/>
      <c r="AK85" s="7"/>
    </row>
    <row r="86" spans="1:37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  <c r="AI86" s="7"/>
      <c r="AJ86" s="7"/>
      <c r="AK86" s="7"/>
    </row>
    <row r="87" spans="1:37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  <c r="AI87" s="7"/>
      <c r="AJ87" s="7"/>
      <c r="AK87" s="7"/>
    </row>
    <row r="88" spans="1:37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  <c r="AI88" s="7"/>
      <c r="AJ88" s="7"/>
      <c r="AK88" s="7"/>
    </row>
    <row r="89" spans="1:37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Q88</f>
        <v>8190.68943600688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  <c r="AI89" s="7"/>
      <c r="AJ89" s="7"/>
      <c r="AK89" s="7"/>
    </row>
    <row r="90" spans="1:37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245.96664972993636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  <c r="AI90" s="7"/>
      <c r="AJ90" s="7"/>
      <c r="AK90" s="7"/>
    </row>
    <row r="91" spans="1:37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10.444792481000292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  <c r="AI91" s="7"/>
      <c r="AJ91" s="7"/>
      <c r="AK91" s="7"/>
    </row>
    <row r="92" spans="1:37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6266.8754886001752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  <c r="AI92" s="7"/>
      <c r="AJ92" s="7"/>
      <c r="AK92" s="7"/>
    </row>
    <row r="93" spans="1:37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  <c r="AI93" s="7"/>
      <c r="AJ93" s="7"/>
      <c r="AK93" s="7"/>
    </row>
    <row r="94" spans="1:37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  <c r="AI94" s="7"/>
      <c r="AJ94" s="7"/>
      <c r="AK94" s="7"/>
    </row>
    <row r="95" spans="1:37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  <c r="AI95" s="7"/>
      <c r="AJ95" s="7"/>
      <c r="AK95" s="7"/>
    </row>
    <row r="96" spans="1:37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245.96664972993636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  <c r="AI96" s="7"/>
      <c r="AJ96" s="7"/>
      <c r="AK96" s="7"/>
    </row>
    <row r="97" spans="1:37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  <c r="AI97" s="7"/>
      <c r="AJ97" s="7"/>
      <c r="AK97" s="7"/>
    </row>
    <row r="98" spans="1:37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  <c r="AI98" s="7"/>
      <c r="AJ98" s="7"/>
      <c r="AK98" s="7"/>
    </row>
    <row r="99" spans="1:37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  <c r="AI99" s="7"/>
      <c r="AJ99" s="7"/>
      <c r="AK99" s="7"/>
    </row>
    <row r="100" spans="1:37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10.444792481000292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  <c r="AI100" s="7"/>
      <c r="AJ100" s="7"/>
      <c r="AK100" s="7"/>
    </row>
    <row r="101" spans="1:37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0B69-307B-4E37-A06D-AA7E82853B53}">
  <dimension ref="A1:AN100"/>
  <sheetViews>
    <sheetView topLeftCell="A4" workbookViewId="0">
      <selection activeCell="B11" sqref="B11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40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x14ac:dyDescent="0.3">
      <c r="A5" s="7"/>
      <c r="B5" s="25" t="s">
        <v>188</v>
      </c>
      <c r="C5" s="79">
        <f>Cases!F37</f>
        <v>16500.683718005694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0.65972920053574646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147944.05989194885</v>
      </c>
      <c r="K6" s="7"/>
      <c r="L6" s="7"/>
      <c r="M6" s="7">
        <f>SUM(H8:H27)</f>
        <v>224249.67664279207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101809.22444298521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2639.5473964884727</v>
      </c>
      <c r="H8" s="7">
        <f>C$5/((1+C$2)^F8)</f>
        <v>15866.042036543935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2538.0263427773775</v>
      </c>
      <c r="H9" s="7">
        <f>C$5/((1+C$2)^F9)</f>
        <v>15255.809650523013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3">
      <c r="A10" s="7"/>
      <c r="B10" s="229"/>
      <c r="C10" s="229"/>
      <c r="D10" s="7"/>
      <c r="E10" s="7"/>
      <c r="F10" s="7">
        <v>3</v>
      </c>
      <c r="G10" s="7">
        <f t="shared" si="0"/>
        <v>2440.4099449782479</v>
      </c>
      <c r="H10" s="7">
        <f t="shared" ref="H10:H27" si="1">C$5/((1+C$2)^F10)</f>
        <v>14669.047740887514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x14ac:dyDescent="0.3">
      <c r="A11" s="7"/>
      <c r="D11" s="7"/>
      <c r="E11" s="7"/>
      <c r="F11" s="7">
        <v>4</v>
      </c>
      <c r="G11" s="7">
        <f t="shared" si="0"/>
        <v>2346.5480240175457</v>
      </c>
      <c r="H11" s="7">
        <f t="shared" si="1"/>
        <v>14104.853597007223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x14ac:dyDescent="0.3">
      <c r="A12" s="7"/>
      <c r="B12" s="7"/>
      <c r="C12" s="7"/>
      <c r="D12" s="7"/>
      <c r="E12" s="7"/>
      <c r="F12" s="7">
        <v>5</v>
      </c>
      <c r="G12" s="7">
        <f t="shared" si="0"/>
        <v>2256.2961769399476</v>
      </c>
      <c r="H12" s="7">
        <f t="shared" si="1"/>
        <v>13562.35922789156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x14ac:dyDescent="0.3">
      <c r="A13" s="7"/>
      <c r="B13" s="7"/>
      <c r="C13" s="7"/>
      <c r="D13" s="7"/>
      <c r="E13" s="7"/>
      <c r="F13" s="7">
        <v>6</v>
      </c>
      <c r="G13" s="7">
        <f t="shared" si="0"/>
        <v>2169.5155547499494</v>
      </c>
      <c r="H13" s="7">
        <f t="shared" si="1"/>
        <v>13040.730026818806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x14ac:dyDescent="0.3">
      <c r="A14" s="7"/>
      <c r="B14" s="7"/>
      <c r="C14" s="7"/>
      <c r="D14" s="7"/>
      <c r="E14" s="7"/>
      <c r="F14" s="7">
        <v>7</v>
      </c>
      <c r="G14" s="7">
        <f t="shared" si="0"/>
        <v>2086.0726487980287</v>
      </c>
      <c r="H14" s="7">
        <f t="shared" si="1"/>
        <v>12539.163487325777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x14ac:dyDescent="0.3">
      <c r="A15" s="7"/>
      <c r="D15" s="7"/>
      <c r="E15" s="7"/>
      <c r="F15" s="7">
        <v>8</v>
      </c>
      <c r="G15" s="7">
        <f t="shared" si="0"/>
        <v>2005.8390853827195</v>
      </c>
      <c r="H15" s="7">
        <f t="shared" si="1"/>
        <v>12056.887968582476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x14ac:dyDescent="0.3">
      <c r="A16" s="7"/>
      <c r="B16" s="7"/>
      <c r="C16" s="7"/>
      <c r="D16" s="7"/>
      <c r="E16" s="7"/>
      <c r="F16" s="7">
        <v>9</v>
      </c>
      <c r="G16" s="7">
        <f t="shared" si="0"/>
        <v>1928.6914282526147</v>
      </c>
      <c r="H16" s="7">
        <f t="shared" si="1"/>
        <v>11593.16150825238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1854.5109887044373</v>
      </c>
      <c r="H17" s="7">
        <f t="shared" si="1"/>
        <v>11147.270681011903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1783.1836429850359</v>
      </c>
      <c r="H18" s="7">
        <f t="shared" si="1"/>
        <v>10718.529500972985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1714.5996567163802</v>
      </c>
      <c r="H19" s="7">
        <f t="shared" si="1"/>
        <v>10306.278366320175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1648.6535160734425</v>
      </c>
      <c r="H20" s="7">
        <f t="shared" si="1"/>
        <v>9909.8830445386302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1585.2437654552332</v>
      </c>
      <c r="H21" s="7">
        <f t="shared" si="1"/>
        <v>9528.7336966717594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1524.2728513992627</v>
      </c>
      <c r="H22" s="7">
        <f t="shared" si="1"/>
        <v>9162.2439391074622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SUM(C$25,-C$9,C$54,N$67,C53,C$38)/((1+C$2)^F23)</f>
        <v>10293.279479323244</v>
      </c>
      <c r="H23" s="7">
        <f t="shared" si="1"/>
        <v>8809.8499414494818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1409.2759350954721</v>
      </c>
      <c r="H24" s="7">
        <f t="shared" si="1"/>
        <v>8471.0095590860401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x14ac:dyDescent="0.3">
      <c r="A25" s="7"/>
      <c r="B25" s="25" t="s">
        <v>237</v>
      </c>
      <c r="C25" s="24">
        <f>C24*C5</f>
        <v>330.0136743601139</v>
      </c>
      <c r="D25" s="7"/>
      <c r="E25" s="7"/>
      <c r="F25" s="7">
        <v>18</v>
      </c>
      <c r="G25" s="7">
        <f t="shared" si="0"/>
        <v>1355.0730145148768</v>
      </c>
      <c r="H25" s="7">
        <f t="shared" si="1"/>
        <v>8145.2014991211909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1302.95482164892</v>
      </c>
      <c r="H26" s="7">
        <f t="shared" si="1"/>
        <v>7831.9245183857602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1252.8411746624231</v>
      </c>
      <c r="H27" s="7">
        <f t="shared" si="1"/>
        <v>7530.6966522940002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x14ac:dyDescent="0.3">
      <c r="A31" s="7"/>
      <c r="B31" s="25" t="s">
        <v>179</v>
      </c>
      <c r="C31" s="24">
        <f>'Electricity prod.'!L25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x14ac:dyDescent="0.3">
      <c r="A33" s="7"/>
      <c r="B33" s="25" t="s">
        <v>181</v>
      </c>
      <c r="C33" s="24">
        <f>C31*C30</f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x14ac:dyDescent="0.3">
      <c r="A37" s="7"/>
      <c r="B37" s="25" t="s">
        <v>212</v>
      </c>
      <c r="C37" s="24">
        <f>sensitivity!P5</f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x14ac:dyDescent="0.3">
      <c r="A39" s="7"/>
      <c r="B39" s="25" t="s">
        <v>211</v>
      </c>
      <c r="C39" s="24">
        <f>C37*3.8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3">
      <c r="A48" s="7"/>
      <c r="B48" s="25" t="s">
        <v>184</v>
      </c>
      <c r="C48" s="44">
        <f>Cases!F29</f>
        <v>52.08919349583649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x14ac:dyDescent="0.3">
      <c r="A50" s="7"/>
      <c r="B50" s="25" t="s">
        <v>221</v>
      </c>
      <c r="C50" s="24">
        <f>C48*C49</f>
        <v>13793.990129452997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x14ac:dyDescent="0.3">
      <c r="A53" s="7"/>
      <c r="B53" s="25" t="s">
        <v>222</v>
      </c>
      <c r="C53" s="24">
        <f>C50+C52+C51</f>
        <v>16533.990129452999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x14ac:dyDescent="0.3">
      <c r="A54" s="7"/>
      <c r="B54" s="25" t="s">
        <v>213</v>
      </c>
      <c r="C54" s="24">
        <f>C50*K78</f>
        <v>613.87178199745586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66236.475581303268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7273.4609069850794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0.44771297765979362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7273.4609069850794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218.20382720955237</v>
      </c>
      <c r="M67" s="27">
        <f>(M66/100)*M63</f>
        <v>446.09777965312514</v>
      </c>
      <c r="N67" s="28">
        <f>SUM(K67:M67)</f>
        <v>1601.243835990442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  <c r="AI84" s="7"/>
      <c r="AJ84" s="7"/>
      <c r="AK84" s="7"/>
      <c r="AL84" s="7"/>
      <c r="AM84" s="7"/>
      <c r="AN84" s="7"/>
    </row>
    <row r="85" spans="1:40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  <c r="AI85" s="7"/>
      <c r="AJ85" s="7"/>
      <c r="AK85" s="7"/>
      <c r="AL85" s="7"/>
      <c r="AM85" s="7"/>
      <c r="AN85" s="7"/>
    </row>
    <row r="86" spans="1:40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  <c r="AI86" s="7"/>
      <c r="AJ86" s="7"/>
      <c r="AK86" s="7"/>
      <c r="AL86" s="7"/>
      <c r="AM86" s="7"/>
      <c r="AN86" s="7"/>
    </row>
    <row r="87" spans="1:40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  <c r="AI87" s="7"/>
      <c r="AJ87" s="7"/>
      <c r="AK87" s="7"/>
      <c r="AL87" s="7"/>
      <c r="AM87" s="7"/>
      <c r="AN87" s="7"/>
    </row>
    <row r="88" spans="1:40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  <c r="AI88" s="7"/>
      <c r="AJ88" s="7"/>
      <c r="AK88" s="7"/>
      <c r="AL88" s="7"/>
      <c r="AM88" s="7"/>
      <c r="AN88" s="7"/>
    </row>
    <row r="89" spans="1:40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R88</f>
        <v>9506.2778129901599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  <c r="AI89" s="7"/>
      <c r="AJ89" s="7"/>
      <c r="AK89" s="7"/>
      <c r="AL89" s="7"/>
      <c r="AM89" s="7"/>
      <c r="AN89" s="7"/>
    </row>
    <row r="90" spans="1:40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285.47380819790271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  <c r="AI90" s="7"/>
      <c r="AJ90" s="7"/>
      <c r="AK90" s="7"/>
      <c r="AL90" s="7"/>
      <c r="AM90" s="7"/>
      <c r="AN90" s="7"/>
    </row>
    <row r="91" spans="1:40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12.122434844975132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  <c r="AI91" s="7"/>
      <c r="AJ91" s="7"/>
      <c r="AK91" s="7"/>
      <c r="AL91" s="7"/>
      <c r="AM91" s="7"/>
      <c r="AN91" s="7"/>
    </row>
    <row r="92" spans="1:40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7273.4609069850794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  <c r="AI92" s="7"/>
      <c r="AJ92" s="7"/>
      <c r="AK92" s="7"/>
      <c r="AL92" s="7"/>
      <c r="AM92" s="7"/>
      <c r="AN92" s="7"/>
    </row>
    <row r="93" spans="1:40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  <c r="AI93" s="7"/>
      <c r="AJ93" s="7"/>
      <c r="AK93" s="7"/>
      <c r="AL93" s="7"/>
      <c r="AM93" s="7"/>
      <c r="AN93" s="7"/>
    </row>
    <row r="94" spans="1:40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  <c r="AI94" s="7"/>
      <c r="AJ94" s="7"/>
      <c r="AK94" s="7"/>
      <c r="AL94" s="7"/>
      <c r="AM94" s="7"/>
      <c r="AN94" s="7"/>
    </row>
    <row r="95" spans="1:40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  <c r="AI95" s="7"/>
      <c r="AJ95" s="7"/>
      <c r="AK95" s="7"/>
      <c r="AL95" s="7"/>
      <c r="AM95" s="7"/>
      <c r="AN95" s="7"/>
    </row>
    <row r="96" spans="1:40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285.47380819790271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  <c r="AI96" s="7"/>
      <c r="AJ96" s="7"/>
      <c r="AK96" s="7"/>
      <c r="AL96" s="7"/>
      <c r="AM96" s="7"/>
      <c r="AN96" s="7"/>
    </row>
    <row r="97" spans="1:40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  <c r="AI97" s="7"/>
      <c r="AJ97" s="7"/>
      <c r="AK97" s="7"/>
      <c r="AL97" s="7"/>
      <c r="AM97" s="7"/>
      <c r="AN97" s="7"/>
    </row>
    <row r="98" spans="1:40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  <c r="AI98" s="7"/>
      <c r="AJ98" s="7"/>
      <c r="AK98" s="7"/>
      <c r="AL98" s="7"/>
      <c r="AM98" s="7"/>
      <c r="AN98" s="7"/>
    </row>
    <row r="99" spans="1:40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  <c r="AI99" s="7"/>
      <c r="AJ99" s="7"/>
      <c r="AK99" s="7"/>
      <c r="AL99" s="7"/>
      <c r="AM99" s="7"/>
      <c r="AN99" s="7"/>
    </row>
    <row r="100" spans="1:40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12.122434844975132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  <c r="AI100" s="7"/>
      <c r="AJ100" s="7"/>
      <c r="AK100" s="7"/>
      <c r="AL100" s="7"/>
      <c r="AM100" s="7"/>
      <c r="AN100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D0F7-71AD-4AD4-88B9-0389E04C3C53}">
  <dimension ref="A1:AO113"/>
  <sheetViews>
    <sheetView workbookViewId="0">
      <selection activeCell="B10" sqref="B10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41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x14ac:dyDescent="0.3">
      <c r="A5" s="7"/>
      <c r="B5" s="25" t="s">
        <v>188</v>
      </c>
      <c r="C5" s="79">
        <f>Cases!G37</f>
        <v>10912.638557471437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0.92203374169867336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136743.43048395505</v>
      </c>
      <c r="K6" s="7"/>
      <c r="L6" s="7"/>
      <c r="M6" s="7">
        <f>SUM(H8:H27)</f>
        <v>148306.31928071423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96676.656895325665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2337.1669059842766</v>
      </c>
      <c r="H8" s="7">
        <f>C$5/((1+C$2)^F8)</f>
        <v>10492.921689876381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2247.2758711387273</v>
      </c>
      <c r="H9" s="7">
        <f>C$5/((1+C$2)^F9)</f>
        <v>10089.34777872729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x14ac:dyDescent="0.3">
      <c r="A10" s="7"/>
      <c r="D10" s="7"/>
      <c r="E10" s="7"/>
      <c r="F10" s="7">
        <v>3</v>
      </c>
      <c r="G10" s="7">
        <f t="shared" si="0"/>
        <v>2160.8421837872379</v>
      </c>
      <c r="H10" s="7">
        <f t="shared" ref="H10:H27" si="1">C$5/((1+C$2)^F10)</f>
        <v>9701.2959410839321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x14ac:dyDescent="0.3">
      <c r="A11" s="7"/>
      <c r="D11" s="7"/>
      <c r="E11" s="7"/>
      <c r="F11" s="7">
        <v>4</v>
      </c>
      <c r="G11" s="7">
        <f t="shared" si="0"/>
        <v>2077.7328690261902</v>
      </c>
      <c r="H11" s="7">
        <f t="shared" si="1"/>
        <v>9328.1691741191644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x14ac:dyDescent="0.3">
      <c r="A12" s="7"/>
      <c r="B12" s="7"/>
      <c r="C12" s="7"/>
      <c r="D12" s="7"/>
      <c r="E12" s="7"/>
      <c r="F12" s="7">
        <v>5</v>
      </c>
      <c r="G12" s="7">
        <f t="shared" si="0"/>
        <v>1997.8200663713365</v>
      </c>
      <c r="H12" s="7">
        <f t="shared" si="1"/>
        <v>8969.3934366530411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x14ac:dyDescent="0.3">
      <c r="A13" s="7"/>
      <c r="B13" s="7"/>
      <c r="C13" s="7"/>
      <c r="D13" s="7"/>
      <c r="E13" s="7"/>
      <c r="F13" s="7">
        <v>6</v>
      </c>
      <c r="G13" s="7">
        <f t="shared" si="0"/>
        <v>1920.980833049362</v>
      </c>
      <c r="H13" s="7">
        <f t="shared" si="1"/>
        <v>8624.4167660125404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x14ac:dyDescent="0.3">
      <c r="A14" s="7"/>
      <c r="B14" s="7"/>
      <c r="C14" s="7"/>
      <c r="D14" s="7"/>
      <c r="E14" s="7"/>
      <c r="F14" s="7">
        <v>7</v>
      </c>
      <c r="G14" s="7">
        <f t="shared" si="0"/>
        <v>1847.0969548551559</v>
      </c>
      <c r="H14" s="7">
        <f t="shared" si="1"/>
        <v>8292.7084288582118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x14ac:dyDescent="0.3">
      <c r="A15" s="7"/>
      <c r="D15" s="7"/>
      <c r="E15" s="7"/>
      <c r="F15" s="7">
        <v>8</v>
      </c>
      <c r="G15" s="7">
        <f t="shared" si="0"/>
        <v>1776.0547642838035</v>
      </c>
      <c r="H15" s="7">
        <f t="shared" si="1"/>
        <v>7973.7581046713567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x14ac:dyDescent="0.3">
      <c r="A16" s="7"/>
      <c r="B16" s="7"/>
      <c r="C16" s="7"/>
      <c r="D16" s="7"/>
      <c r="E16" s="7"/>
      <c r="F16" s="7">
        <v>9</v>
      </c>
      <c r="G16" s="7">
        <f t="shared" si="0"/>
        <v>1707.7449656575031</v>
      </c>
      <c r="H16" s="7">
        <f t="shared" si="1"/>
        <v>7667.0751006455348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1642.0624669783685</v>
      </c>
      <c r="H17" s="7">
        <f t="shared" si="1"/>
        <v>7372.1875967745527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1578.9062182484313</v>
      </c>
      <c r="H18" s="7">
        <f t="shared" si="1"/>
        <v>7088.6419199755319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1518.1790560081067</v>
      </c>
      <c r="H19" s="7">
        <f t="shared" si="1"/>
        <v>6816.001846130318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x14ac:dyDescent="0.3">
      <c r="A20" s="7"/>
      <c r="B20" s="25" t="s">
        <v>174</v>
      </c>
      <c r="C20" s="24">
        <f>'Electricity prod.'!N17</f>
        <v>46.710021568673135</v>
      </c>
      <c r="D20" s="7"/>
      <c r="E20" s="7"/>
      <c r="F20" s="7">
        <v>13</v>
      </c>
      <c r="G20" s="7">
        <f t="shared" si="0"/>
        <v>1459.7875538539488</v>
      </c>
      <c r="H20" s="7">
        <f t="shared" si="1"/>
        <v>6553.8479289714587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1403.64187870572</v>
      </c>
      <c r="H21" s="7">
        <f t="shared" si="1"/>
        <v>6301.7768547802489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1349.6556526016539</v>
      </c>
      <c r="H22" s="7">
        <f t="shared" si="1"/>
        <v>6059.4008219040861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SUM(C$25,-C$9,C$54,N$67,C53,C$38)/((1+C$2)^F23)</f>
        <v>8331.1439944545018</v>
      </c>
      <c r="H23" s="7">
        <f t="shared" si="1"/>
        <v>5826.3469441385432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1247.8325190473868</v>
      </c>
      <c r="H24" s="7">
        <f t="shared" si="1"/>
        <v>5602.2566770562917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x14ac:dyDescent="0.3">
      <c r="A25" s="7"/>
      <c r="B25" s="25" t="s">
        <v>237</v>
      </c>
      <c r="C25" s="24">
        <f>C24*C5</f>
        <v>218.25277114942875</v>
      </c>
      <c r="D25" s="7"/>
      <c r="E25" s="7"/>
      <c r="F25" s="7">
        <v>18</v>
      </c>
      <c r="G25" s="7">
        <f t="shared" si="0"/>
        <v>1199.8389606224871</v>
      </c>
      <c r="H25" s="7">
        <f t="shared" si="1"/>
        <v>5386.7852664002794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1153.6913082908532</v>
      </c>
      <c r="H26" s="7">
        <f t="shared" si="1"/>
        <v>5179.6012176925769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1109.3185656642818</v>
      </c>
      <c r="H27" s="7">
        <f t="shared" si="1"/>
        <v>4980.3857862428622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x14ac:dyDescent="0.3">
      <c r="A31" s="7"/>
      <c r="B31" s="25" t="s">
        <v>179</v>
      </c>
      <c r="C31" s="24">
        <f>'Electricity prod.'!L25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x14ac:dyDescent="0.3">
      <c r="A33" s="7"/>
      <c r="B33" s="25" t="s">
        <v>181</v>
      </c>
      <c r="C33" s="24">
        <f>C31*C30</f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x14ac:dyDescent="0.3">
      <c r="A37" s="7"/>
      <c r="B37" s="25" t="s">
        <v>212</v>
      </c>
      <c r="C37" s="24">
        <f>sensitivity!P5</f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x14ac:dyDescent="0.3">
      <c r="A39" s="7"/>
      <c r="B39" s="25" t="s">
        <v>211</v>
      </c>
      <c r="C39" s="24">
        <f>C37*3.8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x14ac:dyDescent="0.3">
      <c r="A48" s="7"/>
      <c r="B48" s="25" t="s">
        <v>184</v>
      </c>
      <c r="C48" s="44">
        <f>Cases!G29</f>
        <v>39.398939527376797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x14ac:dyDescent="0.3">
      <c r="A50" s="7"/>
      <c r="B50" s="25" t="s">
        <v>221</v>
      </c>
      <c r="C50" s="24">
        <f>C48*C49</f>
        <v>10433.422874842376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x14ac:dyDescent="0.3">
      <c r="A53" s="7"/>
      <c r="B53" s="25" t="s">
        <v>222</v>
      </c>
      <c r="C53" s="24">
        <f>C50+C52+C51</f>
        <v>13173.422874842376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x14ac:dyDescent="0.3">
      <c r="A54" s="7"/>
      <c r="B54" s="25" t="s">
        <v>213</v>
      </c>
      <c r="C54" s="24">
        <f>C50*K78</f>
        <v>464.31698387524443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59080.270373912288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5501.460613936164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0.43205198351992891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5501.460613936164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165.04381841808492</v>
      </c>
      <c r="M67" s="27">
        <f>(M66/100)*M63</f>
        <v>446.09777965312514</v>
      </c>
      <c r="N67" s="28">
        <f>SUM(K67:M67)</f>
        <v>1548.0838271989746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  <c r="AI87" s="7"/>
      <c r="AJ87" s="7"/>
      <c r="AK87" s="7"/>
      <c r="AL87" s="7"/>
      <c r="AM87" s="7"/>
      <c r="AN87" s="7"/>
      <c r="AO87" s="7"/>
    </row>
    <row r="88" spans="1:41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  <c r="AI88" s="7"/>
      <c r="AJ88" s="7"/>
      <c r="AK88" s="7"/>
      <c r="AL88" s="7"/>
      <c r="AM88" s="7"/>
      <c r="AN88" s="7"/>
      <c r="AO88" s="7"/>
    </row>
    <row r="89" spans="1:41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S88</f>
        <v>7190.3064637462649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  <c r="AI89" s="7"/>
      <c r="AJ89" s="7"/>
      <c r="AK89" s="7"/>
      <c r="AL89" s="7"/>
      <c r="AM89" s="7"/>
      <c r="AN89" s="7"/>
      <c r="AO89" s="7"/>
    </row>
    <row r="90" spans="1:41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215.92511903141937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  <c r="AI90" s="7"/>
      <c r="AJ90" s="7"/>
      <c r="AK90" s="7"/>
      <c r="AL90" s="7"/>
      <c r="AM90" s="7"/>
      <c r="AN90" s="7"/>
      <c r="AO90" s="7"/>
    </row>
    <row r="91" spans="1:41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9.1691010232269399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5501.460613936164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  <c r="AI92" s="7"/>
      <c r="AJ92" s="7"/>
      <c r="AK92" s="7"/>
      <c r="AL92" s="7"/>
      <c r="AM92" s="7"/>
      <c r="AN92" s="7"/>
      <c r="AO92" s="7"/>
    </row>
    <row r="93" spans="1:41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  <c r="AI94" s="7"/>
      <c r="AJ94" s="7"/>
      <c r="AK94" s="7"/>
      <c r="AL94" s="7"/>
      <c r="AM94" s="7"/>
      <c r="AN94" s="7"/>
      <c r="AO94" s="7"/>
    </row>
    <row r="95" spans="1:41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  <c r="AI95" s="7"/>
      <c r="AJ95" s="7"/>
      <c r="AK95" s="7"/>
      <c r="AL95" s="7"/>
      <c r="AM95" s="7"/>
      <c r="AN95" s="7"/>
      <c r="AO95" s="7"/>
    </row>
    <row r="96" spans="1:41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215.92511903141937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  <c r="AI96" s="7"/>
      <c r="AJ96" s="7"/>
      <c r="AK96" s="7"/>
      <c r="AL96" s="7"/>
      <c r="AM96" s="7"/>
      <c r="AN96" s="7"/>
      <c r="AO96" s="7"/>
    </row>
    <row r="97" spans="1:41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  <c r="AI97" s="7"/>
      <c r="AJ97" s="7"/>
      <c r="AK97" s="7"/>
      <c r="AL97" s="7"/>
      <c r="AM97" s="7"/>
      <c r="AN97" s="7"/>
      <c r="AO97" s="7"/>
    </row>
    <row r="98" spans="1:41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  <c r="AI98" s="7"/>
      <c r="AJ98" s="7"/>
      <c r="AK98" s="7"/>
      <c r="AL98" s="7"/>
      <c r="AM98" s="7"/>
      <c r="AN98" s="7"/>
      <c r="AO98" s="7"/>
    </row>
    <row r="99" spans="1:41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9.1691010232269399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8E38-9BDB-43F4-9578-E2EE48C8ED54}">
  <dimension ref="A1:AJ107"/>
  <sheetViews>
    <sheetView workbookViewId="0">
      <selection activeCell="B9" sqref="B9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6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3">
      <c r="A5" s="7"/>
      <c r="B5" s="25" t="s">
        <v>188</v>
      </c>
      <c r="C5" s="79">
        <f>Cases!H37</f>
        <v>14115.384634471447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0.74603390647495871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143113.68638582318</v>
      </c>
      <c r="K6" s="7"/>
      <c r="L6" s="7"/>
      <c r="M6" s="7">
        <f>SUM(H8:H27)</f>
        <v>191832.68366720932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99592.213779044003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2509.4814657785482</v>
      </c>
      <c r="H8" s="7">
        <f>C$5/((1+C$2)^F8)</f>
        <v>13572.485225453314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2412.9629478639886</v>
      </c>
      <c r="H9" s="7">
        <f>C$5/((1+C$2)^F9)</f>
        <v>13050.466562935879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x14ac:dyDescent="0.3">
      <c r="A10" s="7"/>
      <c r="B10" s="229"/>
      <c r="C10" s="229"/>
      <c r="D10" s="7"/>
      <c r="E10" s="7"/>
      <c r="F10" s="7">
        <v>3</v>
      </c>
      <c r="G10" s="7">
        <f t="shared" si="0"/>
        <v>2320.1566806384503</v>
      </c>
      <c r="H10" s="7">
        <f t="shared" ref="H10:H27" si="1">C$5/((1+C$2)^F10)</f>
        <v>12548.525541284498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x14ac:dyDescent="0.3">
      <c r="A11" s="7"/>
      <c r="D11" s="7"/>
      <c r="E11" s="7"/>
      <c r="F11" s="7">
        <v>4</v>
      </c>
      <c r="G11" s="7">
        <f t="shared" si="0"/>
        <v>2230.9198852292793</v>
      </c>
      <c r="H11" s="7">
        <f t="shared" si="1"/>
        <v>12065.889943542787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x14ac:dyDescent="0.3">
      <c r="A12" s="7"/>
      <c r="B12" s="7"/>
      <c r="C12" s="7"/>
      <c r="D12" s="7"/>
      <c r="E12" s="7"/>
      <c r="F12" s="7">
        <v>5</v>
      </c>
      <c r="G12" s="7">
        <f t="shared" si="0"/>
        <v>2145.115274258922</v>
      </c>
      <c r="H12" s="7">
        <f t="shared" si="1"/>
        <v>11601.817253406523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x14ac:dyDescent="0.3">
      <c r="A13" s="7"/>
      <c r="B13" s="7"/>
      <c r="C13" s="7"/>
      <c r="D13" s="7"/>
      <c r="E13" s="7"/>
      <c r="F13" s="7">
        <v>6</v>
      </c>
      <c r="G13" s="7">
        <f t="shared" si="0"/>
        <v>2062.6108406335788</v>
      </c>
      <c r="H13" s="7">
        <f t="shared" si="1"/>
        <v>11155.593512890888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x14ac:dyDescent="0.3">
      <c r="A14" s="7"/>
      <c r="B14" s="7"/>
      <c r="C14" s="7"/>
      <c r="D14" s="7"/>
      <c r="E14" s="7"/>
      <c r="F14" s="7">
        <v>7</v>
      </c>
      <c r="G14" s="7">
        <f t="shared" si="0"/>
        <v>1983.2796544553644</v>
      </c>
      <c r="H14" s="7">
        <f t="shared" si="1"/>
        <v>10726.532223933547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x14ac:dyDescent="0.3">
      <c r="A15" s="7"/>
      <c r="D15" s="7"/>
      <c r="E15" s="7"/>
      <c r="F15" s="7">
        <v>8</v>
      </c>
      <c r="G15" s="7">
        <f t="shared" si="0"/>
        <v>1906.9996677455424</v>
      </c>
      <c r="H15" s="7">
        <f t="shared" si="1"/>
        <v>10313.973292243794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x14ac:dyDescent="0.3">
      <c r="A16" s="7"/>
      <c r="B16" s="7"/>
      <c r="C16" s="7"/>
      <c r="D16" s="7"/>
      <c r="E16" s="7"/>
      <c r="F16" s="7">
        <v>9</v>
      </c>
      <c r="G16" s="7">
        <f t="shared" si="0"/>
        <v>1833.653526678406</v>
      </c>
      <c r="H16" s="7">
        <f t="shared" si="1"/>
        <v>9917.282011772877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1763.1283910369289</v>
      </c>
      <c r="H17" s="7">
        <f t="shared" si="1"/>
        <v>9535.8480882431522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1695.3157606124316</v>
      </c>
      <c r="H18" s="7">
        <f t="shared" si="1"/>
        <v>9169.0847002337996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1630.1113082811839</v>
      </c>
      <c r="H19" s="7">
        <f t="shared" si="1"/>
        <v>8816.4275963786531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x14ac:dyDescent="0.3">
      <c r="A20" s="7"/>
      <c r="B20" s="25" t="s">
        <v>174</v>
      </c>
      <c r="C20" s="24">
        <f>'Electricity prod.'!N17</f>
        <v>46.710021568673135</v>
      </c>
      <c r="D20" s="7"/>
      <c r="E20" s="7"/>
      <c r="F20" s="7">
        <v>13</v>
      </c>
      <c r="G20" s="7">
        <f t="shared" si="0"/>
        <v>1567.4147195011385</v>
      </c>
      <c r="H20" s="7">
        <f t="shared" si="1"/>
        <v>8477.334227287165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1507.1295379818639</v>
      </c>
      <c r="H21" s="7">
        <f t="shared" si="1"/>
        <v>8151.2829108530441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1449.1630172902537</v>
      </c>
      <c r="H22" s="7">
        <f t="shared" si="1"/>
        <v>7837.7720296663883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SUM(C$25,-C$9,C$54,N$67,C53,C$38)/((1+C$2)^F23)</f>
        <v>9446.0396253014205</v>
      </c>
      <c r="H23" s="7">
        <f t="shared" si="1"/>
        <v>7536.3192592946034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1339.8326713112551</v>
      </c>
      <c r="H24" s="7">
        <f t="shared" si="1"/>
        <v>7246.4608262448101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3">
      <c r="A25" s="7"/>
      <c r="B25" s="25" t="s">
        <v>237</v>
      </c>
      <c r="C25" s="24">
        <f>C24*C5</f>
        <v>282.30769268942896</v>
      </c>
      <c r="D25" s="7"/>
      <c r="E25" s="7"/>
      <c r="F25" s="7">
        <v>18</v>
      </c>
      <c r="G25" s="7">
        <f t="shared" si="0"/>
        <v>1288.3006454915912</v>
      </c>
      <c r="H25" s="7">
        <f t="shared" si="1"/>
        <v>6967.7507944661629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1238.7506206649916</v>
      </c>
      <c r="H26" s="7">
        <f t="shared" si="1"/>
        <v>6699.7603792943873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1191.1063660240304</v>
      </c>
      <c r="H27" s="7">
        <f t="shared" si="1"/>
        <v>6442.077287783065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3">
      <c r="A31" s="7"/>
      <c r="B31" s="25" t="s">
        <v>179</v>
      </c>
      <c r="C31" s="24">
        <f>'Electricity prod.'!L25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3">
      <c r="A33" s="7"/>
      <c r="B33" s="25" t="s">
        <v>181</v>
      </c>
      <c r="C33" s="24">
        <f>C31*C30</f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3">
      <c r="A37" s="7"/>
      <c r="B37" s="25" t="s">
        <v>212</v>
      </c>
      <c r="C37" s="24">
        <f>sensitivity!P5</f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x14ac:dyDescent="0.3">
      <c r="A39" s="7"/>
      <c r="B39" s="25" t="s">
        <v>211</v>
      </c>
      <c r="C39" s="24">
        <f>C37*3.8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3">
      <c r="A48" s="7"/>
      <c r="B48" s="25" t="s">
        <v>184</v>
      </c>
      <c r="C48" s="44">
        <f>Cases!H29</f>
        <v>46.607642962901622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3">
      <c r="A50" s="7"/>
      <c r="B50" s="25" t="s">
        <v>221</v>
      </c>
      <c r="C50" s="24">
        <f>C48*C49</f>
        <v>12342.394340175801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3">
      <c r="A53" s="7"/>
      <c r="B53" s="25" t="s">
        <v>222</v>
      </c>
      <c r="C53" s="24">
        <f>C50+C52+C51</f>
        <v>15082.394340175801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3">
      <c r="A54" s="7"/>
      <c r="B54" s="25" t="s">
        <v>213</v>
      </c>
      <c r="C54" s="24">
        <f>C50*K78</f>
        <v>549.2716419697399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63145.355374736857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6508.04603232107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0.44122513345440612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6508.04603232107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195.2413809696321</v>
      </c>
      <c r="M67" s="27">
        <f>(M66/100)*M63</f>
        <v>446.09777965312514</v>
      </c>
      <c r="N67" s="28">
        <f>SUM(K67:M67)</f>
        <v>1578.2813897505216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>
        <v>0.5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  <c r="AI84" s="7"/>
      <c r="AJ84" s="7"/>
    </row>
    <row r="85" spans="1:36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 t="s">
        <v>46</v>
      </c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  <c r="AI85" s="7"/>
      <c r="AJ85" s="7"/>
    </row>
    <row r="86" spans="1:36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>
        <v>880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  <c r="AI86" s="7"/>
      <c r="AJ86" s="7"/>
    </row>
    <row r="87" spans="1:36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  <c r="AI87" s="7"/>
      <c r="AJ87" s="7"/>
    </row>
    <row r="88" spans="1:36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  <c r="AI88" s="7"/>
      <c r="AJ88" s="7"/>
    </row>
    <row r="89" spans="1:36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T88</f>
        <v>8505.8948407295466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  <c r="AI89" s="7"/>
      <c r="AJ89" s="7"/>
    </row>
    <row r="90" spans="1:36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255.4322774993858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  <c r="AI90" s="7"/>
      <c r="AJ90" s="7"/>
    </row>
    <row r="91" spans="1:36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10.846743387201784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  <c r="AI91" s="7"/>
      <c r="AJ91" s="7"/>
    </row>
    <row r="92" spans="1:36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6508.04603232107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  <c r="AI92" s="7"/>
      <c r="AJ92" s="7"/>
    </row>
    <row r="93" spans="1:36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  <c r="AI93" s="7"/>
      <c r="AJ93" s="7"/>
    </row>
    <row r="94" spans="1:36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  <c r="AI94" s="7"/>
      <c r="AJ94" s="7"/>
    </row>
    <row r="95" spans="1:36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  <c r="AI95" s="7"/>
      <c r="AJ95" s="7"/>
    </row>
    <row r="96" spans="1:36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255.4322774993858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  <c r="AI96" s="7"/>
      <c r="AJ96" s="7"/>
    </row>
    <row r="97" spans="1:36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  <c r="AI97" s="7"/>
      <c r="AJ97" s="7"/>
    </row>
    <row r="98" spans="1:36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  <c r="AI98" s="7"/>
      <c r="AJ98" s="7"/>
    </row>
    <row r="99" spans="1:36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  <c r="AI99" s="7"/>
      <c r="AJ99" s="7"/>
    </row>
    <row r="100" spans="1:36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10.846743387201784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  <c r="AI100" s="7"/>
      <c r="AJ100" s="7"/>
    </row>
    <row r="101" spans="1:36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7460-E68D-466F-91C6-B611458CA319}">
  <dimension ref="A1:AH102"/>
  <sheetViews>
    <sheetView workbookViewId="0">
      <selection activeCell="B9" sqref="B9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4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3">
      <c r="A5" s="7"/>
      <c r="B5" s="25" t="s">
        <v>188</v>
      </c>
      <c r="C5" s="79">
        <f>Cases!I37</f>
        <v>13769.576066616715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0.76033790053277706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142284.33695799543</v>
      </c>
      <c r="K6" s="7"/>
      <c r="L6" s="7"/>
      <c r="M6" s="7">
        <f>SUM(H8:H27)</f>
        <v>187133.03237717762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99202.381194504298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2488.0267378794551</v>
      </c>
      <c r="H8" s="7">
        <f>C$5/((1+C$2)^F8)</f>
        <v>13239.976987131457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2392.3334018071682</v>
      </c>
      <c r="H9" s="7">
        <f>C$5/((1+C$2)^F9)</f>
        <v>12730.747103011015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3">
      <c r="A10" s="7"/>
      <c r="D10" s="7"/>
      <c r="E10" s="7"/>
      <c r="F10" s="7">
        <v>3</v>
      </c>
      <c r="G10" s="7">
        <f t="shared" si="0"/>
        <v>2300.3205786607386</v>
      </c>
      <c r="H10" s="7">
        <f t="shared" ref="H10:H27" si="1">C$5/((1+C$2)^F10)</f>
        <v>12241.102983664437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3">
      <c r="A11" s="7"/>
      <c r="D11" s="7"/>
      <c r="E11" s="7"/>
      <c r="F11" s="7">
        <v>4</v>
      </c>
      <c r="G11" s="7">
        <f t="shared" si="0"/>
        <v>2211.8467102507102</v>
      </c>
      <c r="H11" s="7">
        <f t="shared" si="1"/>
        <v>11770.291330446573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3">
      <c r="A12" s="7"/>
      <c r="B12" s="7"/>
      <c r="C12" s="7"/>
      <c r="D12" s="7"/>
      <c r="E12" s="7"/>
      <c r="F12" s="7">
        <v>5</v>
      </c>
      <c r="G12" s="7">
        <f t="shared" si="0"/>
        <v>2126.7756829333748</v>
      </c>
      <c r="H12" s="7">
        <f t="shared" si="1"/>
        <v>11317.587817737089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3">
      <c r="A13" s="7"/>
      <c r="B13" s="7"/>
      <c r="C13" s="7"/>
      <c r="D13" s="7"/>
      <c r="E13" s="7"/>
      <c r="F13" s="7">
        <v>6</v>
      </c>
      <c r="G13" s="7">
        <f t="shared" si="0"/>
        <v>2044.9766182051681</v>
      </c>
      <c r="H13" s="7">
        <f t="shared" si="1"/>
        <v>10882.295978593354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3">
      <c r="A14" s="7"/>
      <c r="B14" s="7"/>
      <c r="C14" s="7"/>
      <c r="D14" s="7"/>
      <c r="E14" s="7"/>
      <c r="F14" s="7">
        <v>7</v>
      </c>
      <c r="G14" s="7">
        <f t="shared" si="0"/>
        <v>1966.3236713511233</v>
      </c>
      <c r="H14" s="7">
        <f t="shared" si="1"/>
        <v>10463.746133262843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3">
      <c r="A15" s="7"/>
      <c r="D15" s="7"/>
      <c r="E15" s="7"/>
      <c r="F15" s="7">
        <v>8</v>
      </c>
      <c r="G15" s="7">
        <f t="shared" si="0"/>
        <v>1890.6958378376182</v>
      </c>
      <c r="H15" s="7">
        <f t="shared" si="1"/>
        <v>10061.294358906576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3">
      <c r="A16" s="7"/>
      <c r="B16" s="7"/>
      <c r="C16" s="7"/>
      <c r="D16" s="7"/>
      <c r="E16" s="7"/>
      <c r="F16" s="7">
        <v>9</v>
      </c>
      <c r="G16" s="7">
        <f t="shared" si="0"/>
        <v>1817.9767671515558</v>
      </c>
      <c r="H16" s="7">
        <f t="shared" si="1"/>
        <v>9674.3214989486314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1748.054583799573</v>
      </c>
      <c r="H17" s="7">
        <f t="shared" si="1"/>
        <v>9302.2322105275307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1680.8217151918973</v>
      </c>
      <c r="H18" s="7">
        <f t="shared" si="1"/>
        <v>8944.4540485841644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1616.1747261460546</v>
      </c>
      <c r="H19" s="7">
        <f t="shared" si="1"/>
        <v>8600.4365851770781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3">
      <c r="A20" s="7"/>
      <c r="B20" s="25" t="s">
        <v>174</v>
      </c>
      <c r="C20" s="24">
        <f>'Electricity prod.'!N17</f>
        <v>46.710021568673135</v>
      </c>
      <c r="D20" s="7"/>
      <c r="E20" s="7"/>
      <c r="F20" s="7">
        <v>13</v>
      </c>
      <c r="G20" s="7">
        <f t="shared" si="0"/>
        <v>1554.0141597558218</v>
      </c>
      <c r="H20" s="7">
        <f t="shared" si="1"/>
        <v>8269.6505626702674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1494.2443843805979</v>
      </c>
      <c r="H21" s="7">
        <f t="shared" si="1"/>
        <v>7951.5870794906423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1436.7734465198057</v>
      </c>
      <c r="H22" s="7">
        <f t="shared" si="1"/>
        <v>7645.7568072025406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SUM(C$25,-C$9,C$54,N$67,C53,C$38)/((1+C$2)^F23)</f>
        <v>9297.8495571384501</v>
      </c>
      <c r="H23" s="7">
        <f t="shared" si="1"/>
        <v>7351.6892376947499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1328.377816678814</v>
      </c>
      <c r="H24" s="7">
        <f t="shared" si="1"/>
        <v>7068.9319593218743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3">
      <c r="A25" s="7"/>
      <c r="B25" s="25" t="s">
        <v>237</v>
      </c>
      <c r="C25" s="24">
        <f>C24*C5</f>
        <v>275.39152133233432</v>
      </c>
      <c r="D25" s="7"/>
      <c r="E25" s="7"/>
      <c r="F25" s="7">
        <v>18</v>
      </c>
      <c r="G25" s="7">
        <f t="shared" si="0"/>
        <v>1277.2863621911672</v>
      </c>
      <c r="H25" s="7">
        <f t="shared" si="1"/>
        <v>6797.0499608864166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1228.1599636453532</v>
      </c>
      <c r="H26" s="7">
        <f t="shared" si="1"/>
        <v>6535.6249623907861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1180.9230419666858</v>
      </c>
      <c r="H27" s="7">
        <f t="shared" si="1"/>
        <v>6284.2547715296014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3">
      <c r="A31" s="7"/>
      <c r="B31" s="25" t="s">
        <v>179</v>
      </c>
      <c r="C31" s="24">
        <f>'Electricity prod.'!L25</f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3">
      <c r="A33" s="7"/>
      <c r="B33" s="25" t="s">
        <v>181</v>
      </c>
      <c r="C33" s="24">
        <f>C31*C30</f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3">
      <c r="A37" s="7"/>
      <c r="B37" s="25" t="s">
        <v>212</v>
      </c>
      <c r="C37" s="24">
        <f>sensitivity!P5</f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3">
      <c r="A39" s="7"/>
      <c r="B39" s="25" t="s">
        <v>211</v>
      </c>
      <c r="C39" s="24">
        <f>C37*3.8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3">
      <c r="A48" s="7"/>
      <c r="B48" s="25" t="s">
        <v>184</v>
      </c>
      <c r="C48" s="44">
        <f>Cases!I29</f>
        <v>45.643783362993219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3">
      <c r="A50" s="7"/>
      <c r="B50" s="25" t="s">
        <v>221</v>
      </c>
      <c r="C50" s="24">
        <f>C48*C49</f>
        <v>12087.150038718575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3">
      <c r="A53" s="7"/>
      <c r="B53" s="25" t="s">
        <v>222</v>
      </c>
      <c r="C53" s="24">
        <f>C50+C52+C51</f>
        <v>14827.150038718575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3">
      <c r="A54" s="7"/>
      <c r="B54" s="25" t="s">
        <v>213</v>
      </c>
      <c r="C54" s="24">
        <f>C50*K78</f>
        <v>537.91254480425164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62601.821958841363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6373.4577492385843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0.43997690327166794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6373.4577492385843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191.20373247715753</v>
      </c>
      <c r="M67" s="27">
        <f>(M66/100)*M63</f>
        <v>446.09777965312514</v>
      </c>
      <c r="N67" s="28">
        <f>SUM(K67:M67)</f>
        <v>1574.2437412580471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>
        <v>0.5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</row>
    <row r="85" spans="1:34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 t="s">
        <v>46</v>
      </c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</row>
    <row r="86" spans="1:34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>
        <v>880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</row>
    <row r="87" spans="1:34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</row>
    <row r="88" spans="1:34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</row>
    <row r="89" spans="1:34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U88</f>
        <v>8329.9904637462623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</row>
    <row r="90" spans="1:34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250.14986377616407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</row>
    <row r="91" spans="1:34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10.622429582064306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</row>
    <row r="92" spans="1:34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6373.4577492385843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</row>
    <row r="93" spans="1:34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</row>
    <row r="94" spans="1:34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</row>
    <row r="95" spans="1:34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</row>
    <row r="96" spans="1:34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250.14986377616407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</row>
    <row r="97" spans="1:34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</row>
    <row r="98" spans="1:34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</row>
    <row r="99" spans="1:34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</row>
    <row r="100" spans="1:34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10.622429582064306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</row>
    <row r="101" spans="1:34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0811-0F3C-4D80-B726-F149BC0E9EC0}">
  <dimension ref="A1:AH118"/>
  <sheetViews>
    <sheetView workbookViewId="0">
      <selection activeCell="B8" sqref="B8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4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3">
      <c r="A5" s="7"/>
      <c r="B5" s="25" t="s">
        <v>188</v>
      </c>
      <c r="C5" s="79">
        <f>Cases!J37</f>
        <v>17043.490892093345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0.64186900331921026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148673.93699021076</v>
      </c>
      <c r="K6" s="7"/>
      <c r="L6" s="7"/>
      <c r="M6" s="7">
        <f>SUM(H8:H27)</f>
        <v>231626.60328103296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3">
      <c r="A7" s="7"/>
      <c r="B7" s="227"/>
      <c r="C7" s="228"/>
      <c r="D7" s="7"/>
      <c r="E7" s="7"/>
      <c r="F7" s="7">
        <v>2050</v>
      </c>
      <c r="G7" s="43">
        <f>SUM(C22,C33,C53,K63,L63,M63,K65,L65,M65,C37)</f>
        <v>102117.93807822262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3">
      <c r="A8" s="7"/>
      <c r="B8" s="227"/>
      <c r="C8" s="228"/>
      <c r="D8" s="7"/>
      <c r="E8" s="7"/>
      <c r="F8" s="7">
        <v>1</v>
      </c>
      <c r="G8" s="7">
        <f>SUM(C$25,$C$9,C$54,N$67,C$38)/((1+C$2)^F8)</f>
        <v>2661.7099274521233</v>
      </c>
      <c r="H8" s="7">
        <f>C$5/((1+C$2)^F8)</f>
        <v>16387.972011628215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3">
      <c r="A9" s="7"/>
      <c r="B9" s="227"/>
      <c r="C9" s="227"/>
      <c r="D9" s="7"/>
      <c r="E9" s="7"/>
      <c r="F9" s="7">
        <v>2</v>
      </c>
      <c r="G9" s="7">
        <f t="shared" ref="G9:G27" si="0">SUM(C$25,$C$9,C$54,N$67,C$38)/((1+C$2)^F9)</f>
        <v>2559.3364687039643</v>
      </c>
      <c r="H9" s="7">
        <f>C$5/((1+C$2)^F9)</f>
        <v>15757.665395796361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3">
      <c r="A10" s="7"/>
      <c r="D10" s="7"/>
      <c r="E10" s="7"/>
      <c r="F10" s="7">
        <v>3</v>
      </c>
      <c r="G10" s="7">
        <f t="shared" si="0"/>
        <v>2460.9004506768892</v>
      </c>
      <c r="H10" s="7">
        <f t="shared" ref="H10:H27" si="1">C$5/((1+C$2)^F10)</f>
        <v>15151.601342111886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3">
      <c r="A11" s="7"/>
      <c r="D11" s="7"/>
      <c r="E11" s="7"/>
      <c r="F11" s="7">
        <v>4</v>
      </c>
      <c r="G11" s="7">
        <f t="shared" si="0"/>
        <v>2366.2504333431625</v>
      </c>
      <c r="H11" s="7">
        <f t="shared" si="1"/>
        <v>14568.847444338349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3">
      <c r="A12" s="7"/>
      <c r="B12" s="7"/>
      <c r="C12" s="7"/>
      <c r="D12" s="7"/>
      <c r="E12" s="7"/>
      <c r="F12" s="7">
        <v>5</v>
      </c>
      <c r="G12" s="7">
        <f t="shared" si="0"/>
        <v>2275.2408012915021</v>
      </c>
      <c r="H12" s="7">
        <f t="shared" si="1"/>
        <v>14008.507158017643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3">
      <c r="A13" s="7"/>
      <c r="B13" s="7"/>
      <c r="C13" s="7"/>
      <c r="D13" s="7"/>
      <c r="E13" s="7"/>
      <c r="F13" s="7">
        <v>6</v>
      </c>
      <c r="G13" s="7">
        <f t="shared" si="0"/>
        <v>2187.7315397033672</v>
      </c>
      <c r="H13" s="7">
        <f t="shared" si="1"/>
        <v>13469.71842117081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3">
      <c r="A14" s="7"/>
      <c r="B14" s="7"/>
      <c r="C14" s="7"/>
      <c r="D14" s="7"/>
      <c r="E14" s="7"/>
      <c r="F14" s="7">
        <v>7</v>
      </c>
      <c r="G14" s="7">
        <f t="shared" si="0"/>
        <v>2103.5880189455456</v>
      </c>
      <c r="H14" s="7">
        <f t="shared" si="1"/>
        <v>12951.652328048856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3">
      <c r="A15" s="7"/>
      <c r="D15" s="7"/>
      <c r="E15" s="7"/>
      <c r="F15" s="7">
        <v>8</v>
      </c>
      <c r="G15" s="7">
        <f t="shared" si="0"/>
        <v>2022.6807874476397</v>
      </c>
      <c r="H15" s="7">
        <f t="shared" si="1"/>
        <v>12453.511853893129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3">
      <c r="A16" s="7"/>
      <c r="B16" s="7"/>
      <c r="C16" s="7"/>
      <c r="D16" s="7"/>
      <c r="E16" s="7"/>
      <c r="F16" s="7">
        <v>9</v>
      </c>
      <c r="G16" s="7">
        <f t="shared" si="0"/>
        <v>1944.8853725458073</v>
      </c>
      <c r="H16" s="7">
        <f t="shared" si="1"/>
        <v>11974.530628743392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1870.082088986353</v>
      </c>
      <c r="H17" s="7">
        <f t="shared" si="1"/>
        <v>11513.971758407108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1798.1558547945704</v>
      </c>
      <c r="H18" s="7">
        <f t="shared" si="1"/>
        <v>11071.126690776067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1728.9960142255482</v>
      </c>
      <c r="H19" s="7">
        <f t="shared" si="1"/>
        <v>10645.314125746216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3">
      <c r="A20" s="7"/>
      <c r="B20" s="25" t="s">
        <v>174</v>
      </c>
      <c r="C20" s="24">
        <f>'Electricity prod.'!N17</f>
        <v>46.710021568673135</v>
      </c>
      <c r="D20" s="7"/>
      <c r="E20" s="7"/>
      <c r="F20" s="7">
        <v>13</v>
      </c>
      <c r="G20" s="7">
        <f t="shared" si="0"/>
        <v>1662.4961675245654</v>
      </c>
      <c r="H20" s="7">
        <f t="shared" si="1"/>
        <v>10235.878967063669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3">
      <c r="A21" s="7"/>
      <c r="B21" s="25" t="s">
        <v>175</v>
      </c>
      <c r="C21" s="24">
        <f>'Electricity prod.'!M17</f>
        <v>126.11705823541747</v>
      </c>
      <c r="D21" s="7"/>
      <c r="E21" s="7"/>
      <c r="F21" s="7">
        <v>14</v>
      </c>
      <c r="G21" s="7">
        <f t="shared" si="0"/>
        <v>1598.5540072351591</v>
      </c>
      <c r="H21" s="7">
        <f t="shared" si="1"/>
        <v>9842.1913144842965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1537.0711608030376</v>
      </c>
      <c r="H22" s="7">
        <f t="shared" si="1"/>
        <v>9463.6454946964386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SUM(C$25,-C$9,C$54,N$67,C53,C$38)/((1+C$2)^F23)</f>
        <v>10413.505139518669</v>
      </c>
      <c r="H23" s="7">
        <f t="shared" si="1"/>
        <v>9099.659129515805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1421.1086915708556</v>
      </c>
      <c r="H24" s="7">
        <f t="shared" si="1"/>
        <v>8749.6722399190439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3">
      <c r="A25" s="7"/>
      <c r="B25" s="25" t="s">
        <v>237</v>
      </c>
      <c r="C25" s="24">
        <f>C24*C5</f>
        <v>340.8698178418669</v>
      </c>
      <c r="D25" s="7"/>
      <c r="E25" s="7"/>
      <c r="F25" s="7">
        <v>18</v>
      </c>
      <c r="G25" s="7">
        <f t="shared" si="0"/>
        <v>1366.4506649719763</v>
      </c>
      <c r="H25" s="7">
        <f t="shared" si="1"/>
        <v>8413.1463845375401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3">
      <c r="A26" s="7"/>
      <c r="B26" s="25" t="s">
        <v>236</v>
      </c>
      <c r="C26" s="24">
        <f>C24*C7</f>
        <v>0</v>
      </c>
      <c r="D26" s="7"/>
      <c r="E26" s="7"/>
      <c r="F26" s="7">
        <v>19</v>
      </c>
      <c r="G26" s="7">
        <f t="shared" si="0"/>
        <v>1313.8948701653619</v>
      </c>
      <c r="H26" s="7">
        <f t="shared" si="1"/>
        <v>8089.5638312860974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5" thickBot="1" x14ac:dyDescent="0.35">
      <c r="A27" s="7"/>
      <c r="B27" s="26" t="s">
        <v>235</v>
      </c>
      <c r="C27" s="28">
        <v>0</v>
      </c>
      <c r="D27" s="7"/>
      <c r="E27" s="7"/>
      <c r="F27" s="7">
        <v>20</v>
      </c>
      <c r="G27" s="7">
        <f t="shared" si="0"/>
        <v>1263.3604520820788</v>
      </c>
      <c r="H27" s="7">
        <f t="shared" si="1"/>
        <v>7778.4267608520167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3">
      <c r="A28" s="7"/>
      <c r="B28" s="7"/>
      <c r="C28" s="7"/>
      <c r="D28" s="7"/>
      <c r="E28" s="7"/>
      <c r="F28" s="7">
        <v>21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5" thickBot="1" x14ac:dyDescent="0.35">
      <c r="A29" s="7"/>
      <c r="B29" s="7"/>
      <c r="C29" s="7"/>
      <c r="D29" s="7"/>
      <c r="E29" s="7"/>
      <c r="F29" s="7">
        <v>22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3">
      <c r="A30" s="7"/>
      <c r="B30" s="29" t="s">
        <v>178</v>
      </c>
      <c r="C30" s="23">
        <f>C19</f>
        <v>200</v>
      </c>
      <c r="D30" s="7"/>
      <c r="E30" s="7"/>
      <c r="F30" s="7">
        <v>23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3">
      <c r="A31" s="7"/>
      <c r="B31" s="25" t="s">
        <v>179</v>
      </c>
      <c r="C31" s="24">
        <f>'Electricity prod.'!L25</f>
        <v>0</v>
      </c>
      <c r="D31" s="7"/>
      <c r="E31" s="7"/>
      <c r="F31" s="7">
        <v>24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3">
      <c r="A32" s="7"/>
      <c r="B32" s="25" t="s">
        <v>180</v>
      </c>
      <c r="C32" s="24">
        <f>'rooftopfacade area'!D22</f>
        <v>67.666666666666657</v>
      </c>
      <c r="D32" s="7"/>
      <c r="E32" s="7"/>
      <c r="F32" s="7">
        <v>25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3">
      <c r="A33" s="7"/>
      <c r="B33" s="25" t="s">
        <v>181</v>
      </c>
      <c r="C33" s="24">
        <f>C31*C30</f>
        <v>0</v>
      </c>
      <c r="D33" s="7"/>
      <c r="E33" s="7"/>
      <c r="F33" s="7">
        <v>26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" thickBot="1" x14ac:dyDescent="0.35">
      <c r="A34" s="7"/>
      <c r="B34" s="26" t="s">
        <v>182</v>
      </c>
      <c r="C34" s="28">
        <f>C30*C32</f>
        <v>13533.333333333332</v>
      </c>
      <c r="D34" s="7"/>
      <c r="E34" s="7"/>
      <c r="F34" s="7">
        <v>27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5" thickBot="1" x14ac:dyDescent="0.35">
      <c r="A35" s="7"/>
      <c r="B35" s="7"/>
      <c r="C35" s="7"/>
      <c r="D35" s="7"/>
      <c r="E35" s="7"/>
      <c r="F35" s="7">
        <v>28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3">
      <c r="A36" s="7"/>
      <c r="B36" s="29" t="s">
        <v>172</v>
      </c>
      <c r="C36" s="23"/>
      <c r="D36" s="7"/>
      <c r="E36" s="7"/>
      <c r="F36" s="7">
        <v>29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3">
      <c r="A37" s="7"/>
      <c r="B37" s="25" t="s">
        <v>212</v>
      </c>
      <c r="C37" s="24">
        <f>sensitivity!P5</f>
        <v>36000</v>
      </c>
      <c r="D37" s="7"/>
      <c r="E37" s="7"/>
      <c r="F37" s="7">
        <v>30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3">
      <c r="A38" s="7"/>
      <c r="B38" s="25" t="s">
        <v>210</v>
      </c>
      <c r="C38" s="24">
        <v>200</v>
      </c>
      <c r="D38" s="7"/>
      <c r="E38" s="7"/>
      <c r="F38" s="7">
        <v>31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3">
      <c r="A39" s="7"/>
      <c r="B39" s="25" t="s">
        <v>211</v>
      </c>
      <c r="C39" s="24">
        <f>C37*3.8</f>
        <v>136800</v>
      </c>
      <c r="D39" s="7"/>
      <c r="E39" s="7"/>
      <c r="F39" s="7">
        <v>32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5" thickBot="1" x14ac:dyDescent="0.35">
      <c r="A40" s="7"/>
      <c r="B40" s="26" t="s">
        <v>238</v>
      </c>
      <c r="C40" s="28">
        <v>20</v>
      </c>
      <c r="D40" s="7"/>
      <c r="E40" s="7"/>
      <c r="F40" s="7">
        <v>33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3">
      <c r="A41" s="7"/>
      <c r="B41" s="7"/>
      <c r="C41" s="7"/>
      <c r="D41" s="7"/>
      <c r="E41" s="7"/>
      <c r="F41" s="7">
        <v>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3">
      <c r="A42" s="7"/>
      <c r="B42" s="7"/>
      <c r="C42" s="7"/>
      <c r="D42" s="7"/>
      <c r="E42" s="7"/>
      <c r="F42" s="7">
        <v>35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3">
      <c r="A43" s="7"/>
      <c r="B43" s="7"/>
      <c r="C43" s="7"/>
      <c r="D43" s="7"/>
      <c r="E43" s="7"/>
      <c r="F43" s="7">
        <v>36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3">
      <c r="A44" s="7"/>
      <c r="B44" s="7"/>
      <c r="C44" s="7"/>
      <c r="D44" s="7"/>
      <c r="E44" s="7"/>
      <c r="F44" s="7">
        <v>37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3">
      <c r="A45" s="7"/>
      <c r="B45" s="7"/>
      <c r="C45" s="7"/>
      <c r="D45" s="7"/>
      <c r="E45" s="7"/>
      <c r="F45" s="7">
        <v>38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5" thickBot="1" x14ac:dyDescent="0.35">
      <c r="A46" s="7"/>
      <c r="B46" s="46" t="s">
        <v>185</v>
      </c>
      <c r="C46" s="7"/>
      <c r="D46" s="7"/>
      <c r="E46" s="7"/>
      <c r="F46" s="7">
        <v>39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3">
      <c r="A47" s="7"/>
      <c r="B47" s="39" t="s">
        <v>183</v>
      </c>
      <c r="C47" s="23"/>
      <c r="D47" s="7"/>
      <c r="E47" s="7"/>
      <c r="F47" s="7">
        <v>40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3">
      <c r="A48" s="7"/>
      <c r="B48" s="25" t="s">
        <v>184</v>
      </c>
      <c r="C48" s="44">
        <f>Cases!J29</f>
        <v>52.852486798518051</v>
      </c>
      <c r="D48" s="7"/>
      <c r="E48" s="7"/>
      <c r="F48" s="7">
        <v>41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3">
      <c r="A49" s="7"/>
      <c r="B49" s="25" t="s">
        <v>186</v>
      </c>
      <c r="C49" s="24">
        <f>N79</f>
        <v>264.81481481481484</v>
      </c>
      <c r="D49" s="7"/>
      <c r="E49" s="7"/>
      <c r="F49" s="7">
        <v>42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3">
      <c r="A50" s="7"/>
      <c r="B50" s="25" t="s">
        <v>221</v>
      </c>
      <c r="C50" s="24">
        <f>C48*C49</f>
        <v>13996.121504052004</v>
      </c>
      <c r="D50" s="7"/>
      <c r="E50" s="7"/>
      <c r="F50" s="7">
        <v>43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3">
      <c r="A51" s="7"/>
      <c r="B51" s="25" t="s">
        <v>276</v>
      </c>
      <c r="C51" s="24">
        <v>2000</v>
      </c>
      <c r="D51" s="7"/>
      <c r="E51" s="7"/>
      <c r="F51" s="7">
        <v>44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3">
      <c r="A52" s="7"/>
      <c r="B52" s="25" t="s">
        <v>220</v>
      </c>
      <c r="C52" s="24">
        <f>N80</f>
        <v>740</v>
      </c>
      <c r="D52" s="7"/>
      <c r="E52" s="7"/>
      <c r="F52" s="7">
        <v>45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3">
      <c r="A53" s="7"/>
      <c r="B53" s="25" t="s">
        <v>222</v>
      </c>
      <c r="C53" s="24">
        <f>C50+C52+C51</f>
        <v>16736.121504052004</v>
      </c>
      <c r="D53" s="7"/>
      <c r="E53" s="7"/>
      <c r="F53" s="7">
        <v>46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3">
      <c r="A54" s="7"/>
      <c r="B54" s="25" t="s">
        <v>213</v>
      </c>
      <c r="C54" s="24">
        <f>C50*K78</f>
        <v>622.86720289874722</v>
      </c>
      <c r="D54" s="7"/>
      <c r="E54" s="7"/>
      <c r="F54" s="7">
        <v>47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5" thickBot="1" x14ac:dyDescent="0.35">
      <c r="A55" s="7"/>
      <c r="B55" s="26" t="s">
        <v>223</v>
      </c>
      <c r="C55" s="28">
        <v>15</v>
      </c>
      <c r="D55" s="7"/>
      <c r="E55" s="7"/>
      <c r="F55" s="7">
        <v>48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66666.906959665939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7380.0431676234903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6.2*(1/3)</f>
        <v>2.0666666666666664</v>
      </c>
      <c r="I60" s="7"/>
      <c r="J60" s="25"/>
      <c r="K60" s="7"/>
      <c r="L60" s="7"/>
      <c r="M60" s="7"/>
      <c r="N60" s="24"/>
      <c r="O60" s="7"/>
      <c r="P60" s="26">
        <f>P58/J6</f>
        <v>0.44841018075720651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5721.5169910307404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13382.933389593754</v>
      </c>
      <c r="I63" s="7"/>
      <c r="J63" s="31" t="s">
        <v>266</v>
      </c>
      <c r="K63" s="7">
        <f>C67*$K$57</f>
        <v>18738.844582555288</v>
      </c>
      <c r="L63" s="7">
        <f>L57*F59</f>
        <v>7380.0431676234903</v>
      </c>
      <c r="M63" s="7">
        <f>H63*$M$57</f>
        <v>4460.9777965312514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3">
      <c r="A64" s="7"/>
      <c r="B64" s="25"/>
      <c r="C64" s="45">
        <f>C59*C62^C60</f>
        <v>4939.6552336830173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4014.8800168781263</v>
      </c>
      <c r="I65" s="7"/>
      <c r="J65" s="31" t="s">
        <v>267</v>
      </c>
      <c r="K65" s="7">
        <f>(K64/100)*K63</f>
        <v>5621.6533747665862</v>
      </c>
      <c r="L65" s="43">
        <f>F61</f>
        <v>2500</v>
      </c>
      <c r="M65" s="7">
        <f>(M64/100)*M63</f>
        <v>1338.2933389593754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3">
      <c r="A66" s="7"/>
      <c r="B66" s="25" t="s">
        <v>228</v>
      </c>
      <c r="C66" s="45">
        <f>C64*C62</f>
        <v>23875.000296134582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5" thickBot="1" x14ac:dyDescent="0.35">
      <c r="A67" s="7"/>
      <c r="B67" s="25" t="s">
        <v>229</v>
      </c>
      <c r="C67" s="46">
        <f>G100*C65</f>
        <v>28108.266873832934</v>
      </c>
      <c r="D67" s="7"/>
      <c r="E67" s="7" t="s">
        <v>241</v>
      </c>
      <c r="F67" s="7">
        <v>3</v>
      </c>
      <c r="G67" s="7" t="s">
        <v>268</v>
      </c>
      <c r="H67" s="47">
        <f>(H66/100)*H63</f>
        <v>1338.2933389593754</v>
      </c>
      <c r="I67" s="7"/>
      <c r="J67" s="49" t="s">
        <v>268</v>
      </c>
      <c r="K67" s="27">
        <f>(K66/100)*K63</f>
        <v>936.94222912776445</v>
      </c>
      <c r="L67" s="27">
        <f>(L66/100)*L63</f>
        <v>221.40129502870471</v>
      </c>
      <c r="M67" s="27">
        <f>(M66/100)*M63</f>
        <v>446.09777965312514</v>
      </c>
      <c r="N67" s="28">
        <f>SUM(K67:M67)</f>
        <v>1604.4413038095943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3">
      <c r="A69" s="7"/>
      <c r="B69" s="25"/>
      <c r="C69" s="46">
        <f>(C68/100)*C67</f>
        <v>8432.4800621498798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15" thickBot="1" x14ac:dyDescent="0.35">
      <c r="A71" s="7"/>
      <c r="B71" s="26" t="s">
        <v>201</v>
      </c>
      <c r="C71" s="50">
        <f>(C70/100)*C67</f>
        <v>1405.4133436916468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>
        <v>0.5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2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3"/>
      <c r="AG84" s="7"/>
      <c r="AH84" s="7"/>
    </row>
    <row r="85" spans="1:34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 t="s">
        <v>46</v>
      </c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24"/>
      <c r="AG85" s="7"/>
      <c r="AH85" s="7"/>
    </row>
    <row r="86" spans="1:34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>
        <v>880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24"/>
      <c r="AG86" s="7"/>
      <c r="AH86" s="7"/>
    </row>
    <row r="87" spans="1:34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24"/>
      <c r="AG87" s="7"/>
      <c r="AH87" s="7"/>
    </row>
    <row r="88" spans="1:34" x14ac:dyDescent="0.3">
      <c r="A88" s="7"/>
      <c r="B88" s="7"/>
      <c r="C88" s="25">
        <v>2006</v>
      </c>
      <c r="D88" s="7">
        <v>2.21</v>
      </c>
      <c r="E88" s="7">
        <f t="shared" ref="E88:E100" si="3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24"/>
      <c r="AG88" s="7"/>
      <c r="AH88" s="7"/>
    </row>
    <row r="89" spans="1:34" x14ac:dyDescent="0.3">
      <c r="A89" s="7"/>
      <c r="B89" s="7"/>
      <c r="C89" s="25">
        <v>2007</v>
      </c>
      <c r="D89" s="7">
        <v>2.16</v>
      </c>
      <c r="E89" s="7">
        <f t="shared" si="3"/>
        <v>2.1600000000000001E-2</v>
      </c>
      <c r="F89" s="7">
        <f t="shared" ref="F89:F100" si="4">F88+F88*E89</f>
        <v>24.331003171776</v>
      </c>
      <c r="G89" s="7"/>
      <c r="H89" s="24"/>
      <c r="I89" s="7"/>
      <c r="J89" s="7"/>
      <c r="K89" s="34" t="s">
        <v>264</v>
      </c>
      <c r="L89" s="84">
        <f>V88</f>
        <v>9645.578840729544</v>
      </c>
      <c r="M89" s="36" t="s">
        <v>168</v>
      </c>
      <c r="N89" s="7"/>
      <c r="O89" s="7">
        <f>O88/$M86</f>
        <v>9580.1704293571729</v>
      </c>
      <c r="P89" s="7">
        <f t="shared" ref="P89:AE89" si="5">P88/$M86</f>
        <v>11367.654637214893</v>
      </c>
      <c r="Q89" s="7">
        <f t="shared" si="5"/>
        <v>11128.654125009347</v>
      </c>
      <c r="R89" s="7">
        <f t="shared" si="5"/>
        <v>12916.138332867064</v>
      </c>
      <c r="S89" s="7">
        <f t="shared" si="5"/>
        <v>9769.4381300900332</v>
      </c>
      <c r="T89" s="7">
        <f t="shared" si="5"/>
        <v>11556.922337947752</v>
      </c>
      <c r="U89" s="7">
        <f t="shared" si="5"/>
        <v>11317.921825742204</v>
      </c>
      <c r="V89" s="7">
        <f t="shared" si="5"/>
        <v>13105.406033599922</v>
      </c>
      <c r="W89" s="7"/>
      <c r="X89" s="7">
        <f t="shared" si="5"/>
        <v>40288.521709622059</v>
      </c>
      <c r="Y89" s="7">
        <f t="shared" si="5"/>
        <v>47589.20955455074</v>
      </c>
      <c r="Z89" s="7">
        <f t="shared" si="5"/>
        <v>46020.889236795971</v>
      </c>
      <c r="AA89" s="7">
        <f t="shared" si="5"/>
        <v>53321.577081724659</v>
      </c>
      <c r="AB89" s="7">
        <f t="shared" si="5"/>
        <v>40795.086481955143</v>
      </c>
      <c r="AC89" s="7">
        <f t="shared" si="5"/>
        <v>48095.774326883831</v>
      </c>
      <c r="AD89" s="7">
        <f t="shared" si="5"/>
        <v>46527.454009129062</v>
      </c>
      <c r="AE89" s="7">
        <f t="shared" si="5"/>
        <v>53828.141854057751</v>
      </c>
      <c r="AF89" s="24"/>
      <c r="AG89" s="7"/>
      <c r="AH89" s="7"/>
    </row>
    <row r="90" spans="1:34" x14ac:dyDescent="0.3">
      <c r="A90" s="7"/>
      <c r="B90" s="7"/>
      <c r="C90" s="25">
        <v>2008</v>
      </c>
      <c r="D90" s="7">
        <v>3.35</v>
      </c>
      <c r="E90" s="7">
        <f t="shared" si="3"/>
        <v>3.3500000000000002E-2</v>
      </c>
      <c r="F90" s="7">
        <f t="shared" si="4"/>
        <v>25.146091778030495</v>
      </c>
      <c r="G90" s="7"/>
      <c r="H90" s="24"/>
      <c r="I90" s="7"/>
      <c r="J90" s="7"/>
      <c r="K90" s="34"/>
      <c r="L90" s="35">
        <f>L89/L93</f>
        <v>289.65702224413047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4"/>
      <c r="AG90" s="7"/>
      <c r="AH90" s="7"/>
    </row>
    <row r="91" spans="1:34" x14ac:dyDescent="0.3">
      <c r="A91" s="7"/>
      <c r="B91" s="7"/>
      <c r="C91" s="25">
        <v>2009</v>
      </c>
      <c r="D91" s="7">
        <v>0.32</v>
      </c>
      <c r="E91" s="7">
        <f t="shared" si="3"/>
        <v>3.2000000000000002E-3</v>
      </c>
      <c r="F91" s="7">
        <f t="shared" si="4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12.30007194603915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4"/>
      <c r="AG91" s="7"/>
      <c r="AH91" s="7"/>
    </row>
    <row r="92" spans="1:34" ht="15" thickBot="1" x14ac:dyDescent="0.35">
      <c r="A92" s="7"/>
      <c r="B92" s="7"/>
      <c r="C92" s="25">
        <v>2010</v>
      </c>
      <c r="D92" s="7">
        <v>1.61</v>
      </c>
      <c r="E92" s="7">
        <f t="shared" si="3"/>
        <v>1.61E-2</v>
      </c>
      <c r="F92" s="7">
        <f t="shared" si="4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7380.0431676234903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4"/>
      <c r="AG92" s="7"/>
      <c r="AH92" s="7"/>
    </row>
    <row r="93" spans="1:34" x14ac:dyDescent="0.3">
      <c r="A93" s="7"/>
      <c r="B93" s="7"/>
      <c r="C93" s="25">
        <v>2011</v>
      </c>
      <c r="D93" s="7">
        <v>2.72</v>
      </c>
      <c r="E93" s="7">
        <f t="shared" si="3"/>
        <v>2.7200000000000002E-2</v>
      </c>
      <c r="F93" s="7">
        <f t="shared" si="4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4"/>
      <c r="AG93" s="7"/>
      <c r="AH93" s="7"/>
    </row>
    <row r="94" spans="1:34" ht="15" thickBot="1" x14ac:dyDescent="0.35">
      <c r="A94" s="7"/>
      <c r="B94" s="7"/>
      <c r="C94" s="25">
        <v>2012</v>
      </c>
      <c r="D94" s="7">
        <v>2.5</v>
      </c>
      <c r="E94" s="7">
        <f t="shared" si="3"/>
        <v>2.5000000000000001E-2</v>
      </c>
      <c r="F94" s="7">
        <f t="shared" si="4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4"/>
      <c r="AG94" s="7"/>
      <c r="AH94" s="7"/>
    </row>
    <row r="95" spans="1:34" x14ac:dyDescent="0.3">
      <c r="A95" s="7"/>
      <c r="B95" s="7"/>
      <c r="C95" s="25">
        <v>2013</v>
      </c>
      <c r="D95" s="7">
        <v>1.35</v>
      </c>
      <c r="E95" s="7">
        <f t="shared" si="3"/>
        <v>1.3500000000000002E-2</v>
      </c>
      <c r="F95" s="7">
        <f>F94+F94*E95</f>
        <v>27.35250463520806</v>
      </c>
      <c r="G95" s="7">
        <f>C66</f>
        <v>23875.000296134582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4"/>
      <c r="AG95" s="7"/>
      <c r="AH95" s="7"/>
    </row>
    <row r="96" spans="1:34" x14ac:dyDescent="0.3">
      <c r="A96" s="7"/>
      <c r="B96" s="7"/>
      <c r="C96" s="25">
        <v>2014</v>
      </c>
      <c r="D96" s="7">
        <v>0.43</v>
      </c>
      <c r="E96" s="7">
        <f t="shared" si="3"/>
        <v>4.3E-3</v>
      </c>
      <c r="F96" s="7">
        <f t="shared" si="4"/>
        <v>27.470120405139454</v>
      </c>
      <c r="G96" s="7">
        <f>G95+G95*E96</f>
        <v>23977.66279740796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289.65702224413047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4"/>
      <c r="AG96" s="7"/>
      <c r="AH96" s="7"/>
    </row>
    <row r="97" spans="1:34" x14ac:dyDescent="0.3">
      <c r="A97" s="7"/>
      <c r="B97" s="7"/>
      <c r="C97" s="25">
        <v>2015</v>
      </c>
      <c r="D97" s="7">
        <v>0.03</v>
      </c>
      <c r="E97" s="7">
        <f t="shared" si="3"/>
        <v>2.9999999999999997E-4</v>
      </c>
      <c r="F97" s="7">
        <f t="shared" si="4"/>
        <v>27.478361441260997</v>
      </c>
      <c r="G97" s="7">
        <f t="shared" ref="G97:G99" si="6">G96+G96*E97</f>
        <v>23984.856096247182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4"/>
      <c r="AG97" s="7"/>
      <c r="AH97" s="7"/>
    </row>
    <row r="98" spans="1:34" x14ac:dyDescent="0.3">
      <c r="A98" s="7"/>
      <c r="B98" s="7"/>
      <c r="C98" s="25">
        <v>2016</v>
      </c>
      <c r="D98" s="7">
        <v>0.24</v>
      </c>
      <c r="E98" s="7">
        <f t="shared" si="3"/>
        <v>2.3999999999999998E-3</v>
      </c>
      <c r="F98" s="7">
        <f t="shared" si="4"/>
        <v>27.544309508720023</v>
      </c>
      <c r="G98" s="7">
        <f t="shared" si="6"/>
        <v>24042.419750878176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4"/>
      <c r="AG98" s="7"/>
      <c r="AH98" s="7"/>
    </row>
    <row r="99" spans="1:34" x14ac:dyDescent="0.3">
      <c r="A99" s="7"/>
      <c r="B99" s="7"/>
      <c r="C99" s="25">
        <v>2017</v>
      </c>
      <c r="D99" s="7">
        <v>1.54</v>
      </c>
      <c r="E99" s="7">
        <f t="shared" si="3"/>
        <v>1.54E-2</v>
      </c>
      <c r="F99" s="7">
        <f t="shared" si="4"/>
        <v>27.96849187515431</v>
      </c>
      <c r="G99" s="7">
        <f t="shared" si="6"/>
        <v>24412.673015041699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4"/>
      <c r="AG99" s="7"/>
      <c r="AH99" s="7"/>
    </row>
    <row r="100" spans="1:34" ht="15" thickBot="1" x14ac:dyDescent="0.35">
      <c r="A100" s="7"/>
      <c r="B100" s="7"/>
      <c r="C100" s="26">
        <v>2018</v>
      </c>
      <c r="D100" s="27">
        <v>1.73</v>
      </c>
      <c r="E100" s="27">
        <f t="shared" si="3"/>
        <v>1.7299999999999999E-2</v>
      </c>
      <c r="F100" s="27">
        <f t="shared" si="4"/>
        <v>28.452346784594479</v>
      </c>
      <c r="G100" s="27">
        <f>G99+G99*E100</f>
        <v>24835.012258201921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12.30007194603915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8"/>
      <c r="AG100" s="7"/>
      <c r="AH100" s="7"/>
    </row>
    <row r="101" spans="1:34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3ABB-73A2-4F93-B995-45650D3F5D69}">
  <dimension ref="A1:P25"/>
  <sheetViews>
    <sheetView workbookViewId="0">
      <selection activeCell="I5" sqref="I5"/>
    </sheetView>
  </sheetViews>
  <sheetFormatPr defaultRowHeight="14.4" x14ac:dyDescent="0.3"/>
  <cols>
    <col min="5" max="5" width="9.5546875" bestFit="1" customWidth="1"/>
  </cols>
  <sheetData>
    <row r="1" spans="1:16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3">
      <c r="A2" s="7"/>
      <c r="B2" s="133">
        <v>16</v>
      </c>
      <c r="C2" s="125">
        <v>22.5</v>
      </c>
      <c r="D2" s="125"/>
      <c r="E2" s="125"/>
      <c r="F2" s="126"/>
      <c r="G2" s="30"/>
      <c r="H2" s="133" t="s">
        <v>53</v>
      </c>
      <c r="I2" s="125"/>
      <c r="J2" s="125" t="s">
        <v>147</v>
      </c>
      <c r="K2" s="125"/>
      <c r="L2" s="125"/>
      <c r="M2" s="125"/>
      <c r="N2" s="125" t="s">
        <v>297</v>
      </c>
      <c r="O2" s="126">
        <v>100</v>
      </c>
      <c r="P2" s="7"/>
    </row>
    <row r="3" spans="1:16" ht="15" thickBot="1" x14ac:dyDescent="0.35">
      <c r="A3" s="7"/>
      <c r="B3" s="132">
        <v>0.53</v>
      </c>
      <c r="C3" s="122">
        <v>0.56000000000000005</v>
      </c>
      <c r="D3" s="122"/>
      <c r="E3" s="122"/>
      <c r="F3" s="123"/>
      <c r="G3" s="7"/>
      <c r="H3" s="134">
        <v>4.8179999999999996</v>
      </c>
      <c r="I3" s="127"/>
      <c r="J3" s="127">
        <f>H3-H3*0.09</f>
        <v>4.3843799999999993</v>
      </c>
      <c r="K3" s="127"/>
      <c r="L3" s="127"/>
      <c r="M3" s="127"/>
      <c r="N3" s="127"/>
      <c r="O3" s="128"/>
      <c r="P3" s="7"/>
    </row>
    <row r="4" spans="1:16" x14ac:dyDescent="0.3">
      <c r="A4" s="7"/>
      <c r="B4" s="132">
        <f>B2-B2*B3</f>
        <v>7.52</v>
      </c>
      <c r="C4" s="161">
        <f>C2-C2*C3</f>
        <v>9.8999999999999986</v>
      </c>
      <c r="D4" s="122"/>
      <c r="E4" s="122"/>
      <c r="F4" s="123"/>
      <c r="G4" s="7"/>
      <c r="H4" s="7"/>
      <c r="I4" s="7"/>
      <c r="J4" s="7"/>
      <c r="K4" s="7"/>
      <c r="L4" s="7"/>
      <c r="M4" s="7"/>
      <c r="N4" s="7"/>
      <c r="O4" s="24"/>
      <c r="P4" s="7"/>
    </row>
    <row r="5" spans="1:16" x14ac:dyDescent="0.3">
      <c r="A5" s="7"/>
      <c r="B5" s="132"/>
      <c r="C5" s="122"/>
      <c r="D5" s="122"/>
      <c r="E5" s="122">
        <f>B4*200</f>
        <v>1504</v>
      </c>
      <c r="F5" s="123">
        <f>C4*200</f>
        <v>1979.9999999999998</v>
      </c>
      <c r="G5" s="7"/>
      <c r="H5" s="7"/>
      <c r="I5" s="7"/>
      <c r="J5" s="7"/>
      <c r="K5" s="7"/>
      <c r="L5" s="7"/>
      <c r="M5" s="7"/>
      <c r="N5" s="7"/>
      <c r="O5" s="24"/>
      <c r="P5" s="7"/>
    </row>
    <row r="6" spans="1:16" x14ac:dyDescent="0.3">
      <c r="A6" s="7"/>
      <c r="B6" s="132">
        <v>18.2</v>
      </c>
      <c r="C6" s="122">
        <v>20.9</v>
      </c>
      <c r="D6" s="122"/>
      <c r="E6" s="122"/>
      <c r="F6" s="123"/>
      <c r="G6" s="7"/>
      <c r="H6" s="7"/>
      <c r="I6" s="7"/>
      <c r="J6" s="7"/>
      <c r="K6" s="7"/>
      <c r="L6" s="7"/>
      <c r="M6" s="7"/>
      <c r="N6" s="7"/>
      <c r="O6" s="24"/>
      <c r="P6" s="7"/>
    </row>
    <row r="7" spans="1:16" x14ac:dyDescent="0.3">
      <c r="A7" s="7"/>
      <c r="B7" s="132">
        <v>0.34</v>
      </c>
      <c r="C7" s="122">
        <v>0.39</v>
      </c>
      <c r="D7" s="122"/>
      <c r="E7" s="122"/>
      <c r="F7" s="123"/>
      <c r="G7" s="7"/>
      <c r="H7" s="7"/>
      <c r="I7" s="7"/>
      <c r="J7" s="7"/>
      <c r="K7" s="7"/>
      <c r="L7" s="7"/>
      <c r="M7" s="7"/>
      <c r="N7" s="7"/>
      <c r="O7" s="24"/>
      <c r="P7" s="7"/>
    </row>
    <row r="8" spans="1:16" x14ac:dyDescent="0.3">
      <c r="A8" s="7"/>
      <c r="B8" s="132">
        <f>B6-B7*B6</f>
        <v>12.011999999999999</v>
      </c>
      <c r="C8" s="122">
        <f>C6-C7*C6</f>
        <v>12.748999999999999</v>
      </c>
      <c r="D8" s="122"/>
      <c r="E8" s="122"/>
      <c r="F8" s="123"/>
      <c r="G8" s="7"/>
      <c r="H8" s="7"/>
      <c r="I8" s="7"/>
      <c r="J8" s="7"/>
      <c r="K8" s="7"/>
      <c r="L8" s="7"/>
      <c r="M8" s="7"/>
      <c r="N8" s="7"/>
      <c r="O8" s="24"/>
      <c r="P8" s="7"/>
    </row>
    <row r="9" spans="1:16" ht="15" thickBot="1" x14ac:dyDescent="0.35">
      <c r="A9" s="7"/>
      <c r="B9" s="134"/>
      <c r="C9" s="127"/>
      <c r="D9" s="127"/>
      <c r="E9" s="127">
        <f>B8*900</f>
        <v>10810.8</v>
      </c>
      <c r="F9" s="128">
        <f>C8*900</f>
        <v>11474.099999999999</v>
      </c>
      <c r="G9" s="7"/>
      <c r="H9" s="7"/>
      <c r="I9" s="7"/>
      <c r="J9" s="7"/>
      <c r="K9" s="7"/>
      <c r="L9" s="7"/>
      <c r="M9" s="7"/>
      <c r="N9" s="7"/>
      <c r="O9" s="24"/>
      <c r="P9" s="7"/>
    </row>
    <row r="10" spans="1:16" ht="15" thickBot="1" x14ac:dyDescent="0.35">
      <c r="A10" s="7"/>
      <c r="B10" s="2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4"/>
      <c r="P10" s="7"/>
    </row>
    <row r="11" spans="1:16" x14ac:dyDescent="0.3">
      <c r="A11" s="7"/>
      <c r="B11" s="193" t="s">
        <v>98</v>
      </c>
      <c r="C11" s="194"/>
      <c r="D11" s="194"/>
      <c r="E11" s="194"/>
      <c r="F11" s="194"/>
      <c r="G11" s="194"/>
      <c r="H11" s="195"/>
      <c r="I11" s="7"/>
      <c r="J11" s="133"/>
      <c r="K11" s="125" t="s">
        <v>166</v>
      </c>
      <c r="L11" s="125"/>
      <c r="M11" s="125"/>
      <c r="N11" s="126"/>
      <c r="O11" s="24"/>
      <c r="P11" s="7"/>
    </row>
    <row r="12" spans="1:16" x14ac:dyDescent="0.3">
      <c r="A12" s="7"/>
      <c r="B12" s="34"/>
      <c r="C12" s="35" t="s">
        <v>12</v>
      </c>
      <c r="D12" s="35"/>
      <c r="E12" s="35" t="s">
        <v>13</v>
      </c>
      <c r="F12" s="35" t="s">
        <v>14</v>
      </c>
      <c r="G12" s="35" t="s">
        <v>15</v>
      </c>
      <c r="H12" s="36" t="s">
        <v>16</v>
      </c>
      <c r="I12" s="7"/>
      <c r="J12" s="132"/>
      <c r="K12" s="122" t="s">
        <v>13</v>
      </c>
      <c r="L12" s="122" t="s">
        <v>14</v>
      </c>
      <c r="M12" s="122" t="s">
        <v>15</v>
      </c>
      <c r="N12" s="123" t="s">
        <v>16</v>
      </c>
      <c r="O12" s="24"/>
      <c r="P12" s="7"/>
    </row>
    <row r="13" spans="1:16" x14ac:dyDescent="0.3">
      <c r="A13" s="7"/>
      <c r="B13" s="34" t="s">
        <v>0</v>
      </c>
      <c r="C13" s="85">
        <v>19.8</v>
      </c>
      <c r="D13" s="86">
        <f>C13/$O$2</f>
        <v>0.19800000000000001</v>
      </c>
      <c r="E13" s="85">
        <f>(E$5*$D13)/$H$3</f>
        <v>61.808219178082204</v>
      </c>
      <c r="F13" s="85">
        <f t="shared" ref="F13:F24" si="0">(F$5*$D13)/$J$3</f>
        <v>89.417431883185316</v>
      </c>
      <c r="G13" s="85">
        <f t="shared" ref="G13:G24" si="1">(E$9*$D13)/$H$3</f>
        <v>444.27945205479455</v>
      </c>
      <c r="H13" s="87">
        <f t="shared" ref="H13:H24" si="2">(F$9*$D13)/$J$3</f>
        <v>518.17401776305894</v>
      </c>
      <c r="I13" s="7"/>
      <c r="J13" s="132" t="s">
        <v>0</v>
      </c>
      <c r="K13" s="122">
        <f t="shared" ref="K13:K24" si="3">E$5*$D13</f>
        <v>297.79200000000003</v>
      </c>
      <c r="L13" s="122">
        <f t="shared" ref="L13:L24" si="4">F$5*$D13</f>
        <v>392.03999999999996</v>
      </c>
      <c r="M13" s="122">
        <f t="shared" ref="M13:M24" si="5">E$9*$D13</f>
        <v>2140.5383999999999</v>
      </c>
      <c r="N13" s="123">
        <f t="shared" ref="N13:N24" si="6">F$9*$D13</f>
        <v>2271.8717999999999</v>
      </c>
      <c r="O13" s="140"/>
      <c r="P13" s="7"/>
    </row>
    <row r="14" spans="1:16" x14ac:dyDescent="0.3">
      <c r="A14" s="7"/>
      <c r="B14" s="34" t="s">
        <v>1</v>
      </c>
      <c r="C14" s="85">
        <v>16.5</v>
      </c>
      <c r="D14" s="86">
        <f t="shared" ref="D14:D24" si="7">C14/$O$2</f>
        <v>0.16500000000000001</v>
      </c>
      <c r="E14" s="85">
        <f t="shared" ref="E14:E24" si="8">(E$5*D14)/H$3</f>
        <v>51.5068493150685</v>
      </c>
      <c r="F14" s="85">
        <f t="shared" si="0"/>
        <v>74.514526569321106</v>
      </c>
      <c r="G14" s="85">
        <f t="shared" si="1"/>
        <v>370.23287671232879</v>
      </c>
      <c r="H14" s="87">
        <f t="shared" si="2"/>
        <v>431.81168146921573</v>
      </c>
      <c r="I14" s="7"/>
      <c r="J14" s="132" t="s">
        <v>1</v>
      </c>
      <c r="K14" s="122">
        <f t="shared" si="3"/>
        <v>248.16000000000003</v>
      </c>
      <c r="L14" s="122">
        <f t="shared" si="4"/>
        <v>326.7</v>
      </c>
      <c r="M14" s="122">
        <f t="shared" si="5"/>
        <v>1783.7819999999999</v>
      </c>
      <c r="N14" s="123">
        <f t="shared" si="6"/>
        <v>1893.2264999999998</v>
      </c>
      <c r="O14" s="140"/>
      <c r="P14" s="7"/>
    </row>
    <row r="15" spans="1:16" x14ac:dyDescent="0.3">
      <c r="A15" s="7"/>
      <c r="B15" s="34" t="s">
        <v>2</v>
      </c>
      <c r="C15" s="85">
        <v>14.2</v>
      </c>
      <c r="D15" s="86">
        <f t="shared" si="7"/>
        <v>0.14199999999999999</v>
      </c>
      <c r="E15" s="85">
        <f t="shared" si="8"/>
        <v>44.327106683271069</v>
      </c>
      <c r="F15" s="85">
        <f t="shared" si="0"/>
        <v>64.127653168749063</v>
      </c>
      <c r="G15" s="85">
        <f t="shared" si="1"/>
        <v>318.62465753424652</v>
      </c>
      <c r="H15" s="87">
        <f t="shared" si="2"/>
        <v>371.61975011290076</v>
      </c>
      <c r="I15" s="7"/>
      <c r="J15" s="132" t="s">
        <v>2</v>
      </c>
      <c r="K15" s="122">
        <f t="shared" si="3"/>
        <v>213.56799999999998</v>
      </c>
      <c r="L15" s="122">
        <f t="shared" si="4"/>
        <v>281.15999999999997</v>
      </c>
      <c r="M15" s="122">
        <f t="shared" si="5"/>
        <v>1535.1335999999997</v>
      </c>
      <c r="N15" s="123">
        <f t="shared" si="6"/>
        <v>1629.3221999999996</v>
      </c>
      <c r="O15" s="140"/>
      <c r="P15" s="7"/>
    </row>
    <row r="16" spans="1:16" x14ac:dyDescent="0.3">
      <c r="A16" s="7"/>
      <c r="B16" s="34" t="s">
        <v>3</v>
      </c>
      <c r="C16" s="85">
        <v>3.2</v>
      </c>
      <c r="D16" s="86">
        <f t="shared" si="7"/>
        <v>3.2000000000000001E-2</v>
      </c>
      <c r="E16" s="85">
        <f t="shared" si="8"/>
        <v>9.9892071398920717</v>
      </c>
      <c r="F16" s="85">
        <f t="shared" si="0"/>
        <v>14.451302122534999</v>
      </c>
      <c r="G16" s="85">
        <f t="shared" si="1"/>
        <v>71.802739726027397</v>
      </c>
      <c r="H16" s="87">
        <f t="shared" si="2"/>
        <v>83.745295800090318</v>
      </c>
      <c r="I16" s="7"/>
      <c r="J16" s="132" t="s">
        <v>3</v>
      </c>
      <c r="K16" s="122">
        <f t="shared" si="3"/>
        <v>48.128</v>
      </c>
      <c r="L16" s="122">
        <f t="shared" si="4"/>
        <v>63.359999999999992</v>
      </c>
      <c r="M16" s="122">
        <f t="shared" si="5"/>
        <v>345.94559999999996</v>
      </c>
      <c r="N16" s="123">
        <f t="shared" si="6"/>
        <v>367.17119999999994</v>
      </c>
      <c r="O16" s="140"/>
      <c r="P16" s="7"/>
    </row>
    <row r="17" spans="1:16" x14ac:dyDescent="0.3">
      <c r="A17" s="7"/>
      <c r="B17" s="34" t="s">
        <v>4</v>
      </c>
      <c r="C17" s="85">
        <v>0</v>
      </c>
      <c r="D17" s="86">
        <f t="shared" si="7"/>
        <v>0</v>
      </c>
      <c r="E17" s="85">
        <f t="shared" si="8"/>
        <v>0</v>
      </c>
      <c r="F17" s="85">
        <f t="shared" si="0"/>
        <v>0</v>
      </c>
      <c r="G17" s="85">
        <f t="shared" si="1"/>
        <v>0</v>
      </c>
      <c r="H17" s="87">
        <f t="shared" si="2"/>
        <v>0</v>
      </c>
      <c r="I17" s="7"/>
      <c r="J17" s="132" t="s">
        <v>4</v>
      </c>
      <c r="K17" s="122">
        <f t="shared" si="3"/>
        <v>0</v>
      </c>
      <c r="L17" s="122">
        <f t="shared" si="4"/>
        <v>0</v>
      </c>
      <c r="M17" s="122">
        <f t="shared" si="5"/>
        <v>0</v>
      </c>
      <c r="N17" s="123">
        <f t="shared" si="6"/>
        <v>0</v>
      </c>
      <c r="O17" s="140"/>
      <c r="P17" s="7"/>
    </row>
    <row r="18" spans="1:16" x14ac:dyDescent="0.3">
      <c r="A18" s="7"/>
      <c r="B18" s="34" t="s">
        <v>5</v>
      </c>
      <c r="C18" s="85">
        <v>0</v>
      </c>
      <c r="D18" s="86">
        <f t="shared" si="7"/>
        <v>0</v>
      </c>
      <c r="E18" s="85">
        <f t="shared" si="8"/>
        <v>0</v>
      </c>
      <c r="F18" s="85">
        <f t="shared" si="0"/>
        <v>0</v>
      </c>
      <c r="G18" s="85">
        <f t="shared" si="1"/>
        <v>0</v>
      </c>
      <c r="H18" s="87">
        <f t="shared" si="2"/>
        <v>0</v>
      </c>
      <c r="I18" s="7"/>
      <c r="J18" s="132" t="s">
        <v>5</v>
      </c>
      <c r="K18" s="122">
        <f t="shared" si="3"/>
        <v>0</v>
      </c>
      <c r="L18" s="122">
        <f t="shared" si="4"/>
        <v>0</v>
      </c>
      <c r="M18" s="122">
        <f t="shared" si="5"/>
        <v>0</v>
      </c>
      <c r="N18" s="123">
        <f t="shared" si="6"/>
        <v>0</v>
      </c>
      <c r="O18" s="24"/>
      <c r="P18" s="7"/>
    </row>
    <row r="19" spans="1:16" x14ac:dyDescent="0.3">
      <c r="A19" s="7"/>
      <c r="B19" s="34" t="s">
        <v>6</v>
      </c>
      <c r="C19" s="85">
        <v>0</v>
      </c>
      <c r="D19" s="86">
        <f t="shared" si="7"/>
        <v>0</v>
      </c>
      <c r="E19" s="85">
        <f t="shared" si="8"/>
        <v>0</v>
      </c>
      <c r="F19" s="85">
        <f t="shared" si="0"/>
        <v>0</v>
      </c>
      <c r="G19" s="85">
        <f t="shared" si="1"/>
        <v>0</v>
      </c>
      <c r="H19" s="87">
        <f t="shared" si="2"/>
        <v>0</v>
      </c>
      <c r="I19" s="7"/>
      <c r="J19" s="132" t="s">
        <v>6</v>
      </c>
      <c r="K19" s="122">
        <f t="shared" si="3"/>
        <v>0</v>
      </c>
      <c r="L19" s="122">
        <f t="shared" si="4"/>
        <v>0</v>
      </c>
      <c r="M19" s="122">
        <f t="shared" si="5"/>
        <v>0</v>
      </c>
      <c r="N19" s="123">
        <f t="shared" si="6"/>
        <v>0</v>
      </c>
      <c r="O19" s="24"/>
      <c r="P19" s="7"/>
    </row>
    <row r="20" spans="1:16" x14ac:dyDescent="0.3">
      <c r="A20" s="7"/>
      <c r="B20" s="34" t="s">
        <v>7</v>
      </c>
      <c r="C20" s="85">
        <v>0</v>
      </c>
      <c r="D20" s="86">
        <f t="shared" si="7"/>
        <v>0</v>
      </c>
      <c r="E20" s="85">
        <f t="shared" si="8"/>
        <v>0</v>
      </c>
      <c r="F20" s="85">
        <f t="shared" si="0"/>
        <v>0</v>
      </c>
      <c r="G20" s="85">
        <f t="shared" si="1"/>
        <v>0</v>
      </c>
      <c r="H20" s="87">
        <f t="shared" si="2"/>
        <v>0</v>
      </c>
      <c r="I20" s="7"/>
      <c r="J20" s="132" t="s">
        <v>7</v>
      </c>
      <c r="K20" s="122">
        <f t="shared" si="3"/>
        <v>0</v>
      </c>
      <c r="L20" s="122">
        <f t="shared" si="4"/>
        <v>0</v>
      </c>
      <c r="M20" s="122">
        <f t="shared" si="5"/>
        <v>0</v>
      </c>
      <c r="N20" s="123">
        <f t="shared" si="6"/>
        <v>0</v>
      </c>
      <c r="O20" s="24"/>
      <c r="P20" s="7"/>
    </row>
    <row r="21" spans="1:16" x14ac:dyDescent="0.3">
      <c r="A21" s="7"/>
      <c r="B21" s="34" t="s">
        <v>8</v>
      </c>
      <c r="C21" s="85">
        <v>1.5</v>
      </c>
      <c r="D21" s="86">
        <f t="shared" si="7"/>
        <v>1.4999999999999999E-2</v>
      </c>
      <c r="E21" s="85">
        <f t="shared" si="8"/>
        <v>4.6824408468244085</v>
      </c>
      <c r="F21" s="85">
        <f t="shared" si="0"/>
        <v>6.7740478699382809</v>
      </c>
      <c r="G21" s="85">
        <f t="shared" si="1"/>
        <v>33.657534246575338</v>
      </c>
      <c r="H21" s="87">
        <f t="shared" si="2"/>
        <v>39.255607406292341</v>
      </c>
      <c r="I21" s="7"/>
      <c r="J21" s="132" t="s">
        <v>8</v>
      </c>
      <c r="K21" s="122">
        <f t="shared" si="3"/>
        <v>22.56</v>
      </c>
      <c r="L21" s="122">
        <f t="shared" si="4"/>
        <v>29.699999999999996</v>
      </c>
      <c r="M21" s="122">
        <f t="shared" si="5"/>
        <v>162.16199999999998</v>
      </c>
      <c r="N21" s="123">
        <f t="shared" si="6"/>
        <v>172.11149999999998</v>
      </c>
      <c r="O21" s="24"/>
      <c r="P21" s="7"/>
    </row>
    <row r="22" spans="1:16" x14ac:dyDescent="0.3">
      <c r="A22" s="7"/>
      <c r="B22" s="34" t="s">
        <v>9</v>
      </c>
      <c r="C22" s="85">
        <v>9</v>
      </c>
      <c r="D22" s="86">
        <f t="shared" si="7"/>
        <v>0.09</v>
      </c>
      <c r="E22" s="85">
        <f t="shared" si="8"/>
        <v>28.094645080946449</v>
      </c>
      <c r="F22" s="85">
        <f t="shared" si="0"/>
        <v>40.644287219629682</v>
      </c>
      <c r="G22" s="85">
        <f t="shared" si="1"/>
        <v>201.94520547945206</v>
      </c>
      <c r="H22" s="87">
        <f t="shared" si="2"/>
        <v>235.53364443775405</v>
      </c>
      <c r="I22" s="7"/>
      <c r="J22" s="132" t="s">
        <v>9</v>
      </c>
      <c r="K22" s="122">
        <f t="shared" si="3"/>
        <v>135.35999999999999</v>
      </c>
      <c r="L22" s="122">
        <f t="shared" si="4"/>
        <v>178.19999999999996</v>
      </c>
      <c r="M22" s="122">
        <f t="shared" si="5"/>
        <v>972.97199999999987</v>
      </c>
      <c r="N22" s="123">
        <f t="shared" si="6"/>
        <v>1032.6689999999999</v>
      </c>
      <c r="O22" s="24"/>
      <c r="P22" s="7"/>
    </row>
    <row r="23" spans="1:16" x14ac:dyDescent="0.3">
      <c r="A23" s="7"/>
      <c r="B23" s="34" t="s">
        <v>10</v>
      </c>
      <c r="C23" s="85">
        <v>13.8</v>
      </c>
      <c r="D23" s="86">
        <f t="shared" si="7"/>
        <v>0.13800000000000001</v>
      </c>
      <c r="E23" s="85">
        <f t="shared" si="8"/>
        <v>43.078455790784567</v>
      </c>
      <c r="F23" s="85">
        <f t="shared" si="0"/>
        <v>62.321240403432199</v>
      </c>
      <c r="G23" s="85">
        <f t="shared" si="1"/>
        <v>309.64931506849319</v>
      </c>
      <c r="H23" s="87">
        <f t="shared" si="2"/>
        <v>361.15158813788958</v>
      </c>
      <c r="I23" s="7"/>
      <c r="J23" s="132" t="s">
        <v>10</v>
      </c>
      <c r="K23" s="122">
        <f t="shared" si="3"/>
        <v>207.55200000000002</v>
      </c>
      <c r="L23" s="122">
        <f t="shared" si="4"/>
        <v>273.24</v>
      </c>
      <c r="M23" s="122">
        <f t="shared" si="5"/>
        <v>1491.8904</v>
      </c>
      <c r="N23" s="123">
        <f t="shared" si="6"/>
        <v>1583.4258</v>
      </c>
      <c r="O23" s="24"/>
      <c r="P23" s="7"/>
    </row>
    <row r="24" spans="1:16" x14ac:dyDescent="0.3">
      <c r="A24" s="7"/>
      <c r="B24" s="34" t="s">
        <v>11</v>
      </c>
      <c r="C24" s="85">
        <v>21.9</v>
      </c>
      <c r="D24" s="86">
        <f t="shared" si="7"/>
        <v>0.21899999999999997</v>
      </c>
      <c r="E24" s="85">
        <f t="shared" si="8"/>
        <v>68.36363636363636</v>
      </c>
      <c r="F24" s="85">
        <f t="shared" si="0"/>
        <v>98.901098901098891</v>
      </c>
      <c r="G24" s="85">
        <f t="shared" si="1"/>
        <v>491.39999999999992</v>
      </c>
      <c r="H24" s="87">
        <f t="shared" si="2"/>
        <v>573.13186813186803</v>
      </c>
      <c r="I24" s="7"/>
      <c r="J24" s="132" t="s">
        <v>11</v>
      </c>
      <c r="K24" s="122">
        <f t="shared" si="3"/>
        <v>329.37599999999998</v>
      </c>
      <c r="L24" s="122">
        <f t="shared" si="4"/>
        <v>433.61999999999989</v>
      </c>
      <c r="M24" s="122">
        <f t="shared" si="5"/>
        <v>2367.5651999999995</v>
      </c>
      <c r="N24" s="123">
        <f t="shared" si="6"/>
        <v>2512.8278999999993</v>
      </c>
      <c r="O24" s="24"/>
      <c r="P24" s="7"/>
    </row>
    <row r="25" spans="1:16" ht="15" thickBot="1" x14ac:dyDescent="0.35">
      <c r="A25" s="7"/>
      <c r="B25" s="37"/>
      <c r="C25" s="38"/>
      <c r="D25" s="38"/>
      <c r="E25" s="88">
        <f>SUM(E13:E24)</f>
        <v>311.85056039850565</v>
      </c>
      <c r="F25" s="88">
        <f>SUM(F13:F24)</f>
        <v>451.15158813788946</v>
      </c>
      <c r="G25" s="88">
        <f>SUM(G13:G24)</f>
        <v>2241.5917808219178</v>
      </c>
      <c r="H25" s="89">
        <f>SUM(H13:H24)</f>
        <v>2614.4234532590699</v>
      </c>
      <c r="I25" s="27"/>
      <c r="J25" s="134"/>
      <c r="K25" s="127">
        <f>SUM(K13:K24)</f>
        <v>1502.4959999999999</v>
      </c>
      <c r="L25" s="127">
        <f t="shared" ref="L25:N25" si="9">SUM(L13:L24)</f>
        <v>1978.02</v>
      </c>
      <c r="M25" s="127">
        <f t="shared" si="9"/>
        <v>10799.989199999998</v>
      </c>
      <c r="N25" s="128">
        <f t="shared" si="9"/>
        <v>11462.625899999999</v>
      </c>
      <c r="O25" s="28"/>
      <c r="P25" s="7"/>
    </row>
  </sheetData>
  <mergeCells count="1">
    <mergeCell ref="B11:H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87D6-1FA7-4DAF-9FC2-9100BC59010A}">
  <dimension ref="A1:AI109"/>
  <sheetViews>
    <sheetView workbookViewId="0">
      <selection activeCell="B8" sqref="B8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5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3">
      <c r="A5" s="7"/>
      <c r="B5" s="25" t="s">
        <v>189</v>
      </c>
      <c r="C5" s="41">
        <f>'Electricity prod.'!E16</f>
        <v>28119.543593672304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1.0082151510657003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385293.22509418952</v>
      </c>
      <c r="K6" s="7"/>
      <c r="L6" s="7"/>
      <c r="M6" s="7">
        <f>SUM(H8:H27)</f>
        <v>382153.77410955203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3">
      <c r="A7" s="7"/>
      <c r="D7" s="7"/>
      <c r="E7" s="7"/>
      <c r="F7" s="7">
        <v>2050</v>
      </c>
      <c r="G7" s="43">
        <f>SUM(C23,C34,C53,K63,L63,M63,K65,L65,M65,C39)</f>
        <v>283469.20963847503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x14ac:dyDescent="0.3">
      <c r="A8" s="7"/>
      <c r="D8" s="7"/>
      <c r="E8" s="7"/>
      <c r="F8" s="7">
        <v>1</v>
      </c>
      <c r="G8" s="7">
        <f>SUM(C$26,-C$9,C$54,N$67,C$38)/((1+C$2)^F8)</f>
        <v>5475.3859218220614</v>
      </c>
      <c r="H8" s="7">
        <f>C$5/((1+C$2)^F8)</f>
        <v>27038.022686223369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5264.7941555981351</v>
      </c>
      <c r="H9" s="7">
        <f>C$5/((1+C$2)^F9)</f>
        <v>25998.098736753236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x14ac:dyDescent="0.3">
      <c r="A10" s="7"/>
      <c r="B10" s="229"/>
      <c r="C10" s="229"/>
      <c r="D10" s="7"/>
      <c r="E10" s="7"/>
      <c r="F10" s="7">
        <v>3</v>
      </c>
      <c r="G10" s="7">
        <f t="shared" si="0"/>
        <v>5062.3020726905152</v>
      </c>
      <c r="H10" s="7">
        <f>C$5/((1+C$2)^F10)</f>
        <v>24998.17186226273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x14ac:dyDescent="0.3">
      <c r="A11" s="7"/>
      <c r="B11" s="229"/>
      <c r="C11" s="229"/>
      <c r="D11" s="7"/>
      <c r="E11" s="7"/>
      <c r="F11" s="7">
        <v>4</v>
      </c>
      <c r="G11" s="7">
        <f t="shared" si="0"/>
        <v>4867.5981468178024</v>
      </c>
      <c r="H11" s="7">
        <f>C$5/((1+C$2)^F11)</f>
        <v>24036.70371371416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x14ac:dyDescent="0.3">
      <c r="A12" s="7"/>
      <c r="B12" s="229"/>
      <c r="C12" s="229"/>
      <c r="D12" s="7"/>
      <c r="E12" s="7"/>
      <c r="F12" s="7">
        <v>5</v>
      </c>
      <c r="G12" s="7">
        <f t="shared" si="0"/>
        <v>4680.3828334786558</v>
      </c>
      <c r="H12" s="7">
        <f>C$5/((1+C$2)^F12)</f>
        <v>23112.215109340537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x14ac:dyDescent="0.3">
      <c r="A13" s="7"/>
      <c r="B13" s="227"/>
      <c r="C13" s="227"/>
      <c r="D13" s="7"/>
      <c r="E13" s="7"/>
      <c r="F13" s="7">
        <v>6</v>
      </c>
      <c r="G13" s="7">
        <f t="shared" si="0"/>
        <v>4500.3681091140925</v>
      </c>
      <c r="H13" s="7">
        <f>C$5/((1+C$2)^F13)</f>
        <v>22223.283758981284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3">
      <c r="A14" s="7"/>
      <c r="B14" s="227"/>
      <c r="C14" s="227"/>
      <c r="D14" s="7"/>
      <c r="E14" s="7"/>
      <c r="F14" s="7">
        <v>7</v>
      </c>
      <c r="G14" s="7">
        <f t="shared" si="0"/>
        <v>4327.2770279943197</v>
      </c>
      <c r="H14" s="7">
        <f>C$5/((1+C$2)^F14)</f>
        <v>21368.542075943544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x14ac:dyDescent="0.3">
      <c r="A15" s="7"/>
      <c r="D15" s="7"/>
      <c r="E15" s="7"/>
      <c r="F15" s="7">
        <v>8</v>
      </c>
      <c r="G15" s="7">
        <f t="shared" si="0"/>
        <v>4160.8432961483841</v>
      </c>
      <c r="H15" s="7">
        <f>C$5/((1+C$2)^F15)</f>
        <v>20546.675073022634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x14ac:dyDescent="0.3">
      <c r="A16" s="7"/>
      <c r="B16" s="7"/>
      <c r="C16" s="7"/>
      <c r="D16" s="7"/>
      <c r="E16" s="7"/>
      <c r="F16" s="7">
        <v>9</v>
      </c>
      <c r="G16" s="7">
        <f t="shared" si="0"/>
        <v>4000.8108616811378</v>
      </c>
      <c r="H16" s="7">
        <f>C$5/((1+C$2)^F16)</f>
        <v>19756.418339444841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3846.933520847248</v>
      </c>
      <c r="H17" s="7">
        <f>C$5/((1+C$2)^F17)</f>
        <v>18996.556095620039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3698.9745392762002</v>
      </c>
      <c r="H18" s="7">
        <f>C$5/((1+C$2)^F18)</f>
        <v>18265.919322711576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3556.7062877655762</v>
      </c>
      <c r="H19" s="7">
        <f>C$5/((1+C$2)^F19)</f>
        <v>17563.383964145742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3419.9098920822848</v>
      </c>
      <c r="H20" s="7">
        <f>C$5/((1+C$2)^F20)</f>
        <v>16887.869196293985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3">
      <c r="A21" s="7"/>
      <c r="B21" s="25" t="s">
        <v>175</v>
      </c>
      <c r="C21" s="44">
        <f>'Electricity prod.'!M17</f>
        <v>126.11705823541747</v>
      </c>
      <c r="D21" s="7"/>
      <c r="E21" s="7"/>
      <c r="F21" s="7">
        <v>14</v>
      </c>
      <c r="G21" s="7">
        <f t="shared" si="0"/>
        <v>3288.374896232966</v>
      </c>
      <c r="H21" s="7">
        <f>C$5/((1+C$2)^F21)</f>
        <v>16238.335765667292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3161.8989386855446</v>
      </c>
      <c r="H22" s="7">
        <f>C$5/((1+C$2)^F22)</f>
        <v>15613.784390064704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27475.530092866447</v>
      </c>
      <c r="H23" s="7">
        <f>C$5/((1+C$2)^F23)</f>
        <v>15013.254221216059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2923.3533086959542</v>
      </c>
      <c r="H24" s="7">
        <f>C$5/((1+C$2)^F24)</f>
        <v>14435.821366553902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3">
      <c r="A25" s="7"/>
      <c r="B25" s="25"/>
      <c r="C25" s="24"/>
      <c r="D25" s="7"/>
      <c r="E25" s="7"/>
      <c r="F25" s="7">
        <v>18</v>
      </c>
      <c r="G25" s="7">
        <f t="shared" si="0"/>
        <v>2810.9166429768784</v>
      </c>
      <c r="H25" s="7">
        <f>C$5/((1+C$2)^F25)</f>
        <v>13880.597467840289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3">
      <c r="A26" s="7"/>
      <c r="B26" s="25" t="s">
        <v>236</v>
      </c>
      <c r="C26" s="24">
        <f>C24*C5</f>
        <v>562.39087187344614</v>
      </c>
      <c r="D26" s="7"/>
      <c r="E26" s="7"/>
      <c r="F26" s="7">
        <v>19</v>
      </c>
      <c r="G26" s="7">
        <f t="shared" si="0"/>
        <v>2702.8044644008446</v>
      </c>
      <c r="H26" s="7">
        <f>C$5/((1+C$2)^F26)</f>
        <v>13346.728334461817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2598.8504465392739</v>
      </c>
      <c r="H27" s="7">
        <f>C$5/((1+C$2)^F27)</f>
        <v>12833.392629290209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3">
      <c r="A48" s="7"/>
      <c r="B48" s="25" t="s">
        <v>184</v>
      </c>
      <c r="C48" s="44">
        <f>Cases!L29</f>
        <v>162.47864097688677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3">
      <c r="A50" s="7"/>
      <c r="B50" s="25" t="s">
        <v>221</v>
      </c>
      <c r="C50" s="24">
        <f>C48*C49</f>
        <v>43026.751221657054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x14ac:dyDescent="0.3">
      <c r="A53" s="7"/>
      <c r="B53" s="25" t="s">
        <v>222</v>
      </c>
      <c r="C53" s="24">
        <f>C50+C52+2000</f>
        <v>45766.751221657054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x14ac:dyDescent="0.3">
      <c r="A54" s="7"/>
      <c r="B54" s="25" t="s">
        <v>213</v>
      </c>
      <c r="C54" s="24">
        <f>C50*K78</f>
        <v>1914.812769773037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148818.18760567674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22687.662527543456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0.38624657251446959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22687.662527543456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680.62987582630365</v>
      </c>
      <c r="M67" s="27">
        <f>(M66/100)*M63</f>
        <v>789.18304842961788</v>
      </c>
      <c r="N67" s="28">
        <f>SUM(K67:M67)</f>
        <v>3017.1977170484606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  <c r="AG84" s="7"/>
      <c r="AH84" s="7"/>
      <c r="AI84" s="7"/>
    </row>
    <row r="85" spans="1:35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  <c r="AG85" s="7"/>
      <c r="AH85" s="7"/>
      <c r="AI85" s="7"/>
    </row>
    <row r="86" spans="1:35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  <c r="AG86" s="7"/>
      <c r="AH86" s="7"/>
      <c r="AI86" s="7"/>
    </row>
    <row r="87" spans="1:35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  <c r="AG87" s="7"/>
      <c r="AH87" s="7"/>
      <c r="AI87" s="7"/>
    </row>
    <row r="88" spans="1:35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  <c r="AG88" s="7"/>
      <c r="AH88" s="7"/>
      <c r="AI88" s="7"/>
    </row>
    <row r="89" spans="1:35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X88</f>
        <v>29652.351978281837</v>
      </c>
      <c r="M89" s="36" t="s">
        <v>168</v>
      </c>
      <c r="N89" s="7"/>
      <c r="O89" s="7">
        <f>O88/$M86</f>
        <v>9580.1704293571729</v>
      </c>
      <c r="P89" s="7">
        <f t="shared" ref="P89:AE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 t="shared" si="4"/>
        <v>53828.141854057751</v>
      </c>
      <c r="AF89" s="7"/>
      <c r="AG89" s="7"/>
      <c r="AH89" s="7"/>
      <c r="AI89" s="7"/>
    </row>
    <row r="90" spans="1:35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890.46102036882405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37.812770879239096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22687.662527543456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890.46102036882405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37.812770879239096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  <c r="AG100" s="7"/>
      <c r="AH100" s="7"/>
      <c r="AI100" s="7"/>
    </row>
    <row r="101" spans="1:35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EB29-29A3-4524-B046-5613C15C8938}">
  <dimension ref="A1:AF103"/>
  <sheetViews>
    <sheetView workbookViewId="0">
      <selection activeCell="B7" sqref="B7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2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3">
      <c r="A4" s="7"/>
      <c r="B4" s="230" t="s">
        <v>234</v>
      </c>
      <c r="C4" s="23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3">
      <c r="A5" s="7"/>
      <c r="B5" s="232" t="s">
        <v>189</v>
      </c>
      <c r="C5" s="41">
        <f>Cases!M37</f>
        <v>72575.864547254518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0.4256583727080418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 thickBot="1" x14ac:dyDescent="0.35">
      <c r="A6" s="7"/>
      <c r="B6" s="233" t="s">
        <v>163</v>
      </c>
      <c r="C6" s="234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419839.48823033198</v>
      </c>
      <c r="K6" s="7"/>
      <c r="L6" s="7"/>
      <c r="M6" s="7">
        <f>SUM(H8:H27)</f>
        <v>986329.68396535923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3">
      <c r="A7" s="7"/>
      <c r="B7" s="235"/>
      <c r="C7" s="236"/>
      <c r="D7" s="7"/>
      <c r="E7" s="7"/>
      <c r="F7" s="7">
        <v>2050</v>
      </c>
      <c r="G7" s="43">
        <f>SUM(C23,C34,C53,K63,L63,M63,K65,L65,M65,C39)</f>
        <v>295377.3264255157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3">
      <c r="A8" s="7"/>
      <c r="D8" s="7"/>
      <c r="E8" s="7"/>
      <c r="F8" s="7">
        <v>1</v>
      </c>
      <c r="G8" s="7">
        <f>SUM(C$26,-C$9,C$54,N$67,C$38)/((1+C$2)^F8)</f>
        <v>6782.5463946813925</v>
      </c>
      <c r="H8" s="7">
        <f>C$5/((1+C$2)^F8)</f>
        <v>69784.485141590878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6521.6792256551844</v>
      </c>
      <c r="H9" s="7">
        <f>C$5/((1+C$2)^F9)</f>
        <v>67100.466482298914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3">
      <c r="A10" s="7"/>
      <c r="B10" s="229"/>
      <c r="C10" s="229"/>
      <c r="D10" s="7"/>
      <c r="E10" s="7"/>
      <c r="F10" s="7">
        <v>3</v>
      </c>
      <c r="G10" s="7">
        <f t="shared" si="0"/>
        <v>6270.845409283831</v>
      </c>
      <c r="H10" s="7">
        <f>C$5/((1+C$2)^F10)</f>
        <v>64519.679309902807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3">
      <c r="A11" s="7"/>
      <c r="B11" s="229"/>
      <c r="C11" s="229"/>
      <c r="D11" s="7"/>
      <c r="E11" s="7"/>
      <c r="F11" s="7">
        <v>4</v>
      </c>
      <c r="G11" s="7">
        <f t="shared" si="0"/>
        <v>6029.6590473882989</v>
      </c>
      <c r="H11" s="7">
        <f>C$5/((1+C$2)^F11)</f>
        <v>62038.15318259885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3">
      <c r="A12" s="7"/>
      <c r="B12" s="229"/>
      <c r="C12" s="229"/>
      <c r="D12" s="7"/>
      <c r="E12" s="7"/>
      <c r="F12" s="7">
        <v>5</v>
      </c>
      <c r="G12" s="7">
        <f t="shared" si="0"/>
        <v>5797.7490840272094</v>
      </c>
      <c r="H12" s="7">
        <f>C$5/((1+C$2)^F12)</f>
        <v>59652.070367883498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3">
      <c r="A13" s="7"/>
      <c r="B13" s="227"/>
      <c r="C13" s="227"/>
      <c r="D13" s="7"/>
      <c r="E13" s="7"/>
      <c r="F13" s="7">
        <v>6</v>
      </c>
      <c r="G13" s="7">
        <f t="shared" si="0"/>
        <v>5574.7587346415476</v>
      </c>
      <c r="H13" s="7">
        <f>C$5/((1+C$2)^F13)</f>
        <v>57357.75996911875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x14ac:dyDescent="0.3">
      <c r="A14" s="7"/>
      <c r="B14" s="227"/>
      <c r="C14" s="227"/>
      <c r="D14" s="7"/>
      <c r="E14" s="7"/>
      <c r="F14" s="7">
        <v>7</v>
      </c>
      <c r="G14" s="7">
        <f t="shared" si="0"/>
        <v>5360.3449371553352</v>
      </c>
      <c r="H14" s="7">
        <f>C$5/((1+C$2)^F14)</f>
        <v>55151.692277998802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x14ac:dyDescent="0.3">
      <c r="A15" s="7"/>
      <c r="D15" s="7"/>
      <c r="E15" s="7"/>
      <c r="F15" s="7">
        <v>8</v>
      </c>
      <c r="G15" s="7">
        <f t="shared" si="0"/>
        <v>5154.177824187821</v>
      </c>
      <c r="H15" s="7">
        <f>C$5/((1+C$2)^F15)</f>
        <v>53030.473344229613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3">
      <c r="A16" s="7"/>
      <c r="B16" s="7"/>
      <c r="C16" s="7"/>
      <c r="D16" s="7"/>
      <c r="E16" s="7"/>
      <c r="F16" s="7">
        <v>9</v>
      </c>
      <c r="G16" s="7">
        <f t="shared" si="0"/>
        <v>4955.9402155652124</v>
      </c>
      <c r="H16" s="7">
        <f>C$5/((1+C$2)^F16)</f>
        <v>50990.839754066925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4765.3271303511656</v>
      </c>
      <c r="H17" s="7">
        <f>C$5/((1+C$2)^F17)</f>
        <v>49029.653609679735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4582.045317645352</v>
      </c>
      <c r="H18" s="7">
        <f>C$5/((1+C$2)^F18)</f>
        <v>47143.89770161514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4405.8128054282215</v>
      </c>
      <c r="H19" s="7">
        <f>C$5/((1+C$2)^F19)</f>
        <v>45330.670866937624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4236.3584667579053</v>
      </c>
      <c r="H20" s="7">
        <f>C$5/((1+C$2)^F20)</f>
        <v>43587.183525901557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3">
      <c r="A21" s="7"/>
      <c r="B21" s="25" t="s">
        <v>175</v>
      </c>
      <c r="C21" s="44">
        <f>'Electricity prod.'!M17</f>
        <v>126.11705823541747</v>
      </c>
      <c r="D21" s="7"/>
      <c r="E21" s="7"/>
      <c r="F21" s="7">
        <v>14</v>
      </c>
      <c r="G21" s="7">
        <f t="shared" si="0"/>
        <v>4073.4216026518325</v>
      </c>
      <c r="H21" s="7">
        <f>C$5/((1+C$2)^F21)</f>
        <v>41910.753390289959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3916.7515410113774</v>
      </c>
      <c r="H22" s="7">
        <f>C$5/((1+C$2)^F22)</f>
        <v>40298.801336817269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32364.169344040518</v>
      </c>
      <c r="H23" s="7">
        <f>C$5/((1+C$2)^F23)</f>
        <v>38748.847439247373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3621.2569720889205</v>
      </c>
      <c r="H24" s="7">
        <f>C$5/((1+C$2)^F24)</f>
        <v>37258.507153122468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3">
      <c r="A25" s="7"/>
      <c r="B25" s="25"/>
      <c r="C25" s="24"/>
      <c r="D25" s="7"/>
      <c r="E25" s="7"/>
      <c r="F25" s="7">
        <v>18</v>
      </c>
      <c r="G25" s="7">
        <f t="shared" si="0"/>
        <v>3481.9778577778079</v>
      </c>
      <c r="H25" s="7">
        <f>C$5/((1+C$2)^F25)</f>
        <v>35825.487647233138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3">
      <c r="A26" s="7"/>
      <c r="B26" s="25" t="s">
        <v>236</v>
      </c>
      <c r="C26" s="24">
        <f>C24*C5</f>
        <v>1451.5172909450903</v>
      </c>
      <c r="D26" s="7"/>
      <c r="E26" s="7"/>
      <c r="F26" s="7">
        <v>19</v>
      </c>
      <c r="G26" s="7">
        <f t="shared" si="0"/>
        <v>3348.0556324786617</v>
      </c>
      <c r="H26" s="7">
        <f>C$5/((1+C$2)^F26)</f>
        <v>34447.584276185713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3219.2842619987132</v>
      </c>
      <c r="H27" s="7">
        <f>C$5/((1+C$2)^F27)</f>
        <v>33122.677188640104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3">
      <c r="A48" s="7"/>
      <c r="B48" s="25" t="s">
        <v>184</v>
      </c>
      <c r="C48" s="44">
        <f>Cases!M29</f>
        <v>191.92141497068135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3">
      <c r="A50" s="7"/>
      <c r="B50" s="25" t="s">
        <v>221</v>
      </c>
      <c r="C50" s="24">
        <f>C48*C49</f>
        <v>50823.633964458219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3">
      <c r="A53" s="7"/>
      <c r="B53" s="25" t="s">
        <v>222</v>
      </c>
      <c r="C53" s="24">
        <f>C50+C52+C51</f>
        <v>53563.633964458219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3">
      <c r="A54" s="7"/>
      <c r="B54" s="25" t="s">
        <v>213</v>
      </c>
      <c r="C54" s="24">
        <f>C50*K78</f>
        <v>2261.7962211479121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165421.36458685438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26798.89657178296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0.39401097139319363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26798.89657178296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803.96689715348873</v>
      </c>
      <c r="M67" s="27">
        <f>(M66/100)*M63</f>
        <v>789.18304842961788</v>
      </c>
      <c r="N67" s="28">
        <f>SUM(K67:M67)</f>
        <v>3140.5347383756457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</row>
    <row r="85" spans="1:32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</row>
    <row r="86" spans="1:32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</row>
    <row r="87" spans="1:32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</row>
    <row r="88" spans="1:32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</row>
    <row r="89" spans="1:32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Y88</f>
        <v>35025.658232149348</v>
      </c>
      <c r="M89" s="36" t="s">
        <v>168</v>
      </c>
      <c r="N89" s="7"/>
      <c r="O89" s="7">
        <f>O88/$M86</f>
        <v>9580.1704293571729</v>
      </c>
      <c r="P89" s="7">
        <f t="shared" ref="P89:AE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 t="shared" si="4"/>
        <v>53828.141854057751</v>
      </c>
      <c r="AF89" s="7"/>
    </row>
    <row r="90" spans="1:32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1051.8215685330135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44.664827619638267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26798.89657178296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1051.8215685330135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44.664827619638267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</row>
    <row r="101" spans="1:32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7DF2-FEC1-4A3E-8FEA-91592416C64E}">
  <dimension ref="A1:AF105"/>
  <sheetViews>
    <sheetView workbookViewId="0">
      <selection activeCell="B9" sqref="B9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2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3">
      <c r="A5" s="7"/>
      <c r="B5" s="25" t="s">
        <v>189</v>
      </c>
      <c r="C5" s="41">
        <f>Cases!N37</f>
        <v>69342.375238569788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0.43945412494620961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414135.1992316111</v>
      </c>
      <c r="K6" s="7"/>
      <c r="L6" s="7"/>
      <c r="M6" s="7">
        <f>SUM(H8:H27)</f>
        <v>942385.50902736979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3">
      <c r="A7" s="7"/>
      <c r="B7" s="235"/>
      <c r="C7" s="236"/>
      <c r="D7" s="7"/>
      <c r="E7" s="7"/>
      <c r="F7" s="7">
        <v>2050</v>
      </c>
      <c r="G7" s="43">
        <f>SUM(C23,C34,C53,K63,L63,M63,K65,L65,M65,C39)</f>
        <v>292819.24670754978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3">
      <c r="A8" s="7"/>
      <c r="B8" s="229"/>
      <c r="C8" s="229"/>
      <c r="D8" s="7"/>
      <c r="E8" s="7"/>
      <c r="F8" s="7">
        <v>1</v>
      </c>
      <c r="G8" s="7">
        <f>SUM(C$26,-C$9,C$54,N$67,C$38)/((1+C$2)^F8)</f>
        <v>6623.2164293275864</v>
      </c>
      <c r="H8" s="7">
        <f>C$5/((1+C$2)^F8)</f>
        <v>66675.360806317098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6368.4773358919092</v>
      </c>
      <c r="H9" s="7">
        <f>C$5/((1+C$2)^F9)</f>
        <v>64110.923852227977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3">
      <c r="A10" s="7"/>
      <c r="B10" s="229"/>
      <c r="C10" s="229"/>
      <c r="D10" s="7"/>
      <c r="E10" s="7"/>
      <c r="F10" s="7">
        <v>3</v>
      </c>
      <c r="G10" s="7">
        <f t="shared" si="0"/>
        <v>6123.5358998960673</v>
      </c>
      <c r="H10" s="7">
        <f>C$5/((1+C$2)^F10)</f>
        <v>61645.119088680753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3">
      <c r="A11" s="7"/>
      <c r="B11" s="229"/>
      <c r="C11" s="229"/>
      <c r="D11" s="7"/>
      <c r="E11" s="7"/>
      <c r="F11" s="7">
        <v>4</v>
      </c>
      <c r="G11" s="7">
        <f t="shared" si="0"/>
        <v>5888.015288361602</v>
      </c>
      <c r="H11" s="7">
        <f>C$5/((1+C$2)^F11)</f>
        <v>59274.152969885326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3">
      <c r="A12" s="7"/>
      <c r="B12" s="229"/>
      <c r="C12" s="229"/>
      <c r="D12" s="7"/>
      <c r="E12" s="7"/>
      <c r="F12" s="7">
        <v>5</v>
      </c>
      <c r="G12" s="7">
        <f t="shared" si="0"/>
        <v>5661.5531618861551</v>
      </c>
      <c r="H12" s="7">
        <f>C$5/((1+C$2)^F12)</f>
        <v>56994.377855658968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3">
      <c r="A13" s="7"/>
      <c r="B13" s="227"/>
      <c r="C13" s="227"/>
      <c r="D13" s="7"/>
      <c r="E13" s="7"/>
      <c r="F13" s="7">
        <v>6</v>
      </c>
      <c r="G13" s="7">
        <f t="shared" si="0"/>
        <v>5443.8011171982262</v>
      </c>
      <c r="H13" s="7">
        <f>C$5/((1+C$2)^F13)</f>
        <v>54802.286399672084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x14ac:dyDescent="0.3">
      <c r="A14" s="7"/>
      <c r="B14" s="227"/>
      <c r="C14" s="227"/>
      <c r="D14" s="7"/>
      <c r="E14" s="7"/>
      <c r="F14" s="7">
        <v>7</v>
      </c>
      <c r="G14" s="7">
        <f t="shared" si="0"/>
        <v>5234.4241511521413</v>
      </c>
      <c r="H14" s="7">
        <f>C$5/((1+C$2)^F14)</f>
        <v>52694.506153530856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x14ac:dyDescent="0.3">
      <c r="A15" s="7"/>
      <c r="D15" s="7"/>
      <c r="E15" s="7"/>
      <c r="F15" s="7">
        <v>8</v>
      </c>
      <c r="G15" s="7">
        <f t="shared" si="0"/>
        <v>5033.1001453385961</v>
      </c>
      <c r="H15" s="7">
        <f>C$5/((1+C$2)^F15)</f>
        <v>50667.79437839504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3">
      <c r="A16" s="7"/>
      <c r="B16" s="7"/>
      <c r="C16" s="7"/>
      <c r="D16" s="7"/>
      <c r="E16" s="7"/>
      <c r="F16" s="7">
        <v>9</v>
      </c>
      <c r="G16" s="7">
        <f t="shared" si="0"/>
        <v>4839.5193705178808</v>
      </c>
      <c r="H16" s="7">
        <f>C$5/((1+C$2)^F16)</f>
        <v>48719.033056149077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4653.3840101133474</v>
      </c>
      <c r="H17" s="7">
        <f>C$5/((1+C$2)^F17)</f>
        <v>46845.224092451033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4474.4077020320647</v>
      </c>
      <c r="H18" s="7">
        <f>C$5/((1+C$2)^F18)</f>
        <v>45043.484704279843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4302.3150981077533</v>
      </c>
      <c r="H19" s="7">
        <f>C$5/((1+C$2)^F19)</f>
        <v>43311.042984884458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4136.8414404882242</v>
      </c>
      <c r="H20" s="7">
        <f>C$5/((1+C$2)^F20)</f>
        <v>41645.233639311977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3">
      <c r="A21" s="7"/>
      <c r="B21" s="25" t="s">
        <v>175</v>
      </c>
      <c r="C21" s="44">
        <f>'Electricity prod.'!M17</f>
        <v>126.11705823541747</v>
      </c>
      <c r="D21" s="7"/>
      <c r="E21" s="7"/>
      <c r="F21" s="7">
        <v>14</v>
      </c>
      <c r="G21" s="7">
        <f t="shared" si="0"/>
        <v>3977.7321543156004</v>
      </c>
      <c r="H21" s="7">
        <f>C$5/((1+C$2)^F21)</f>
        <v>40043.493883953823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3824.7424560726927</v>
      </c>
      <c r="H22" s="7">
        <f>C$5/((1+C$2)^F22)</f>
        <v>38503.359503801752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31381.44986402426</v>
      </c>
      <c r="H23" s="7">
        <f>C$5/((1+C$2)^F23)</f>
        <v>37022.461061347836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3536.1894009547818</v>
      </c>
      <c r="H24" s="7">
        <f>C$5/((1+C$2)^F24)</f>
        <v>35598.520251295995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3">
      <c r="A25" s="7"/>
      <c r="B25" s="25"/>
      <c r="C25" s="24"/>
      <c r="D25" s="7"/>
      <c r="E25" s="7"/>
      <c r="F25" s="7">
        <v>18</v>
      </c>
      <c r="G25" s="7">
        <f t="shared" si="0"/>
        <v>3400.1821163026743</v>
      </c>
      <c r="H25" s="7">
        <f>C$5/((1+C$2)^F25)</f>
        <v>34229.34639547691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3">
      <c r="A26" s="7"/>
      <c r="B26" s="25" t="s">
        <v>236</v>
      </c>
      <c r="C26" s="24">
        <f>C24*C5</f>
        <v>1386.8475047713957</v>
      </c>
      <c r="D26" s="7"/>
      <c r="E26" s="7"/>
      <c r="F26" s="7">
        <v>19</v>
      </c>
      <c r="G26" s="7">
        <f t="shared" si="0"/>
        <v>3269.4058810602642</v>
      </c>
      <c r="H26" s="7">
        <f>C$5/((1+C$2)^F26)</f>
        <v>32912.833072573958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3143.6595010194847</v>
      </c>
      <c r="H27" s="7">
        <f>C$5/((1+C$2)^F27)</f>
        <v>31646.954877474956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3">
      <c r="A48" s="7"/>
      <c r="B48" s="25" t="s">
        <v>184</v>
      </c>
      <c r="C48" s="44">
        <f>Cases!N29</f>
        <v>185.59657248373611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3">
      <c r="A50" s="7"/>
      <c r="B50" s="25" t="s">
        <v>221</v>
      </c>
      <c r="C50" s="24">
        <f>C48*C49</f>
        <v>49148.721972544939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3">
      <c r="A53" s="7"/>
      <c r="B53" s="25" t="s">
        <v>222</v>
      </c>
      <c r="C53" s="24">
        <f>C50+C52+C51</f>
        <v>51888.721972544939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3">
      <c r="A54" s="7"/>
      <c r="B54" s="25" t="s">
        <v>213</v>
      </c>
      <c r="C54" s="24">
        <f>C50*K78</f>
        <v>2187.2578751352285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161854.70068450074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25915.728845730304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0.39082575203654968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25915.728845730304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777.47186537190908</v>
      </c>
      <c r="M67" s="27">
        <f>(M66/100)*M63</f>
        <v>789.18304842961788</v>
      </c>
      <c r="N67" s="28">
        <f>SUM(K67:M67)</f>
        <v>3114.039706594066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</row>
    <row r="85" spans="1:32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</row>
    <row r="86" spans="1:32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</row>
    <row r="87" spans="1:32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</row>
    <row r="88" spans="1:32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</row>
    <row r="89" spans="1:32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Z88</f>
        <v>33871.374478281839</v>
      </c>
      <c r="M89" s="36" t="s">
        <v>168</v>
      </c>
      <c r="N89" s="7"/>
      <c r="O89" s="7">
        <f>O88/$M86</f>
        <v>9580.1704293571729</v>
      </c>
      <c r="P89" s="7">
        <f t="shared" ref="P89:AE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 t="shared" si="4"/>
        <v>53828.141854057751</v>
      </c>
      <c r="AF89" s="7"/>
    </row>
    <row r="90" spans="1:32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1017.1583927411965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43.192881409550509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25915.728845730304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1017.1583927411965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43.192881409550509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</row>
    <row r="101" spans="1:32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7679-DC84-4178-A18B-5A7E10446791}">
  <dimension ref="A1:AF105"/>
  <sheetViews>
    <sheetView workbookViewId="0">
      <selection activeCell="B9" sqref="B9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2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3">
      <c r="A5" s="7"/>
      <c r="B5" s="25" t="s">
        <v>189</v>
      </c>
      <c r="C5" s="41">
        <f>Cases!O37</f>
        <v>86433.451856883054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0.37563537909006078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441243.41034723195</v>
      </c>
      <c r="K6" s="7"/>
      <c r="L6" s="7"/>
      <c r="M6" s="7">
        <f>SUM(H8:H27)</f>
        <v>1174658.8178570934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3">
      <c r="A7" s="7"/>
      <c r="D7" s="7"/>
      <c r="E7" s="7"/>
      <c r="F7" s="7">
        <v>2050</v>
      </c>
      <c r="G7" s="43">
        <f>SUM(C23,C34,C53,K63,L63,M63,K65,L65,M65,C39)</f>
        <v>304727.36349459039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3">
      <c r="A8" s="7"/>
      <c r="D8" s="7"/>
      <c r="E8" s="7"/>
      <c r="F8" s="7">
        <v>1</v>
      </c>
      <c r="G8" s="7">
        <f>SUM(C$26,-C$9,C$54,N$67,C$38)/((1+C$2)^F8)</f>
        <v>7404.1222034317443</v>
      </c>
      <c r="H8" s="7">
        <f>C$5/((1+C$2)^F8)</f>
        <v>83109.088323926015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7119.348272530523</v>
      </c>
      <c r="H9" s="7">
        <f>C$5/((1+C$2)^F9)</f>
        <v>79912.584926851923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3">
      <c r="A10" s="7"/>
      <c r="B10" s="229"/>
      <c r="C10" s="229"/>
      <c r="D10" s="7"/>
      <c r="E10" s="7"/>
      <c r="F10" s="7">
        <v>3</v>
      </c>
      <c r="G10" s="7">
        <f t="shared" si="0"/>
        <v>6845.5271851255029</v>
      </c>
      <c r="H10" s="7">
        <f>C$5/((1+C$2)^F10)</f>
        <v>76839.023968126858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3">
      <c r="A11" s="7"/>
      <c r="B11" s="229"/>
      <c r="C11" s="229"/>
      <c r="D11" s="7"/>
      <c r="E11" s="7"/>
      <c r="F11" s="7">
        <v>4</v>
      </c>
      <c r="G11" s="7">
        <f t="shared" si="0"/>
        <v>6582.2376780052909</v>
      </c>
      <c r="H11" s="7">
        <f>C$5/((1+C$2)^F11)</f>
        <v>73883.676892429663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3">
      <c r="A12" s="7"/>
      <c r="B12" s="229"/>
      <c r="C12" s="229"/>
      <c r="D12" s="7"/>
      <c r="E12" s="7"/>
      <c r="F12" s="7">
        <v>5</v>
      </c>
      <c r="G12" s="7">
        <f t="shared" si="0"/>
        <v>6329.0746903897025</v>
      </c>
      <c r="H12" s="7">
        <f>C$5/((1+C$2)^F12)</f>
        <v>71041.997011951593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3">
      <c r="A13" s="7"/>
      <c r="B13" s="227"/>
      <c r="C13" s="227"/>
      <c r="D13" s="7"/>
      <c r="E13" s="7"/>
      <c r="F13" s="7">
        <v>6</v>
      </c>
      <c r="G13" s="7">
        <f t="shared" si="0"/>
        <v>6085.6487407593286</v>
      </c>
      <c r="H13" s="7">
        <f>C$5/((1+C$2)^F13)</f>
        <v>68309.612511491912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x14ac:dyDescent="0.3">
      <c r="A14" s="7"/>
      <c r="B14" s="227"/>
      <c r="C14" s="227"/>
      <c r="D14" s="7"/>
      <c r="E14" s="7"/>
      <c r="F14" s="7">
        <v>7</v>
      </c>
      <c r="G14" s="7">
        <f t="shared" si="0"/>
        <v>5851.5853276532016</v>
      </c>
      <c r="H14" s="7">
        <f>C$5/((1+C$2)^F14)</f>
        <v>65682.319722588378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x14ac:dyDescent="0.3">
      <c r="A15" s="7"/>
      <c r="D15" s="7"/>
      <c r="E15" s="7"/>
      <c r="F15" s="7">
        <v>8</v>
      </c>
      <c r="G15" s="7">
        <f t="shared" si="0"/>
        <v>5626.5243535126929</v>
      </c>
      <c r="H15" s="7">
        <f>C$5/((1+C$2)^F15)</f>
        <v>63156.076656334975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3">
      <c r="A16" s="7"/>
      <c r="B16" s="7"/>
      <c r="C16" s="7"/>
      <c r="D16" s="7"/>
      <c r="E16" s="7"/>
      <c r="F16" s="7">
        <v>9</v>
      </c>
      <c r="G16" s="7">
        <f t="shared" si="0"/>
        <v>5410.1195706852814</v>
      </c>
      <c r="H16" s="7">
        <f>C$5/((1+C$2)^F16)</f>
        <v>60726.996784937466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5202.038048735847</v>
      </c>
      <c r="H17" s="7">
        <f>C$5/((1+C$2)^F17)</f>
        <v>58391.343062439875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5001.9596622460076</v>
      </c>
      <c r="H18" s="7">
        <f>C$5/((1+C$2)^F18)</f>
        <v>56145.522175422964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4809.576598313467</v>
      </c>
      <c r="H19" s="7">
        <f>C$5/((1+C$2)^F19)</f>
        <v>53986.07901482976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4624.5928829937184</v>
      </c>
      <c r="H20" s="7">
        <f>C$5/((1+C$2)^F20)</f>
        <v>51909.691360413228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3">
      <c r="A21" s="7"/>
      <c r="B21" s="25" t="s">
        <v>175</v>
      </c>
      <c r="C21" s="44">
        <f>'Electricity prod.'!M17</f>
        <v>126.11705823541747</v>
      </c>
      <c r="D21" s="7"/>
      <c r="E21" s="7"/>
      <c r="F21" s="7">
        <v>14</v>
      </c>
      <c r="G21" s="7">
        <f t="shared" si="0"/>
        <v>4446.723925955499</v>
      </c>
      <c r="H21" s="7">
        <f>C$5/((1+C$2)^F21)</f>
        <v>49913.164769628107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4275.6960826495178</v>
      </c>
      <c r="H22" s="7">
        <f>C$5/((1+C$2)^F22)</f>
        <v>47993.427663103947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35977.878561593512</v>
      </c>
      <c r="H23" s="7">
        <f>C$5/((1+C$2)^F23)</f>
        <v>46147.5265991384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3953.1213781892725</v>
      </c>
      <c r="H24" s="7">
        <f>C$5/((1+C$2)^F24)</f>
        <v>44372.621729940773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3">
      <c r="A25" s="7"/>
      <c r="B25" s="25"/>
      <c r="C25" s="24"/>
      <c r="D25" s="7"/>
      <c r="E25" s="7"/>
      <c r="F25" s="7">
        <v>18</v>
      </c>
      <c r="G25" s="7">
        <f t="shared" si="0"/>
        <v>3801.0782482589157</v>
      </c>
      <c r="H25" s="7">
        <f>C$5/((1+C$2)^F25)</f>
        <v>42665.982432635348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3">
      <c r="A26" s="7"/>
      <c r="B26" s="25" t="s">
        <v>236</v>
      </c>
      <c r="C26" s="24">
        <f>C24*C5</f>
        <v>1728.669037137661</v>
      </c>
      <c r="D26" s="7"/>
      <c r="E26" s="7"/>
      <c r="F26" s="7">
        <v>19</v>
      </c>
      <c r="G26" s="7">
        <f t="shared" si="0"/>
        <v>3654.8829310181882</v>
      </c>
      <c r="H26" s="7">
        <f>C$5/((1+C$2)^F26)</f>
        <v>41024.983108303226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3514.3105105944114</v>
      </c>
      <c r="H27" s="7">
        <f>C$5/((1+C$2)^F27)</f>
        <v>39447.099142599254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3">
      <c r="A48" s="7"/>
      <c r="B48" s="25" t="s">
        <v>184</v>
      </c>
      <c r="C48" s="44">
        <f>Cases!O29</f>
        <v>215.0393464775307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3">
      <c r="A50" s="7"/>
      <c r="B50" s="25" t="s">
        <v>221</v>
      </c>
      <c r="C50" s="24">
        <f>C48*C49</f>
        <v>56945.604715346097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3">
      <c r="A53" s="7"/>
      <c r="B53" s="25" t="s">
        <v>222</v>
      </c>
      <c r="C53" s="24">
        <f>C50+C52+C51</f>
        <v>59685.604715346097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3">
      <c r="A54" s="7"/>
      <c r="B54" s="25" t="s">
        <v>213</v>
      </c>
      <c r="C54" s="24">
        <f>C50*K78</f>
        <v>2534.2413265101031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178457.87766567839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30026.962889969807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0.40444315650004337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30026.962889969807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900.80888669909416</v>
      </c>
      <c r="M67" s="27">
        <f>(M66/100)*M63</f>
        <v>789.18304842961788</v>
      </c>
      <c r="N67" s="28">
        <f>SUM(K67:M67)</f>
        <v>3237.3767279212511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</row>
    <row r="85" spans="1:32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</row>
    <row r="86" spans="1:32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</row>
    <row r="87" spans="1:32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</row>
    <row r="88" spans="1:32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</row>
    <row r="89" spans="1:32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AA88</f>
        <v>39244.680732149354</v>
      </c>
      <c r="M89" s="36" t="s">
        <v>168</v>
      </c>
      <c r="N89" s="7"/>
      <c r="O89" s="7">
        <f>O88/$M86</f>
        <v>9580.1704293571729</v>
      </c>
      <c r="P89" s="7">
        <f t="shared" ref="P89:AE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 t="shared" si="4"/>
        <v>53828.141854057751</v>
      </c>
      <c r="AF89" s="7"/>
    </row>
    <row r="90" spans="1:32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1178.5189409053862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50.044938149949679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30026.962889969807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1178.5189409053862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50.044938149949679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</row>
    <row r="101" spans="1:32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2992-00EB-45B2-A251-CB7EDBA8E2A5}">
  <dimension ref="A1:AG104"/>
  <sheetViews>
    <sheetView workbookViewId="0">
      <selection activeCell="B10" sqref="B10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3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x14ac:dyDescent="0.3">
      <c r="A5" s="7"/>
      <c r="B5" s="25" t="s">
        <v>189</v>
      </c>
      <c r="C5" s="41">
        <f>Cases!P37</f>
        <v>58617.782318608501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0.49601328919961557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395141.44313753297</v>
      </c>
      <c r="K6" s="7"/>
      <c r="L6" s="7"/>
      <c r="M6" s="7">
        <f>SUM(H8:H27)</f>
        <v>796634.79132816591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3">
      <c r="A7" s="7"/>
      <c r="D7" s="7"/>
      <c r="E7" s="7"/>
      <c r="F7" s="7">
        <v>2050</v>
      </c>
      <c r="G7" s="43">
        <f>SUM(C23,C34,C53,K63,L63,M63,K65,L65,M65,C39)</f>
        <v>284295.46499923989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x14ac:dyDescent="0.3">
      <c r="A8" s="7"/>
      <c r="D8" s="7"/>
      <c r="E8" s="7"/>
      <c r="F8" s="7">
        <v>1</v>
      </c>
      <c r="G8" s="7">
        <f>SUM(C$26,-C$9,C$54,N$67,C$38)/((1+C$2)^F8)</f>
        <v>6093.2689816425327</v>
      </c>
      <c r="H8" s="7">
        <f>C$5/((1+C$2)^F8)</f>
        <v>56363.252229431251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5858.912482348589</v>
      </c>
      <c r="H9" s="7">
        <f>C$5/((1+C$2)^F9)</f>
        <v>54195.434835991582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3">
      <c r="A10" s="7"/>
      <c r="B10" s="229"/>
      <c r="C10" s="229"/>
      <c r="D10" s="7"/>
      <c r="E10" s="7"/>
      <c r="F10" s="7">
        <v>3</v>
      </c>
      <c r="G10" s="7">
        <f t="shared" si="0"/>
        <v>5633.5696945659511</v>
      </c>
      <c r="H10" s="7">
        <f>C$5/((1+C$2)^F10)</f>
        <v>52110.995034607295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3">
      <c r="A11" s="7"/>
      <c r="B11" s="229"/>
      <c r="C11" s="229"/>
      <c r="D11" s="7"/>
      <c r="E11" s="7"/>
      <c r="F11" s="7">
        <v>4</v>
      </c>
      <c r="G11" s="7">
        <f t="shared" si="0"/>
        <v>5416.8939370826447</v>
      </c>
      <c r="H11" s="7">
        <f>C$5/((1+C$2)^F11)</f>
        <v>50106.725994814697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x14ac:dyDescent="0.3">
      <c r="A12" s="7"/>
      <c r="B12" s="229"/>
      <c r="C12" s="229"/>
      <c r="D12" s="7"/>
      <c r="E12" s="7"/>
      <c r="F12" s="7">
        <v>5</v>
      </c>
      <c r="G12" s="7">
        <f t="shared" si="0"/>
        <v>5208.5518625794657</v>
      </c>
      <c r="H12" s="7">
        <f>C$5/((1+C$2)^F12)</f>
        <v>48179.544225783357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x14ac:dyDescent="0.3">
      <c r="A13" s="7"/>
      <c r="B13" s="227"/>
      <c r="C13" s="227"/>
      <c r="D13" s="7"/>
      <c r="E13" s="7"/>
      <c r="F13" s="7">
        <v>6</v>
      </c>
      <c r="G13" s="7">
        <f t="shared" si="0"/>
        <v>5008.2229447879472</v>
      </c>
      <c r="H13" s="7">
        <f>C$5/((1+C$2)^F13)</f>
        <v>46326.484832483999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x14ac:dyDescent="0.3">
      <c r="A14" s="7"/>
      <c r="B14" s="227"/>
      <c r="C14" s="227"/>
      <c r="D14" s="7"/>
      <c r="E14" s="7"/>
      <c r="F14" s="7">
        <v>7</v>
      </c>
      <c r="G14" s="7">
        <f t="shared" si="0"/>
        <v>4815.5989853730271</v>
      </c>
      <c r="H14" s="7">
        <f>C$5/((1+C$2)^F14)</f>
        <v>44544.696954311541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3">
      <c r="A15" s="7"/>
      <c r="B15" s="229"/>
      <c r="C15" s="229"/>
      <c r="D15" s="7"/>
      <c r="E15" s="7"/>
      <c r="F15" s="7">
        <v>8</v>
      </c>
      <c r="G15" s="7">
        <f t="shared" si="0"/>
        <v>4630.3836397817558</v>
      </c>
      <c r="H15" s="7">
        <f>C$5/((1+C$2)^F15)</f>
        <v>42831.439379145704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x14ac:dyDescent="0.3">
      <c r="A16" s="7"/>
      <c r="B16" s="7"/>
      <c r="C16" s="7"/>
      <c r="D16" s="7"/>
      <c r="E16" s="7"/>
      <c r="F16" s="7">
        <v>9</v>
      </c>
      <c r="G16" s="7">
        <f t="shared" si="0"/>
        <v>4452.2919613286113</v>
      </c>
      <c r="H16" s="7">
        <f>C$5/((1+C$2)^F16)</f>
        <v>41184.076326101633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4281.0499628159723</v>
      </c>
      <c r="H17" s="7">
        <f>C$5/((1+C$2)^F17)</f>
        <v>39600.073390482343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4116.3941950153585</v>
      </c>
      <c r="H18" s="7">
        <f>C$5/((1+C$2)^F18)</f>
        <v>38076.993644694565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3958.0713413609205</v>
      </c>
      <c r="H19" s="7">
        <f>C$5/((1+C$2)^F19)</f>
        <v>36612.493889129379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3805.8378282316539</v>
      </c>
      <c r="H20" s="7">
        <f>C$5/((1+C$2)^F20)</f>
        <v>35204.321047239784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3">
      <c r="A21" s="7"/>
      <c r="B21" s="25" t="s">
        <v>175</v>
      </c>
      <c r="C21" s="44">
        <f>'Electricity prod.'!O17</f>
        <v>126.11705823541747</v>
      </c>
      <c r="D21" s="7"/>
      <c r="E21" s="7"/>
      <c r="F21" s="7">
        <v>14</v>
      </c>
      <c r="G21" s="7">
        <f t="shared" si="0"/>
        <v>3659.4594502227442</v>
      </c>
      <c r="H21" s="7">
        <f>C$5/((1+C$2)^F21)</f>
        <v>33850.30869926903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3518.711009829562</v>
      </c>
      <c r="H22" s="7">
        <f>C$5/((1+C$2)^F22)</f>
        <v>32548.373749297141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28107.45958236454</v>
      </c>
      <c r="H23" s="7">
        <f>C$5/((1+C$2)^F23)</f>
        <v>31296.513220478017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3253.2461259518873</v>
      </c>
      <c r="H24" s="7">
        <f>C$5/((1+C$2)^F24)</f>
        <v>30092.801173536551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3">
      <c r="A25" s="7"/>
      <c r="B25" s="25"/>
      <c r="C25" s="24"/>
      <c r="D25" s="7"/>
      <c r="E25" s="7"/>
      <c r="F25" s="7">
        <v>18</v>
      </c>
      <c r="G25" s="7">
        <f t="shared" si="0"/>
        <v>3128.1212749537376</v>
      </c>
      <c r="H25" s="7">
        <f>C$5/((1+C$2)^F25)</f>
        <v>28935.385743785144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x14ac:dyDescent="0.3">
      <c r="A26" s="7"/>
      <c r="B26" s="25" t="s">
        <v>236</v>
      </c>
      <c r="C26" s="24">
        <f>C24*C5</f>
        <v>1172.35564637217</v>
      </c>
      <c r="D26" s="7"/>
      <c r="E26" s="7"/>
      <c r="F26" s="7">
        <v>19</v>
      </c>
      <c r="G26" s="7">
        <f t="shared" si="0"/>
        <v>3007.8089182247477</v>
      </c>
      <c r="H26" s="7">
        <f>C$5/((1+C$2)^F26)</f>
        <v>27822.486292101101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2892.1239598314883</v>
      </c>
      <c r="H27" s="7">
        <f>C$5/((1+C$2)^F27)</f>
        <v>26752.390665481827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3">
      <c r="A48" s="7"/>
      <c r="B48" s="25" t="s">
        <v>184</v>
      </c>
      <c r="C48" s="44">
        <f>Cases!P29</f>
        <v>164.52155425051501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3">
      <c r="A50" s="7"/>
      <c r="B50" s="25" t="s">
        <v>221</v>
      </c>
      <c r="C50" s="24">
        <f>C48*C49</f>
        <v>43567.744921895646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3">
      <c r="A53" s="7"/>
      <c r="B53" s="25" t="s">
        <v>222</v>
      </c>
      <c r="C53" s="24">
        <f>C50+C52+C51</f>
        <v>46307.744921895646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3">
      <c r="A54" s="7"/>
      <c r="B54" s="25" t="s">
        <v>213</v>
      </c>
      <c r="C54" s="24">
        <f>C50*K78</f>
        <v>1938.8885276718163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149970.21392787027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22972.924188069712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0.37953552210840008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22972.924188069712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689.18772564209132</v>
      </c>
      <c r="M67" s="27">
        <f>(M66/100)*M63</f>
        <v>789.18304842961788</v>
      </c>
      <c r="N67" s="28">
        <f>SUM(K67:M67)</f>
        <v>3025.7555668642481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  <c r="AG84" s="7"/>
    </row>
    <row r="85" spans="1:33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  <c r="AG85" s="7"/>
    </row>
    <row r="86" spans="1:33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  <c r="AG86" s="7"/>
    </row>
    <row r="87" spans="1:33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  <c r="AG87" s="7"/>
    </row>
    <row r="88" spans="1:33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  <c r="AG88" s="7"/>
    </row>
    <row r="89" spans="1:33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AB88</f>
        <v>30025.183650718991</v>
      </c>
      <c r="M89" s="36" t="s">
        <v>168</v>
      </c>
      <c r="N89" s="7"/>
      <c r="O89" s="7">
        <f>O88/$M86</f>
        <v>9580.1704293571729</v>
      </c>
      <c r="P89" s="7">
        <f t="shared" ref="P89:AE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 t="shared" si="4"/>
        <v>53828.141854057751</v>
      </c>
      <c r="AF89" s="7"/>
      <c r="AG89" s="7"/>
    </row>
    <row r="90" spans="1:33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901.65716668825803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38.288206980116186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22972.924188069712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901.65716668825803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38.288206980116186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  <c r="AG100" s="7"/>
    </row>
    <row r="101" spans="1:33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8CCC-F55D-4DA2-81AA-7AF00FF81B1D}">
  <dimension ref="A1:AM108"/>
  <sheetViews>
    <sheetView workbookViewId="0">
      <selection activeCell="B11" sqref="B11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14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3">
      <c r="A5" s="7"/>
      <c r="B5" s="25" t="s">
        <v>189</v>
      </c>
      <c r="C5" s="41">
        <f>Cases!Q37</f>
        <v>74237.984657768917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0.41812087562878164</v>
      </c>
      <c r="K5" s="7"/>
      <c r="L5" s="7"/>
      <c r="M5" s="7" t="s">
        <v>327</v>
      </c>
      <c r="N5" s="7"/>
    </row>
    <row r="6" spans="1:14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421849.86102383182</v>
      </c>
      <c r="K6" s="7"/>
      <c r="L6" s="7"/>
      <c r="M6" s="7">
        <f>SUM(H8:H27)</f>
        <v>1008918.4386917837</v>
      </c>
      <c r="N6" s="7"/>
    </row>
    <row r="7" spans="1:14" x14ac:dyDescent="0.3">
      <c r="A7" s="7"/>
      <c r="B7" s="227"/>
      <c r="C7" s="227"/>
      <c r="D7" s="7"/>
      <c r="E7" s="7"/>
      <c r="F7" s="7">
        <v>2050</v>
      </c>
      <c r="G7" s="43">
        <f>SUM(C23,C34,C53,K63,L63,M63,K65,L65,M65,C39)</f>
        <v>296203.58178628056</v>
      </c>
      <c r="H7" s="7"/>
      <c r="I7" s="7"/>
      <c r="J7" s="7"/>
      <c r="K7" s="7"/>
      <c r="L7" s="7"/>
      <c r="M7" s="7"/>
      <c r="N7" s="7"/>
    </row>
    <row r="8" spans="1:14" x14ac:dyDescent="0.3">
      <c r="A8" s="7"/>
      <c r="B8" s="227"/>
      <c r="C8" s="227"/>
      <c r="D8" s="7"/>
      <c r="E8" s="7"/>
      <c r="F8" s="7">
        <v>1</v>
      </c>
      <c r="G8" s="7">
        <f>SUM(C$26,-C$9,C$54,N$67,C$38)/((1+C$2)^F8)</f>
        <v>6845.8887119168294</v>
      </c>
      <c r="H8" s="7">
        <f>C$5/((1+C$2)^F8)</f>
        <v>71382.677555547038</v>
      </c>
      <c r="I8" s="7"/>
      <c r="J8" s="7"/>
      <c r="K8" s="7"/>
      <c r="L8" s="7"/>
      <c r="M8" s="7"/>
      <c r="N8" s="7"/>
    </row>
    <row r="9" spans="1:14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6582.5852999200279</v>
      </c>
      <c r="H9" s="7">
        <f>C$5/((1+C$2)^F9)</f>
        <v>68637.189957256764</v>
      </c>
      <c r="I9" s="7"/>
      <c r="J9" s="7"/>
      <c r="K9" s="7"/>
      <c r="L9" s="7"/>
      <c r="M9" s="7"/>
      <c r="N9" s="7"/>
    </row>
    <row r="10" spans="1:14" x14ac:dyDescent="0.3">
      <c r="A10" s="7"/>
      <c r="B10" s="229"/>
      <c r="C10" s="229"/>
      <c r="D10" s="7"/>
      <c r="E10" s="7"/>
      <c r="F10" s="7">
        <v>3</v>
      </c>
      <c r="G10" s="7">
        <f t="shared" si="0"/>
        <v>6329.4089422307961</v>
      </c>
      <c r="H10" s="7">
        <f>C$5/((1+C$2)^F10)</f>
        <v>65997.298035823813</v>
      </c>
      <c r="I10" s="7"/>
      <c r="J10" s="7"/>
      <c r="K10" s="7"/>
      <c r="L10" s="7"/>
      <c r="M10" s="7"/>
      <c r="N10" s="7"/>
    </row>
    <row r="11" spans="1:14" x14ac:dyDescent="0.3">
      <c r="A11" s="7"/>
      <c r="B11" s="229"/>
      <c r="C11" s="229"/>
      <c r="D11" s="7"/>
      <c r="E11" s="7"/>
      <c r="F11" s="7">
        <v>4</v>
      </c>
      <c r="G11" s="7">
        <f t="shared" si="0"/>
        <v>6085.9701367603802</v>
      </c>
      <c r="H11" s="7">
        <f>C$5/((1+C$2)^F11)</f>
        <v>63458.94041906135</v>
      </c>
      <c r="I11" s="7"/>
      <c r="J11" s="7"/>
      <c r="K11" s="7"/>
      <c r="L11" s="7"/>
      <c r="M11" s="7"/>
      <c r="N11" s="7"/>
    </row>
    <row r="12" spans="1:14" x14ac:dyDescent="0.3">
      <c r="A12" s="7"/>
      <c r="B12" s="227"/>
      <c r="C12" s="227"/>
      <c r="D12" s="7"/>
      <c r="E12" s="7"/>
      <c r="F12" s="7">
        <v>5</v>
      </c>
      <c r="G12" s="7">
        <f t="shared" si="0"/>
        <v>5851.8943622695961</v>
      </c>
      <c r="H12" s="7">
        <f>C$5/((1+C$2)^F12)</f>
        <v>61018.211941405134</v>
      </c>
      <c r="I12" s="7"/>
      <c r="J12" s="7"/>
      <c r="K12" s="7"/>
      <c r="L12" s="7"/>
      <c r="M12" s="7"/>
      <c r="N12" s="7"/>
    </row>
    <row r="13" spans="1:14" x14ac:dyDescent="0.3">
      <c r="A13" s="7"/>
      <c r="B13" s="227"/>
      <c r="C13" s="227"/>
      <c r="D13" s="7"/>
      <c r="E13" s="7"/>
      <c r="F13" s="7">
        <v>6</v>
      </c>
      <c r="G13" s="7">
        <f t="shared" si="0"/>
        <v>5626.8215021823034</v>
      </c>
      <c r="H13" s="7">
        <f>C$5/((1+C$2)^F13)</f>
        <v>58671.357635966473</v>
      </c>
      <c r="I13" s="7"/>
      <c r="J13" s="7"/>
      <c r="K13" s="7"/>
      <c r="L13" s="7"/>
      <c r="M13" s="7"/>
      <c r="N13" s="7"/>
    </row>
    <row r="14" spans="1:14" x14ac:dyDescent="0.3">
      <c r="A14" s="7"/>
      <c r="B14" s="227"/>
      <c r="C14" s="227"/>
      <c r="D14" s="7"/>
      <c r="E14" s="7"/>
      <c r="F14" s="7">
        <v>7</v>
      </c>
      <c r="G14" s="7">
        <f t="shared" si="0"/>
        <v>5410.4052905599083</v>
      </c>
      <c r="H14" s="7">
        <f>C$5/((1+C$2)^F14)</f>
        <v>56414.766957660075</v>
      </c>
      <c r="I14" s="7"/>
      <c r="J14" s="7"/>
      <c r="K14" s="7"/>
      <c r="L14" s="7"/>
      <c r="M14" s="7"/>
      <c r="N14" s="7"/>
    </row>
    <row r="15" spans="1:14" x14ac:dyDescent="0.3">
      <c r="A15" s="7"/>
      <c r="D15" s="7"/>
      <c r="E15" s="7"/>
      <c r="F15" s="7">
        <v>8</v>
      </c>
      <c r="G15" s="7">
        <f t="shared" si="0"/>
        <v>5202.312779384526</v>
      </c>
      <c r="H15" s="7">
        <f>C$5/((1+C$2)^F15)</f>
        <v>54244.968228519298</v>
      </c>
      <c r="I15" s="7"/>
      <c r="J15" s="7"/>
      <c r="K15" s="7"/>
      <c r="L15" s="7"/>
      <c r="M15" s="7"/>
      <c r="N15" s="7"/>
    </row>
    <row r="16" spans="1:14" x14ac:dyDescent="0.3">
      <c r="A16" s="7"/>
      <c r="B16" s="7"/>
      <c r="C16" s="7"/>
      <c r="D16" s="7"/>
      <c r="E16" s="7"/>
      <c r="F16" s="7">
        <v>9</v>
      </c>
      <c r="G16" s="7">
        <f t="shared" si="0"/>
        <v>5002.2238263312747</v>
      </c>
      <c r="H16" s="7">
        <f>C$5/((1+C$2)^F16)</f>
        <v>52158.623296653168</v>
      </c>
      <c r="I16" s="7"/>
      <c r="J16" s="7"/>
      <c r="K16" s="7"/>
      <c r="L16" s="7"/>
      <c r="M16" s="7"/>
      <c r="N16" s="7"/>
    </row>
    <row r="17" spans="1:14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4809.83060224161</v>
      </c>
      <c r="H17" s="7">
        <f>C$5/((1+C$2)^F17)</f>
        <v>50152.52240062804</v>
      </c>
      <c r="I17" s="7"/>
      <c r="J17" s="7"/>
      <c r="K17" s="7"/>
      <c r="L17" s="7"/>
      <c r="M17" s="7"/>
      <c r="N17" s="7"/>
    </row>
    <row r="18" spans="1:14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4624.8371175400098</v>
      </c>
      <c r="H18" s="7">
        <f>C$5/((1+C$2)^F18)</f>
        <v>48223.579231373122</v>
      </c>
      <c r="I18" s="7"/>
      <c r="J18" s="7"/>
      <c r="K18" s="7"/>
      <c r="L18" s="7"/>
      <c r="M18" s="7"/>
      <c r="N18" s="7"/>
    </row>
    <row r="19" spans="1:14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4446.958766865393</v>
      </c>
      <c r="H19" s="7">
        <f>C$5/((1+C$2)^F19)</f>
        <v>46368.826184012607</v>
      </c>
      <c r="I19" s="7"/>
      <c r="J19" s="7"/>
      <c r="K19" s="7"/>
      <c r="L19" s="7"/>
      <c r="M19" s="7"/>
      <c r="N19" s="7"/>
    </row>
    <row r="20" spans="1:14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4275.9218912167244</v>
      </c>
      <c r="H20" s="7">
        <f>C$5/((1+C$2)^F20)</f>
        <v>44585.409792319813</v>
      </c>
      <c r="I20" s="7"/>
      <c r="J20" s="7"/>
      <c r="K20" s="7"/>
      <c r="L20" s="7"/>
      <c r="M20" s="7"/>
      <c r="N20" s="7"/>
    </row>
    <row r="21" spans="1:14" x14ac:dyDescent="0.3">
      <c r="A21" s="7"/>
      <c r="B21" s="25" t="s">
        <v>175</v>
      </c>
      <c r="C21" s="44">
        <f>'Electricity prod.'!O17</f>
        <v>126.11705823541747</v>
      </c>
      <c r="D21" s="7"/>
      <c r="E21" s="7"/>
      <c r="F21" s="7">
        <v>14</v>
      </c>
      <c r="G21" s="7">
        <f t="shared" si="0"/>
        <v>4111.4633569391581</v>
      </c>
      <c r="H21" s="7">
        <f>C$5/((1+C$2)^F21)</f>
        <v>42870.586338769055</v>
      </c>
      <c r="I21" s="7"/>
      <c r="J21" s="7"/>
      <c r="K21" s="7"/>
      <c r="L21" s="7"/>
      <c r="M21" s="7"/>
      <c r="N21" s="7"/>
    </row>
    <row r="22" spans="1:14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3953.3301509030366</v>
      </c>
      <c r="H22" s="7">
        <f>C$5/((1+C$2)^F22)</f>
        <v>41221.717633431785</v>
      </c>
      <c r="I22" s="7"/>
      <c r="J22" s="7"/>
      <c r="K22" s="7"/>
      <c r="L22" s="7"/>
      <c r="M22" s="7"/>
      <c r="N22" s="7"/>
    </row>
    <row r="23" spans="1:14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32688.182043872876</v>
      </c>
      <c r="H23" s="7">
        <f>C$5/((1+C$2)^F23)</f>
        <v>39636.266955222862</v>
      </c>
      <c r="I23" s="7"/>
      <c r="J23" s="7"/>
      <c r="K23" s="7"/>
      <c r="L23" s="7"/>
      <c r="M23" s="7"/>
      <c r="N23" s="7"/>
    </row>
    <row r="24" spans="1:14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3655.0759531278068</v>
      </c>
      <c r="H24" s="7">
        <f>C$5/((1+C$2)^F24)</f>
        <v>38111.79514925275</v>
      </c>
      <c r="I24" s="7"/>
      <c r="J24" s="7"/>
      <c r="K24" s="7"/>
      <c r="L24" s="7"/>
      <c r="M24" s="7"/>
      <c r="N24" s="7"/>
    </row>
    <row r="25" spans="1:14" x14ac:dyDescent="0.3">
      <c r="A25" s="7"/>
      <c r="B25" s="25"/>
      <c r="C25" s="24"/>
      <c r="D25" s="7"/>
      <c r="E25" s="7"/>
      <c r="F25" s="7">
        <v>18</v>
      </c>
      <c r="G25" s="7">
        <f t="shared" si="0"/>
        <v>3514.4961087767369</v>
      </c>
      <c r="H25" s="7">
        <f>C$5/((1+C$2)^F25)</f>
        <v>36645.956874281488</v>
      </c>
      <c r="I25" s="7"/>
      <c r="J25" s="7"/>
      <c r="K25" s="7"/>
      <c r="L25" s="7"/>
      <c r="M25" s="7"/>
      <c r="N25" s="7"/>
    </row>
    <row r="26" spans="1:14" x14ac:dyDescent="0.3">
      <c r="A26" s="7"/>
      <c r="B26" s="25" t="s">
        <v>236</v>
      </c>
      <c r="C26" s="24">
        <f>C24*C5</f>
        <v>1484.7596931553783</v>
      </c>
      <c r="D26" s="7"/>
      <c r="E26" s="7"/>
      <c r="F26" s="7">
        <v>19</v>
      </c>
      <c r="G26" s="7">
        <f t="shared" si="0"/>
        <v>3379.3231815160934</v>
      </c>
      <c r="H26" s="7">
        <f>C$5/((1+C$2)^F26)</f>
        <v>35236.496994501431</v>
      </c>
      <c r="I26" s="7"/>
      <c r="J26" s="7"/>
      <c r="K26" s="7"/>
      <c r="L26" s="7"/>
      <c r="M26" s="7"/>
      <c r="N26" s="7"/>
    </row>
    <row r="27" spans="1:14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3249.3492129962433</v>
      </c>
      <c r="H27" s="7">
        <f>C$5/((1+C$2)^F27)</f>
        <v>33881.247110097531</v>
      </c>
      <c r="I27" s="7"/>
      <c r="J27" s="7"/>
      <c r="K27" s="7"/>
      <c r="L27" s="7"/>
      <c r="M27" s="7"/>
      <c r="N27" s="7"/>
    </row>
    <row r="28" spans="1:14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3">
      <c r="A48" s="7"/>
      <c r="B48" s="25" t="s">
        <v>184</v>
      </c>
      <c r="C48" s="44">
        <f>Cases!Q29</f>
        <v>193.9643282443096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39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39" x14ac:dyDescent="0.3">
      <c r="A50" s="7"/>
      <c r="B50" s="25" t="s">
        <v>221</v>
      </c>
      <c r="C50" s="24">
        <f>C48*C49</f>
        <v>51364.627664696804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39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39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x14ac:dyDescent="0.3">
      <c r="A53" s="7"/>
      <c r="B53" s="25" t="s">
        <v>222</v>
      </c>
      <c r="C53" s="24">
        <f>C50+C52+C51</f>
        <v>54104.627664696804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x14ac:dyDescent="0.3">
      <c r="A54" s="7"/>
      <c r="B54" s="25" t="s">
        <v>213</v>
      </c>
      <c r="C54" s="24">
        <f>C50*K78</f>
        <v>2285.8719790466912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166573.39090904791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27084.158232309219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0.3948641597386649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27084.158232309219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812.52474696927652</v>
      </c>
      <c r="M67" s="27">
        <f>(M66/100)*M63</f>
        <v>789.18304842961788</v>
      </c>
      <c r="N67" s="28">
        <f>SUM(K67:M67)</f>
        <v>3149.0925881914336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  <c r="AG84" s="7"/>
      <c r="AH84" s="7"/>
      <c r="AI84" s="7"/>
      <c r="AJ84" s="7"/>
      <c r="AK84" s="7"/>
      <c r="AL84" s="7"/>
      <c r="AM84" s="7"/>
    </row>
    <row r="85" spans="1:39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  <c r="AG85" s="7"/>
      <c r="AH85" s="7"/>
      <c r="AI85" s="7"/>
      <c r="AJ85" s="7"/>
      <c r="AK85" s="7"/>
      <c r="AL85" s="7"/>
      <c r="AM85" s="7"/>
    </row>
    <row r="86" spans="1:39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  <c r="AG86" s="7"/>
      <c r="AH86" s="7"/>
      <c r="AI86" s="7"/>
      <c r="AJ86" s="7"/>
      <c r="AK86" s="7"/>
      <c r="AL86" s="7"/>
      <c r="AM86" s="7"/>
    </row>
    <row r="87" spans="1:39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  <c r="AG87" s="7"/>
      <c r="AH87" s="7"/>
      <c r="AI87" s="7"/>
      <c r="AJ87" s="7"/>
      <c r="AK87" s="7"/>
      <c r="AL87" s="7"/>
      <c r="AM87" s="7"/>
    </row>
    <row r="88" spans="1:39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  <c r="AG88" s="7"/>
      <c r="AH88" s="7"/>
      <c r="AI88" s="7"/>
      <c r="AJ88" s="7"/>
      <c r="AK88" s="7"/>
      <c r="AL88" s="7"/>
      <c r="AM88" s="7"/>
    </row>
    <row r="89" spans="1:39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AC88</f>
        <v>35398.489904586502</v>
      </c>
      <c r="M89" s="36" t="s">
        <v>168</v>
      </c>
      <c r="N89" s="7"/>
      <c r="O89" s="7">
        <f>O88/$M86</f>
        <v>9580.1704293571729</v>
      </c>
      <c r="P89" s="7">
        <f t="shared" ref="P89:AE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 t="shared" si="4"/>
        <v>53828.141854057751</v>
      </c>
      <c r="AF89" s="7"/>
      <c r="AG89" s="7"/>
      <c r="AH89" s="7"/>
      <c r="AI89" s="7"/>
      <c r="AJ89" s="7"/>
      <c r="AK89" s="7"/>
      <c r="AL89" s="7"/>
      <c r="AM89" s="7"/>
    </row>
    <row r="90" spans="1:39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1063.0177148524476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45.140263720515364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27084.158232309219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1063.0177148524476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45.140263720515364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  <c r="AG100" s="7"/>
      <c r="AH100" s="7"/>
      <c r="AI100" s="7"/>
      <c r="AJ100" s="7"/>
      <c r="AK100" s="7"/>
      <c r="AL100" s="7"/>
      <c r="AM100" s="7"/>
    </row>
    <row r="101" spans="1:39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9FE4-AC06-47F8-A387-B36885ABD53D}">
  <dimension ref="A1:AJ101"/>
  <sheetViews>
    <sheetView workbookViewId="0">
      <selection activeCell="B9" sqref="B9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6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3">
      <c r="A5" s="7"/>
      <c r="B5" s="25" t="s">
        <v>189</v>
      </c>
      <c r="C5" s="41">
        <f>Cases!R37</f>
        <v>71004.495349084187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0.43125043605441404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416145.57202511089</v>
      </c>
      <c r="K6" s="7"/>
      <c r="L6" s="7"/>
      <c r="M6" s="7">
        <f>SUM(H8:H27)</f>
        <v>964974.26375379413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3">
      <c r="A7" s="7"/>
      <c r="D7" s="7"/>
      <c r="E7" s="7"/>
      <c r="F7" s="7">
        <v>2050</v>
      </c>
      <c r="G7" s="43">
        <f>SUM(C23,C34,C53,K63,L63,M63,K65,L65,M65,C39)</f>
        <v>293645.50206831458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x14ac:dyDescent="0.3">
      <c r="A8" s="7"/>
      <c r="B8" s="227"/>
      <c r="C8" s="227"/>
      <c r="D8" s="7"/>
      <c r="E8" s="7"/>
      <c r="F8" s="7">
        <v>1</v>
      </c>
      <c r="G8" s="7">
        <f>SUM(C$26,-C$9,C$54,N$67,C$38)/((1+C$2)^F8)</f>
        <v>6686.5587465630233</v>
      </c>
      <c r="H8" s="7">
        <f>C$5/((1+C$2)^F8)</f>
        <v>68273.553220273257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6429.3834101567527</v>
      </c>
      <c r="H9" s="7">
        <f>C$5/((1+C$2)^F9)</f>
        <v>65647.647327185812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x14ac:dyDescent="0.3">
      <c r="A10" s="7"/>
      <c r="B10" s="229"/>
      <c r="C10" s="229"/>
      <c r="D10" s="7"/>
      <c r="E10" s="7"/>
      <c r="F10" s="7">
        <v>3</v>
      </c>
      <c r="G10" s="7">
        <f t="shared" si="0"/>
        <v>6182.0994328430315</v>
      </c>
      <c r="H10" s="7">
        <f>C$5/((1+C$2)^F10)</f>
        <v>63122.737814601751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x14ac:dyDescent="0.3">
      <c r="A11" s="7"/>
      <c r="B11" s="229"/>
      <c r="C11" s="229"/>
      <c r="D11" s="7"/>
      <c r="E11" s="7"/>
      <c r="F11" s="7">
        <v>4</v>
      </c>
      <c r="G11" s="7">
        <f t="shared" si="0"/>
        <v>5944.3263777336842</v>
      </c>
      <c r="H11" s="7">
        <f>C$5/((1+C$2)^F11)</f>
        <v>60694.940206347826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x14ac:dyDescent="0.3">
      <c r="A12" s="7"/>
      <c r="B12" s="227"/>
      <c r="C12" s="227"/>
      <c r="D12" s="7"/>
      <c r="E12" s="7"/>
      <c r="F12" s="7">
        <v>5</v>
      </c>
      <c r="G12" s="7">
        <f t="shared" si="0"/>
        <v>5715.6984401285417</v>
      </c>
      <c r="H12" s="7">
        <f>C$5/((1+C$2)^F12)</f>
        <v>58360.519429180596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x14ac:dyDescent="0.3">
      <c r="A13" s="7"/>
      <c r="B13" s="227"/>
      <c r="C13" s="227"/>
      <c r="D13" s="7"/>
      <c r="E13" s="7"/>
      <c r="F13" s="7">
        <v>6</v>
      </c>
      <c r="G13" s="7">
        <f t="shared" si="0"/>
        <v>5495.8638847389821</v>
      </c>
      <c r="H13" s="7">
        <f>C$5/((1+C$2)^F13)</f>
        <v>56115.884066519808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x14ac:dyDescent="0.3">
      <c r="A14" s="7"/>
      <c r="B14" s="227"/>
      <c r="C14" s="227"/>
      <c r="D14" s="7"/>
      <c r="E14" s="7"/>
      <c r="F14" s="7">
        <v>7</v>
      </c>
      <c r="G14" s="7">
        <f t="shared" si="0"/>
        <v>5284.4845045567145</v>
      </c>
      <c r="H14" s="7">
        <f>C$5/((1+C$2)^F14)</f>
        <v>53957.580833192129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x14ac:dyDescent="0.3">
      <c r="A15" s="7"/>
      <c r="D15" s="7"/>
      <c r="E15" s="7"/>
      <c r="F15" s="7">
        <v>8</v>
      </c>
      <c r="G15" s="7">
        <f t="shared" si="0"/>
        <v>5081.2351005353012</v>
      </c>
      <c r="H15" s="7">
        <f>C$5/((1+C$2)^F15)</f>
        <v>51882.289262684732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x14ac:dyDescent="0.3">
      <c r="A16" s="7"/>
      <c r="B16" s="7"/>
      <c r="C16" s="7"/>
      <c r="D16" s="7"/>
      <c r="E16" s="7"/>
      <c r="F16" s="7">
        <v>9</v>
      </c>
      <c r="G16" s="7">
        <f t="shared" si="0"/>
        <v>4885.8029812839432</v>
      </c>
      <c r="H16" s="7">
        <f>C$5/((1+C$2)^F16)</f>
        <v>49886.816598735313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4697.8874820037918</v>
      </c>
      <c r="H17" s="7">
        <f>C$5/((1+C$2)^F17)</f>
        <v>47968.092883399338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4517.1995019267233</v>
      </c>
      <c r="H18" s="7">
        <f>C$5/((1+C$2)^F18)</f>
        <v>46123.166234037832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4343.4610595449249</v>
      </c>
      <c r="H19" s="7">
        <f>C$5/((1+C$2)^F19)</f>
        <v>44349.198301959441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4176.4048649470433</v>
      </c>
      <c r="H20" s="7">
        <f>C$5/((1+C$2)^F20)</f>
        <v>42643.459905730233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3">
      <c r="A21" s="7"/>
      <c r="B21" s="25" t="s">
        <v>175</v>
      </c>
      <c r="C21" s="44">
        <f>'Electricity prod.'!O17</f>
        <v>126.11705823541747</v>
      </c>
      <c r="D21" s="7"/>
      <c r="E21" s="7"/>
      <c r="F21" s="7">
        <v>14</v>
      </c>
      <c r="G21" s="7">
        <f t="shared" si="0"/>
        <v>4015.773908602926</v>
      </c>
      <c r="H21" s="7">
        <f>C$5/((1+C$2)^F21)</f>
        <v>41003.326832432911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3861.3210659643523</v>
      </c>
      <c r="H22" s="7">
        <f>C$5/((1+C$2)^F22)</f>
        <v>39426.275800416268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31705.462563856618</v>
      </c>
      <c r="H23" s="7">
        <f>C$5/((1+C$2)^F23)</f>
        <v>37909.880577323325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3570.0083819936681</v>
      </c>
      <c r="H24" s="7">
        <f>C$5/((1+C$2)^F24)</f>
        <v>36451.80824742627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3">
      <c r="A25" s="7"/>
      <c r="B25" s="25"/>
      <c r="C25" s="24"/>
      <c r="D25" s="7"/>
      <c r="E25" s="7"/>
      <c r="F25" s="7">
        <v>18</v>
      </c>
      <c r="G25" s="7">
        <f t="shared" si="0"/>
        <v>3432.7003673016034</v>
      </c>
      <c r="H25" s="7">
        <f>C$5/((1+C$2)^F25)</f>
        <v>35049.815622525261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3">
      <c r="A26" s="7"/>
      <c r="B26" s="25" t="s">
        <v>236</v>
      </c>
      <c r="C26" s="24">
        <f>C24*C5</f>
        <v>1420.0899069816837</v>
      </c>
      <c r="D26" s="7"/>
      <c r="E26" s="7"/>
      <c r="F26" s="7">
        <v>19</v>
      </c>
      <c r="G26" s="7">
        <f t="shared" si="0"/>
        <v>3300.6734300976959</v>
      </c>
      <c r="H26" s="7">
        <f>C$5/((1+C$2)^F26)</f>
        <v>33701.745790889676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3173.7244520170152</v>
      </c>
      <c r="H27" s="7">
        <f>C$5/((1+C$2)^F27)</f>
        <v>32405.524798932376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3">
      <c r="A48" s="7"/>
      <c r="B48" s="25" t="s">
        <v>184</v>
      </c>
      <c r="C48" s="44">
        <f>Cases!R29</f>
        <v>187.63948575736435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3">
      <c r="A50" s="7"/>
      <c r="B50" s="25" t="s">
        <v>221</v>
      </c>
      <c r="C50" s="24">
        <f>C48*C49</f>
        <v>49689.715672783524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3">
      <c r="A53" s="7"/>
      <c r="B53" s="25" t="s">
        <v>222</v>
      </c>
      <c r="C53" s="24">
        <f>C50+C52+C51</f>
        <v>52429.715672783524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3">
      <c r="A54" s="7"/>
      <c r="B54" s="25" t="s">
        <v>213</v>
      </c>
      <c r="C54" s="24">
        <f>C50*K78</f>
        <v>2211.3336330340076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163006.72700669424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26200.990506256563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0.39170602299922624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26200.990506256563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786.02971518769687</v>
      </c>
      <c r="M67" s="27">
        <f>(M66/100)*M63</f>
        <v>789.18304842961788</v>
      </c>
      <c r="N67" s="28">
        <f>SUM(K67:M67)</f>
        <v>3122.5975564098535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  <c r="AG84" s="7"/>
      <c r="AH84" s="7"/>
      <c r="AI84" s="7"/>
      <c r="AJ84" s="7"/>
    </row>
    <row r="85" spans="1:36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  <c r="AG85" s="7"/>
      <c r="AH85" s="7"/>
      <c r="AI85" s="7"/>
      <c r="AJ85" s="7"/>
    </row>
    <row r="86" spans="1:36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  <c r="AG86" s="7"/>
      <c r="AH86" s="7"/>
      <c r="AI86" s="7"/>
      <c r="AJ86" s="7"/>
    </row>
    <row r="87" spans="1:36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  <c r="AG87" s="7"/>
      <c r="AH87" s="7"/>
      <c r="AI87" s="7"/>
      <c r="AJ87" s="7"/>
    </row>
    <row r="88" spans="1:36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  <c r="AG88" s="7"/>
      <c r="AH88" s="7"/>
      <c r="AI88" s="7"/>
      <c r="AJ88" s="7"/>
    </row>
    <row r="89" spans="1:36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AD88</f>
        <v>34244.206150718994</v>
      </c>
      <c r="M89" s="36" t="s">
        <v>168</v>
      </c>
      <c r="N89" s="7"/>
      <c r="O89" s="7">
        <f>O88/$M86</f>
        <v>9580.1704293571729</v>
      </c>
      <c r="P89" s="7">
        <f t="shared" ref="P89:AE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 t="shared" si="4"/>
        <v>53828.141854057751</v>
      </c>
      <c r="AF89" s="7"/>
      <c r="AG89" s="7"/>
      <c r="AH89" s="7"/>
      <c r="AI89" s="7"/>
      <c r="AJ89" s="7"/>
    </row>
    <row r="90" spans="1:36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1028.3545390606305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43.668317510427606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26200.990506256563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1028.3545390606305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43.668317510427606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  <c r="AG100" s="7"/>
      <c r="AH100" s="7"/>
      <c r="AI100" s="7"/>
      <c r="AJ100" s="7"/>
    </row>
    <row r="101" spans="1:36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865F-05B4-449F-AFFB-7658134C1E1A}">
  <dimension ref="A1:AM126"/>
  <sheetViews>
    <sheetView workbookViewId="0">
      <selection activeCell="B10" sqref="B10"/>
    </sheetView>
  </sheetViews>
  <sheetFormatPr defaultRowHeight="14.4" x14ac:dyDescent="0.3"/>
  <cols>
    <col min="2" max="2" width="52.88671875" customWidth="1"/>
    <col min="3" max="3" width="25" customWidth="1"/>
    <col min="5" max="5" width="15.109375" customWidth="1"/>
    <col min="6" max="6" width="11.21875" customWidth="1"/>
    <col min="7" max="7" width="12" bestFit="1" customWidth="1"/>
    <col min="8" max="8" width="12" customWidth="1"/>
    <col min="10" max="10" width="17.33203125" customWidth="1"/>
    <col min="11" max="11" width="11.44140625" customWidth="1"/>
    <col min="12" max="14" width="9" customWidth="1"/>
  </cols>
  <sheetData>
    <row r="1" spans="1:39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thickBot="1" x14ac:dyDescent="0.35">
      <c r="A2" s="7"/>
      <c r="B2" s="40" t="s">
        <v>161</v>
      </c>
      <c r="C2" s="78">
        <f>sensitivity!B5</f>
        <v>0.04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x14ac:dyDescent="0.3">
      <c r="A4" s="7"/>
      <c r="B4" s="39" t="s">
        <v>234</v>
      </c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3">
      <c r="A5" s="7"/>
      <c r="B5" s="25" t="s">
        <v>189</v>
      </c>
      <c r="C5" s="41">
        <f>Cases!S37</f>
        <v>88138.237148388638</v>
      </c>
      <c r="D5" s="7"/>
      <c r="E5" s="7"/>
      <c r="F5" s="7"/>
      <c r="G5" s="7" t="s">
        <v>167</v>
      </c>
      <c r="H5" s="7" t="s">
        <v>168</v>
      </c>
      <c r="I5" s="7" t="s">
        <v>162</v>
      </c>
      <c r="J5" s="42">
        <f>SUM(G7:G49)/SUM(H7:H49)</f>
        <v>0.37005780421939927</v>
      </c>
      <c r="K5" s="7"/>
      <c r="L5" s="7"/>
      <c r="M5" s="7" t="s">
        <v>327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" thickBot="1" x14ac:dyDescent="0.35">
      <c r="A6" s="7"/>
      <c r="B6" s="26" t="s">
        <v>163</v>
      </c>
      <c r="C6" s="28">
        <v>20</v>
      </c>
      <c r="D6" s="7"/>
      <c r="E6" s="7"/>
      <c r="F6" s="7" t="s">
        <v>160</v>
      </c>
      <c r="G6" s="7"/>
      <c r="H6" s="7"/>
      <c r="I6" s="7" t="s">
        <v>193</v>
      </c>
      <c r="J6" s="7">
        <f>J5*SUM(H8:H27)</f>
        <v>443265.37981539674</v>
      </c>
      <c r="K6" s="7"/>
      <c r="L6" s="7"/>
      <c r="M6" s="7">
        <f>SUM(H8:H27)</f>
        <v>1197827.4063167556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3">
      <c r="A7" s="7"/>
      <c r="B7" s="227"/>
      <c r="C7" s="227"/>
      <c r="D7" s="7"/>
      <c r="E7" s="7"/>
      <c r="F7" s="7">
        <v>2050</v>
      </c>
      <c r="G7" s="43">
        <f>SUM(C23,C34,C53,K63,L63,M63,K65,L65,M65,C39)</f>
        <v>305553.61885535531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x14ac:dyDescent="0.3">
      <c r="A8" s="7"/>
      <c r="B8" s="227"/>
      <c r="C8" s="227"/>
      <c r="D8" s="7"/>
      <c r="E8" s="7"/>
      <c r="F8" s="7">
        <v>1</v>
      </c>
      <c r="G8" s="7">
        <f>SUM(C$26,-C$9,C$54,N$67,C$38)/((1+C$2)^F8)</f>
        <v>7468.2850049170138</v>
      </c>
      <c r="H8" s="7">
        <f>C$5/((1+C$2)^F8)</f>
        <v>84748.304950373684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3">
      <c r="A9" s="7"/>
      <c r="B9" s="227"/>
      <c r="C9" s="227"/>
      <c r="D9" s="7"/>
      <c r="E9" s="7"/>
      <c r="F9" s="7">
        <v>2</v>
      </c>
      <c r="G9" s="7">
        <f t="shared" ref="G9:G27" si="0">SUM(C$26,-C$9,C$54,N$67,C$38)/((1+C$2)^F9)</f>
        <v>7181.0432739586668</v>
      </c>
      <c r="H9" s="7">
        <f>C$5/((1+C$2)^F9)</f>
        <v>81488.75475997469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3">
      <c r="A10" s="7"/>
      <c r="B10" s="229"/>
      <c r="C10" s="229"/>
      <c r="D10" s="7"/>
      <c r="E10" s="7"/>
      <c r="F10" s="7">
        <v>3</v>
      </c>
      <c r="G10" s="7">
        <f t="shared" si="0"/>
        <v>6904.8493018833333</v>
      </c>
      <c r="H10" s="7">
        <f>C$5/((1+C$2)^F10)</f>
        <v>78354.57188459106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3">
      <c r="A11" s="7"/>
      <c r="B11" s="229"/>
      <c r="C11" s="229"/>
      <c r="D11" s="7"/>
      <c r="E11" s="7"/>
      <c r="F11" s="7">
        <v>4</v>
      </c>
      <c r="G11" s="7">
        <f t="shared" si="0"/>
        <v>6639.2781748878197</v>
      </c>
      <c r="H11" s="7">
        <f>C$5/((1+C$2)^F11)</f>
        <v>75340.934504414472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3">
      <c r="A12" s="7"/>
      <c r="B12" s="227"/>
      <c r="C12" s="227"/>
      <c r="D12" s="7"/>
      <c r="E12" s="7"/>
      <c r="F12" s="7">
        <v>5</v>
      </c>
      <c r="G12" s="7">
        <f t="shared" si="0"/>
        <v>6383.921322007518</v>
      </c>
      <c r="H12" s="7">
        <f>C$5/((1+C$2)^F12)</f>
        <v>72443.206254244666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3">
      <c r="A13" s="7"/>
      <c r="B13" s="227"/>
      <c r="C13" s="227"/>
      <c r="D13" s="7"/>
      <c r="E13" s="7"/>
      <c r="F13" s="7">
        <v>6</v>
      </c>
      <c r="G13" s="7">
        <f t="shared" si="0"/>
        <v>6138.3858865456905</v>
      </c>
      <c r="H13" s="7">
        <f>C$5/((1+C$2)^F13)</f>
        <v>69656.929090619873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x14ac:dyDescent="0.3">
      <c r="A14" s="7"/>
      <c r="B14" s="227"/>
      <c r="C14" s="227"/>
      <c r="D14" s="7"/>
      <c r="E14" s="7"/>
      <c r="F14" s="7">
        <v>7</v>
      </c>
      <c r="G14" s="7">
        <f t="shared" si="0"/>
        <v>5902.2941216785493</v>
      </c>
      <c r="H14" s="7">
        <f>C$5/((1+C$2)^F14)</f>
        <v>66977.816433288346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3">
      <c r="A15" s="7"/>
      <c r="D15" s="7"/>
      <c r="E15" s="7"/>
      <c r="F15" s="7">
        <v>8</v>
      </c>
      <c r="G15" s="7">
        <f t="shared" si="0"/>
        <v>5675.2828093062963</v>
      </c>
      <c r="H15" s="7">
        <f>C$5/((1+C$2)^F15)</f>
        <v>64401.746570469557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3">
      <c r="A16" s="7"/>
      <c r="B16" s="7"/>
      <c r="C16" s="7"/>
      <c r="D16" s="7"/>
      <c r="E16" s="7"/>
      <c r="F16" s="7">
        <v>9</v>
      </c>
      <c r="G16" s="7">
        <f t="shared" si="0"/>
        <v>5457.002701256054</v>
      </c>
      <c r="H16" s="7">
        <f>C$5/((1+C$2)^F16)</f>
        <v>61924.75631775918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" thickBot="1" x14ac:dyDescent="0.35">
      <c r="A17" s="7"/>
      <c r="B17" s="7"/>
      <c r="C17" s="7"/>
      <c r="D17" s="7"/>
      <c r="E17" s="7"/>
      <c r="F17" s="7">
        <v>10</v>
      </c>
      <c r="G17" s="7">
        <f t="shared" si="0"/>
        <v>5247.117981976975</v>
      </c>
      <c r="H17" s="7">
        <f>C$5/((1+C$2)^F17)</f>
        <v>59543.034920922291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x14ac:dyDescent="0.3">
      <c r="A18" s="7"/>
      <c r="B18" s="29" t="s">
        <v>171</v>
      </c>
      <c r="C18" s="23"/>
      <c r="D18" s="7"/>
      <c r="E18" s="7"/>
      <c r="F18" s="7">
        <v>11</v>
      </c>
      <c r="G18" s="7">
        <f t="shared" si="0"/>
        <v>5045.305751900938</v>
      </c>
      <c r="H18" s="7">
        <f>C$5/((1+C$2)^F18)</f>
        <v>57252.918193194513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x14ac:dyDescent="0.3">
      <c r="A19" s="7"/>
      <c r="B19" s="25" t="s">
        <v>173</v>
      </c>
      <c r="C19" s="24">
        <f>sensitivity!L5</f>
        <v>200</v>
      </c>
      <c r="D19" s="7"/>
      <c r="E19" s="7"/>
      <c r="F19" s="7">
        <v>12</v>
      </c>
      <c r="G19" s="7">
        <f t="shared" si="0"/>
        <v>4851.2555306739778</v>
      </c>
      <c r="H19" s="7">
        <f>C$5/((1+C$2)^F19)</f>
        <v>55050.882878071636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3">
      <c r="A20" s="7"/>
      <c r="B20" s="25" t="s">
        <v>174</v>
      </c>
      <c r="C20" s="24">
        <f>'Electricity prod.'!L17</f>
        <v>46.710021568673135</v>
      </c>
      <c r="D20" s="7"/>
      <c r="E20" s="7"/>
      <c r="F20" s="7">
        <v>13</v>
      </c>
      <c r="G20" s="7">
        <f t="shared" si="0"/>
        <v>4664.668779494209</v>
      </c>
      <c r="H20" s="7">
        <f>C$5/((1+C$2)^F20)</f>
        <v>52933.541228915034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3">
      <c r="A21" s="7"/>
      <c r="B21" s="25" t="s">
        <v>175</v>
      </c>
      <c r="C21" s="44">
        <f>'Electricity prod.'!O17</f>
        <v>126.11705823541747</v>
      </c>
      <c r="D21" s="7"/>
      <c r="E21" s="7"/>
      <c r="F21" s="7">
        <v>14</v>
      </c>
      <c r="G21" s="7">
        <f t="shared" si="0"/>
        <v>4485.2584418213546</v>
      </c>
      <c r="H21" s="7">
        <f>C$5/((1+C$2)^F21)</f>
        <v>50897.63579703369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x14ac:dyDescent="0.3">
      <c r="A22" s="7"/>
      <c r="B22" s="25" t="s">
        <v>176</v>
      </c>
      <c r="C22" s="24">
        <f>C19*C20</f>
        <v>9342.0043137346274</v>
      </c>
      <c r="D22" s="7"/>
      <c r="E22" s="7"/>
      <c r="F22" s="7">
        <v>15</v>
      </c>
      <c r="G22" s="7">
        <f t="shared" si="0"/>
        <v>4312.7485017513027</v>
      </c>
      <c r="H22" s="7">
        <f>C$5/((1+C$2)^F22)</f>
        <v>48940.0344202247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3">
      <c r="A23" s="7"/>
      <c r="B23" s="25" t="s">
        <v>177</v>
      </c>
      <c r="C23" s="24">
        <f>C19*C21</f>
        <v>25223.411647083496</v>
      </c>
      <c r="D23" s="7"/>
      <c r="E23" s="7"/>
      <c r="F23" s="45">
        <v>16</v>
      </c>
      <c r="G23" s="7">
        <f>SUM(C$26,-C$9,C$54,N$67,C53,C38)/((1+C$2)^F23)</f>
        <v>36302.346847204833</v>
      </c>
      <c r="H23" s="7">
        <f>C$5/((1+C$2)^F23)</f>
        <v>47057.725404062207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3">
      <c r="A24" s="7"/>
      <c r="B24" s="25" t="s">
        <v>187</v>
      </c>
      <c r="C24" s="24">
        <v>0.02</v>
      </c>
      <c r="D24" s="7"/>
      <c r="E24" s="7"/>
      <c r="F24" s="7">
        <v>17</v>
      </c>
      <c r="G24" s="7">
        <f t="shared" si="0"/>
        <v>3987.3784224771653</v>
      </c>
      <c r="H24" s="7">
        <f>C$5/((1+C$2)^F24)</f>
        <v>45247.812888521352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x14ac:dyDescent="0.3">
      <c r="A25" s="7"/>
      <c r="B25" s="25"/>
      <c r="C25" s="24"/>
      <c r="D25" s="7"/>
      <c r="E25" s="7"/>
      <c r="F25" s="7">
        <v>18</v>
      </c>
      <c r="G25" s="7">
        <f t="shared" si="0"/>
        <v>3834.0177139203506</v>
      </c>
      <c r="H25" s="7">
        <f>C$5/((1+C$2)^F25)</f>
        <v>43507.512392808982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3">
      <c r="A26" s="7"/>
      <c r="B26" s="25" t="s">
        <v>236</v>
      </c>
      <c r="C26" s="24">
        <f>C24*C5</f>
        <v>1762.7647429677727</v>
      </c>
      <c r="D26" s="7"/>
      <c r="E26" s="7"/>
      <c r="F26" s="7">
        <v>19</v>
      </c>
      <c r="G26" s="7">
        <f t="shared" si="0"/>
        <v>3686.5554941541836</v>
      </c>
      <c r="H26" s="7">
        <f>C$5/((1+C$2)^F26)</f>
        <v>41834.1465315471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" thickBot="1" x14ac:dyDescent="0.35">
      <c r="A27" s="7"/>
      <c r="B27" s="26" t="s">
        <v>235</v>
      </c>
      <c r="C27" s="28">
        <v>25</v>
      </c>
      <c r="D27" s="7"/>
      <c r="E27" s="7"/>
      <c r="F27" s="7">
        <v>20</v>
      </c>
      <c r="G27" s="7">
        <f t="shared" si="0"/>
        <v>3544.7648982251767</v>
      </c>
      <c r="H27" s="7">
        <f>C$5/((1+C$2)^F27)</f>
        <v>40225.140895718367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x14ac:dyDescent="0.3">
      <c r="A30" s="7"/>
      <c r="B30" s="29" t="s">
        <v>178</v>
      </c>
      <c r="C30" s="23">
        <f>C19</f>
        <v>200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3">
      <c r="A31" s="7"/>
      <c r="B31" s="25" t="s">
        <v>179</v>
      </c>
      <c r="C31" s="24">
        <f>'rooftopfacade area'!F22</f>
        <v>25.5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3">
      <c r="A32" s="7"/>
      <c r="B32" s="25" t="s">
        <v>180</v>
      </c>
      <c r="C32" s="24">
        <f>'Electricity prod.'!M25</f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x14ac:dyDescent="0.3">
      <c r="A33" s="7"/>
      <c r="B33" s="25" t="s">
        <v>181</v>
      </c>
      <c r="C33" s="24">
        <f>C31*C30</f>
        <v>5100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5" thickBot="1" x14ac:dyDescent="0.35">
      <c r="A34" s="7"/>
      <c r="B34" s="26" t="s">
        <v>182</v>
      </c>
      <c r="C34" s="28">
        <f>C30*C32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5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x14ac:dyDescent="0.3">
      <c r="A36" s="7"/>
      <c r="B36" s="29" t="s">
        <v>172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3">
      <c r="A37" s="7"/>
      <c r="B37" s="25" t="s">
        <v>212</v>
      </c>
      <c r="C37" s="24">
        <v>36000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x14ac:dyDescent="0.3">
      <c r="A38" s="7"/>
      <c r="B38" s="25" t="s">
        <v>210</v>
      </c>
      <c r="C38" s="24">
        <v>200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x14ac:dyDescent="0.3">
      <c r="A39" s="7"/>
      <c r="B39" s="25" t="s">
        <v>211</v>
      </c>
      <c r="C39" s="24">
        <f>sensitivity!Q5</f>
        <v>136800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5" thickBot="1" x14ac:dyDescent="0.35">
      <c r="A40" s="7"/>
      <c r="B40" s="26" t="s">
        <v>238</v>
      </c>
      <c r="C40" s="28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5" thickBot="1" x14ac:dyDescent="0.35">
      <c r="A46" s="7"/>
      <c r="B46" s="46" t="s">
        <v>185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x14ac:dyDescent="0.3">
      <c r="A47" s="7"/>
      <c r="B47" s="39" t="s">
        <v>183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x14ac:dyDescent="0.3">
      <c r="A48" s="7"/>
      <c r="B48" s="25" t="s">
        <v>184</v>
      </c>
      <c r="C48" s="44">
        <f>Cases!S29</f>
        <v>217.08225975115894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x14ac:dyDescent="0.3">
      <c r="A49" s="7"/>
      <c r="B49" s="25" t="s">
        <v>186</v>
      </c>
      <c r="C49" s="24">
        <f>N79</f>
        <v>264.81481481481484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x14ac:dyDescent="0.3">
      <c r="A50" s="7"/>
      <c r="B50" s="25" t="s">
        <v>221</v>
      </c>
      <c r="C50" s="24">
        <f>C48*C49</f>
        <v>57486.598415584689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x14ac:dyDescent="0.3">
      <c r="A51" s="7"/>
      <c r="B51" s="25" t="s">
        <v>276</v>
      </c>
      <c r="C51" s="24">
        <v>2000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x14ac:dyDescent="0.3">
      <c r="A52" s="7"/>
      <c r="B52" s="25" t="s">
        <v>220</v>
      </c>
      <c r="C52" s="24">
        <f>N80</f>
        <v>740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x14ac:dyDescent="0.3">
      <c r="A53" s="7"/>
      <c r="B53" s="25" t="s">
        <v>222</v>
      </c>
      <c r="C53" s="24">
        <f>C50+C52+C51</f>
        <v>60226.598415584689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x14ac:dyDescent="0.3">
      <c r="A54" s="7"/>
      <c r="B54" s="25" t="s">
        <v>213</v>
      </c>
      <c r="C54" s="24">
        <f>C50*K78</f>
        <v>2558.3170844088827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5" thickBot="1" x14ac:dyDescent="0.35">
      <c r="A55" s="7"/>
      <c r="B55" s="26" t="s">
        <v>223</v>
      </c>
      <c r="C55" s="28">
        <v>15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5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>
        <f>2/3</f>
        <v>0.66666666666666663</v>
      </c>
      <c r="L56" s="7"/>
      <c r="M56" s="7">
        <f>1/3</f>
        <v>0.33333333333333331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x14ac:dyDescent="0.3">
      <c r="A57" s="7"/>
      <c r="B57" s="29" t="s">
        <v>206</v>
      </c>
      <c r="C57" s="30" t="s">
        <v>205</v>
      </c>
      <c r="D57" s="30"/>
      <c r="E57" s="30" t="s">
        <v>209</v>
      </c>
      <c r="F57" s="30"/>
      <c r="G57" s="30"/>
      <c r="H57" s="23" t="s">
        <v>204</v>
      </c>
      <c r="I57" s="7"/>
      <c r="J57" s="39" t="s">
        <v>233</v>
      </c>
      <c r="K57" s="30">
        <f>sensitivity!D5</f>
        <v>0.66666666666666663</v>
      </c>
      <c r="L57" s="30">
        <v>1</v>
      </c>
      <c r="M57" s="30">
        <f>sensitivity!H5</f>
        <v>0.33333333333333331</v>
      </c>
      <c r="N57" s="23"/>
      <c r="O57" s="7"/>
      <c r="P57" s="29" t="s">
        <v>295</v>
      </c>
      <c r="Q57" s="30"/>
      <c r="R57" s="2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x14ac:dyDescent="0.3">
      <c r="A58" s="7"/>
      <c r="B58" s="25"/>
      <c r="C58" s="46" t="s">
        <v>191</v>
      </c>
      <c r="D58" s="7"/>
      <c r="E58" s="46" t="s">
        <v>207</v>
      </c>
      <c r="F58" s="7"/>
      <c r="G58" s="7"/>
      <c r="H58" s="47" t="s">
        <v>199</v>
      </c>
      <c r="I58" s="7"/>
      <c r="J58" s="25"/>
      <c r="K58" s="7" t="s">
        <v>191</v>
      </c>
      <c r="L58" s="7" t="s">
        <v>192</v>
      </c>
      <c r="M58" s="7" t="s">
        <v>199</v>
      </c>
      <c r="N58" s="24"/>
      <c r="O58" s="7"/>
      <c r="P58" s="80">
        <f>SUM(K63,L63,M63,K65,L65,M65,C53,C54,(SUM(C53,C54)/(1+C$2)^F23))</f>
        <v>179609.90398787195</v>
      </c>
      <c r="Q58" s="7"/>
      <c r="R58" s="2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x14ac:dyDescent="0.3">
      <c r="A59" s="7"/>
      <c r="B59" s="25" t="s">
        <v>227</v>
      </c>
      <c r="C59" s="7">
        <v>7632.83</v>
      </c>
      <c r="D59" s="7"/>
      <c r="E59" s="226" t="s">
        <v>273</v>
      </c>
      <c r="F59" s="48">
        <f>M92</f>
        <v>30312.224550496067</v>
      </c>
      <c r="G59" s="7" t="s">
        <v>269</v>
      </c>
      <c r="H59" s="24">
        <v>6506</v>
      </c>
      <c r="I59" s="7"/>
      <c r="J59" s="25"/>
      <c r="K59" s="7"/>
      <c r="L59" s="7"/>
      <c r="M59" s="7"/>
      <c r="N59" s="24"/>
      <c r="O59" s="7"/>
      <c r="P59" s="25" t="s">
        <v>296</v>
      </c>
      <c r="Q59" s="7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5" thickBot="1" x14ac:dyDescent="0.35">
      <c r="A60" s="7"/>
      <c r="B60" s="25" t="s">
        <v>227</v>
      </c>
      <c r="C60" s="7">
        <v>-0.2762</v>
      </c>
      <c r="D60" s="7"/>
      <c r="E60" s="226"/>
      <c r="F60" s="48"/>
      <c r="G60" s="7" t="s">
        <v>190</v>
      </c>
      <c r="H60" s="44">
        <f>6.2*(2/3)</f>
        <v>4.1333333333333329</v>
      </c>
      <c r="I60" s="7"/>
      <c r="J60" s="25"/>
      <c r="K60" s="7"/>
      <c r="L60" s="7"/>
      <c r="M60" s="7"/>
      <c r="N60" s="24"/>
      <c r="O60" s="7"/>
      <c r="P60" s="26">
        <f>P58/J6</f>
        <v>0.40519722984608608</v>
      </c>
      <c r="Q60" s="27"/>
      <c r="R60" s="28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x14ac:dyDescent="0.3">
      <c r="A61" s="7"/>
      <c r="B61" s="25" t="s">
        <v>224</v>
      </c>
      <c r="C61" s="7">
        <v>14.5</v>
      </c>
      <c r="D61" s="7"/>
      <c r="E61" s="7" t="s">
        <v>267</v>
      </c>
      <c r="F61" s="43">
        <v>2500</v>
      </c>
      <c r="G61" s="7"/>
      <c r="H61" s="24">
        <v>-0.17699999999999999</v>
      </c>
      <c r="I61" s="7"/>
      <c r="J61" s="25"/>
      <c r="K61" s="7"/>
      <c r="L61" s="7"/>
      <c r="M61" s="7"/>
      <c r="N61" s="2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3">
      <c r="A62" s="7"/>
      <c r="B62" s="25" t="s">
        <v>225</v>
      </c>
      <c r="C62" s="7">
        <f>(1/3)*C61</f>
        <v>4.833333333333333</v>
      </c>
      <c r="D62" s="7"/>
      <c r="E62" s="7"/>
      <c r="F62" s="48"/>
      <c r="G62" s="7"/>
      <c r="H62" s="24">
        <f>H59*H60^H61</f>
        <v>5060.9131300031377</v>
      </c>
      <c r="I62" s="7"/>
      <c r="J62" s="25"/>
      <c r="K62" s="7"/>
      <c r="L62" s="7"/>
      <c r="M62" s="7"/>
      <c r="N62" s="2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x14ac:dyDescent="0.3">
      <c r="A63" s="7"/>
      <c r="B63" s="25" t="s">
        <v>226</v>
      </c>
      <c r="C63" s="7">
        <f>(2/3)*C61</f>
        <v>9.6666666666666661</v>
      </c>
      <c r="D63" s="7"/>
      <c r="E63" s="7"/>
      <c r="F63" s="7"/>
      <c r="G63" s="7" t="s">
        <v>270</v>
      </c>
      <c r="H63" s="47">
        <f>H62*H60*C65</f>
        <v>23675.491452888538</v>
      </c>
      <c r="I63" s="7"/>
      <c r="J63" s="31" t="s">
        <v>266</v>
      </c>
      <c r="K63" s="7">
        <f>C67*$K$57</f>
        <v>30947.695855850779</v>
      </c>
      <c r="L63" s="7">
        <f>L57*F59</f>
        <v>30312.224550496067</v>
      </c>
      <c r="M63" s="7">
        <f>H63*$M$57</f>
        <v>7891.8304842961788</v>
      </c>
      <c r="N63" s="2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x14ac:dyDescent="0.3">
      <c r="A64" s="7"/>
      <c r="B64" s="25"/>
      <c r="C64" s="45">
        <f>C59*C63^C60</f>
        <v>4078.9854233354645</v>
      </c>
      <c r="D64" s="7"/>
      <c r="E64" s="7"/>
      <c r="F64" s="7"/>
      <c r="G64" s="7"/>
      <c r="H64" s="24">
        <v>30</v>
      </c>
      <c r="I64" s="7"/>
      <c r="J64" s="31"/>
      <c r="K64" s="7">
        <f>C68</f>
        <v>30</v>
      </c>
      <c r="L64" s="7"/>
      <c r="M64" s="7">
        <f>H64</f>
        <v>30</v>
      </c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x14ac:dyDescent="0.3">
      <c r="A65" s="7"/>
      <c r="B65" s="25" t="s">
        <v>230</v>
      </c>
      <c r="C65" s="45">
        <v>1.1317999999999999</v>
      </c>
      <c r="D65" s="7"/>
      <c r="E65" s="7"/>
      <c r="F65" s="7"/>
      <c r="G65" s="7" t="s">
        <v>267</v>
      </c>
      <c r="H65" s="47">
        <f>(H64/100)*H63</f>
        <v>7102.647435866561</v>
      </c>
      <c r="I65" s="7"/>
      <c r="J65" s="31" t="s">
        <v>267</v>
      </c>
      <c r="K65" s="7">
        <f>(K64/100)*K63</f>
        <v>9284.3087567552338</v>
      </c>
      <c r="L65" s="43">
        <f>F61</f>
        <v>2500</v>
      </c>
      <c r="M65" s="7">
        <f>(M64/100)*M63</f>
        <v>2367.5491452888537</v>
      </c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x14ac:dyDescent="0.3">
      <c r="A66" s="7"/>
      <c r="B66" s="25" t="s">
        <v>228</v>
      </c>
      <c r="C66" s="45">
        <f>C64*C63</f>
        <v>39430.192425576155</v>
      </c>
      <c r="D66" s="7"/>
      <c r="E66" s="7"/>
      <c r="F66" s="7"/>
      <c r="G66" s="7"/>
      <c r="H66" s="24">
        <v>10</v>
      </c>
      <c r="I66" s="7"/>
      <c r="J66" s="31" t="s">
        <v>271</v>
      </c>
      <c r="K66" s="7">
        <f>C70</f>
        <v>5</v>
      </c>
      <c r="L66" s="7">
        <f>F67</f>
        <v>3</v>
      </c>
      <c r="M66" s="7">
        <f>H66</f>
        <v>10</v>
      </c>
      <c r="N66" s="24" t="s">
        <v>239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5" thickBot="1" x14ac:dyDescent="0.35">
      <c r="A67" s="7"/>
      <c r="B67" s="25" t="s">
        <v>229</v>
      </c>
      <c r="C67" s="46">
        <f>G100*C65</f>
        <v>46421.543783776171</v>
      </c>
      <c r="D67" s="7"/>
      <c r="E67" s="7" t="s">
        <v>241</v>
      </c>
      <c r="F67" s="7">
        <v>3</v>
      </c>
      <c r="G67" s="7" t="s">
        <v>268</v>
      </c>
      <c r="H67" s="47">
        <f>(H66/100)*H63</f>
        <v>2367.5491452888541</v>
      </c>
      <c r="I67" s="7"/>
      <c r="J67" s="49" t="s">
        <v>268</v>
      </c>
      <c r="K67" s="27">
        <f>(K66/100)*K63</f>
        <v>1547.384792792539</v>
      </c>
      <c r="L67" s="27">
        <f>(L66/100)*L63</f>
        <v>909.36673651488195</v>
      </c>
      <c r="M67" s="27">
        <f>(M66/100)*M63</f>
        <v>789.18304842961788</v>
      </c>
      <c r="N67" s="28">
        <f>SUM(K67:M67)</f>
        <v>3245.934577737039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x14ac:dyDescent="0.3">
      <c r="A68" s="7"/>
      <c r="B68" s="25" t="s">
        <v>200</v>
      </c>
      <c r="C68" s="7">
        <v>30</v>
      </c>
      <c r="D68" s="7"/>
      <c r="E68" s="7"/>
      <c r="F68" s="7">
        <f>(F67/100)*F65</f>
        <v>0</v>
      </c>
      <c r="G68" s="7" t="s">
        <v>242</v>
      </c>
      <c r="H68" s="24">
        <v>22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x14ac:dyDescent="0.3">
      <c r="A69" s="7"/>
      <c r="B69" s="25"/>
      <c r="C69" s="46">
        <f>(C68/100)*C67</f>
        <v>13926.463135132852</v>
      </c>
      <c r="D69" s="7"/>
      <c r="E69" s="7" t="s">
        <v>240</v>
      </c>
      <c r="F69" s="7">
        <v>22</v>
      </c>
      <c r="G69" s="7"/>
      <c r="H69" s="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x14ac:dyDescent="0.3">
      <c r="A70" s="7"/>
      <c r="B70" s="25" t="s">
        <v>202</v>
      </c>
      <c r="C70" s="7">
        <v>5</v>
      </c>
      <c r="D70" s="7"/>
      <c r="E70" s="7"/>
      <c r="F70" s="7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5" thickBot="1" x14ac:dyDescent="0.35">
      <c r="A71" s="7"/>
      <c r="B71" s="26" t="s">
        <v>201</v>
      </c>
      <c r="C71" s="50">
        <f>(C70/100)*C67</f>
        <v>2321.0771891888085</v>
      </c>
      <c r="D71" s="27"/>
      <c r="E71" s="27"/>
      <c r="F71" s="27"/>
      <c r="G71" s="27"/>
      <c r="H71" s="2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5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x14ac:dyDescent="0.3">
      <c r="A74" s="7"/>
      <c r="B74" s="29" t="s">
        <v>208</v>
      </c>
      <c r="C74" s="30"/>
      <c r="D74" s="30" t="s">
        <v>191</v>
      </c>
      <c r="E74" s="30"/>
      <c r="F74" s="30" t="s">
        <v>192</v>
      </c>
      <c r="G74" s="30"/>
      <c r="H74" s="23" t="s">
        <v>196</v>
      </c>
      <c r="I74" s="7"/>
      <c r="J74" s="29" t="s">
        <v>214</v>
      </c>
      <c r="K74" s="30"/>
      <c r="L74" s="30"/>
      <c r="M74" s="30" t="s">
        <v>215</v>
      </c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x14ac:dyDescent="0.3">
      <c r="A75" s="7"/>
      <c r="B75" s="25"/>
      <c r="C75" s="7"/>
      <c r="D75" s="7">
        <v>7632.83</v>
      </c>
      <c r="E75" s="7"/>
      <c r="F75" s="7">
        <v>471.67</v>
      </c>
      <c r="G75" s="7"/>
      <c r="H75" s="24">
        <v>23823</v>
      </c>
      <c r="I75" s="7"/>
      <c r="J75" s="25"/>
      <c r="K75" s="7">
        <v>322.48</v>
      </c>
      <c r="L75" s="7"/>
      <c r="M75" s="7" t="s">
        <v>216</v>
      </c>
      <c r="N75" s="24">
        <v>7150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x14ac:dyDescent="0.3">
      <c r="A76" s="7"/>
      <c r="B76" s="25"/>
      <c r="C76" s="7" t="s">
        <v>190</v>
      </c>
      <c r="D76" s="7">
        <v>10</v>
      </c>
      <c r="E76" s="7" t="s">
        <v>203</v>
      </c>
      <c r="F76" s="7">
        <v>0.1</v>
      </c>
      <c r="G76" s="7" t="s">
        <v>190</v>
      </c>
      <c r="H76" s="24">
        <v>10</v>
      </c>
      <c r="I76" s="7"/>
      <c r="J76" s="25"/>
      <c r="K76" s="7">
        <v>141.76</v>
      </c>
      <c r="L76" s="7"/>
      <c r="M76" s="7" t="s">
        <v>168</v>
      </c>
      <c r="N76" s="24">
        <v>13.5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x14ac:dyDescent="0.3">
      <c r="A77" s="7"/>
      <c r="B77" s="25"/>
      <c r="C77" s="7"/>
      <c r="D77" s="7">
        <v>-0.2762</v>
      </c>
      <c r="E77" s="7"/>
      <c r="F77" s="7">
        <v>-8.9599999999999999E-2</v>
      </c>
      <c r="G77" s="7"/>
      <c r="H77" s="24">
        <v>-0.41420000000000001</v>
      </c>
      <c r="I77" s="7"/>
      <c r="J77" s="25"/>
      <c r="K77" s="7">
        <v>20.66</v>
      </c>
      <c r="L77" s="7"/>
      <c r="M77" s="7" t="s">
        <v>164</v>
      </c>
      <c r="N77" s="24">
        <f>N75/N76</f>
        <v>529.62962962962968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x14ac:dyDescent="0.3">
      <c r="A78" s="7"/>
      <c r="B78" s="25"/>
      <c r="C78" s="7" t="s">
        <v>194</v>
      </c>
      <c r="D78" s="7">
        <f>D75*D76^(D77)</f>
        <v>4040.9696605772524</v>
      </c>
      <c r="E78" s="7" t="s">
        <v>195</v>
      </c>
      <c r="F78" s="7">
        <f>F75*F76^F77</f>
        <v>579.7466587472893</v>
      </c>
      <c r="G78" s="7" t="s">
        <v>194</v>
      </c>
      <c r="H78" s="24">
        <f>H75*H76^H77</f>
        <v>9179.0228449631613</v>
      </c>
      <c r="I78" s="7"/>
      <c r="J78" s="25"/>
      <c r="K78" s="7">
        <f>K77/(K75+K76)</f>
        <v>4.450284335688437E-2</v>
      </c>
      <c r="L78" s="7"/>
      <c r="M78" s="7" t="s">
        <v>218</v>
      </c>
      <c r="N78" s="24">
        <f>sensitivity!J5</f>
        <v>0.5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x14ac:dyDescent="0.3">
      <c r="A79" s="7"/>
      <c r="B79" s="25"/>
      <c r="C79" s="7" t="s">
        <v>193</v>
      </c>
      <c r="D79" s="7">
        <f>D78*D76</f>
        <v>40409.696605772522</v>
      </c>
      <c r="E79" s="7" t="s">
        <v>193</v>
      </c>
      <c r="F79" s="7">
        <f>F76*1000*F78</f>
        <v>57974.665874728933</v>
      </c>
      <c r="G79" s="7" t="s">
        <v>193</v>
      </c>
      <c r="H79" s="24">
        <f>H78*H76</f>
        <v>91790.228449631613</v>
      </c>
      <c r="I79" s="7"/>
      <c r="J79" s="25"/>
      <c r="K79" s="7"/>
      <c r="L79" s="7"/>
      <c r="M79" s="7" t="s">
        <v>219</v>
      </c>
      <c r="N79" s="24">
        <f>N77*N78</f>
        <v>264.81481481481484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x14ac:dyDescent="0.3">
      <c r="A80" s="7"/>
      <c r="B80" s="25"/>
      <c r="C80" s="7" t="s">
        <v>197</v>
      </c>
      <c r="D80" s="7">
        <v>4</v>
      </c>
      <c r="E80" s="7"/>
      <c r="F80" s="7">
        <v>1</v>
      </c>
      <c r="G80" s="7"/>
      <c r="H80" s="24">
        <v>4</v>
      </c>
      <c r="I80" s="7"/>
      <c r="J80" s="25"/>
      <c r="K80" s="7"/>
      <c r="L80" s="7"/>
      <c r="M80" s="7" t="s">
        <v>217</v>
      </c>
      <c r="N80" s="24">
        <v>740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" thickBot="1" x14ac:dyDescent="0.35">
      <c r="A81" s="7"/>
      <c r="B81" s="26"/>
      <c r="C81" s="27" t="s">
        <v>198</v>
      </c>
      <c r="D81" s="27">
        <f>(D80/100)*D79</f>
        <v>1616.387864230901</v>
      </c>
      <c r="E81" s="27"/>
      <c r="F81" s="27">
        <f>(F80/100)*F79</f>
        <v>579.7466587472893</v>
      </c>
      <c r="G81" s="27"/>
      <c r="H81" s="28">
        <f t="shared" ref="H81" si="1">(H80/100)*H79</f>
        <v>3671.6091379852646</v>
      </c>
      <c r="I81" s="7"/>
      <c r="J81" s="26"/>
      <c r="K81" s="27"/>
      <c r="L81" s="27"/>
      <c r="M81" s="27"/>
      <c r="N81" s="2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5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5" thickBot="1" x14ac:dyDescent="0.35">
      <c r="A84" s="7"/>
      <c r="B84" s="7"/>
      <c r="C84" s="29" t="s">
        <v>231</v>
      </c>
      <c r="D84" s="30"/>
      <c r="E84" s="30"/>
      <c r="F84" s="30"/>
      <c r="G84" s="30"/>
      <c r="H84" s="23"/>
      <c r="I84" s="7"/>
      <c r="J84" s="7"/>
      <c r="K84" s="29" t="s">
        <v>207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7"/>
      <c r="AG84" s="7"/>
      <c r="AH84" s="7"/>
      <c r="AI84" s="7"/>
      <c r="AJ84" s="7"/>
      <c r="AK84" s="7"/>
      <c r="AL84" s="7"/>
      <c r="AM84" s="7"/>
    </row>
    <row r="85" spans="1:39" ht="15" thickBot="1" x14ac:dyDescent="0.35">
      <c r="A85" s="7"/>
      <c r="B85" s="7"/>
      <c r="C85" s="25"/>
      <c r="D85" s="7"/>
      <c r="E85" s="7" t="s">
        <v>46</v>
      </c>
      <c r="F85" s="7" t="s">
        <v>232</v>
      </c>
      <c r="G85" s="7" t="s">
        <v>133</v>
      </c>
      <c r="H85" s="24" t="s">
        <v>134</v>
      </c>
      <c r="I85" s="7"/>
      <c r="J85" s="7"/>
      <c r="K85" s="25"/>
      <c r="L85" s="7"/>
      <c r="M85" s="7"/>
      <c r="N85" s="7"/>
      <c r="O85" s="213" t="s">
        <v>85</v>
      </c>
      <c r="P85" s="202"/>
      <c r="Q85" s="202"/>
      <c r="R85" s="203"/>
      <c r="S85" s="213" t="s">
        <v>86</v>
      </c>
      <c r="T85" s="202"/>
      <c r="U85" s="202"/>
      <c r="V85" s="203"/>
      <c r="W85" s="7"/>
      <c r="X85" s="213" t="s">
        <v>85</v>
      </c>
      <c r="Y85" s="202"/>
      <c r="Z85" s="202"/>
      <c r="AA85" s="203"/>
      <c r="AB85" s="213" t="s">
        <v>86</v>
      </c>
      <c r="AC85" s="202"/>
      <c r="AD85" s="202"/>
      <c r="AE85" s="203"/>
      <c r="AF85" s="7"/>
      <c r="AG85" s="7"/>
      <c r="AH85" s="7"/>
      <c r="AI85" s="7"/>
      <c r="AJ85" s="7"/>
      <c r="AK85" s="7"/>
      <c r="AL85" s="7"/>
      <c r="AM85" s="7"/>
    </row>
    <row r="86" spans="1:39" ht="15" thickBot="1" x14ac:dyDescent="0.35">
      <c r="A86" s="7"/>
      <c r="B86" s="7"/>
      <c r="C86" s="25"/>
      <c r="D86" s="7"/>
      <c r="E86" s="7">
        <v>100</v>
      </c>
      <c r="F86" s="7">
        <v>22.8</v>
      </c>
      <c r="G86" s="7"/>
      <c r="H86" s="24"/>
      <c r="I86" s="7"/>
      <c r="J86" s="7"/>
      <c r="K86" s="25"/>
      <c r="L86" s="7" t="s">
        <v>46</v>
      </c>
      <c r="M86" s="7">
        <f>'Storage eff.'!C10</f>
        <v>0.7360000000000001</v>
      </c>
      <c r="N86" s="7"/>
      <c r="O86" s="213" t="s">
        <v>87</v>
      </c>
      <c r="P86" s="203"/>
      <c r="Q86" s="213" t="s">
        <v>88</v>
      </c>
      <c r="R86" s="203"/>
      <c r="S86" s="213" t="s">
        <v>87</v>
      </c>
      <c r="T86" s="203"/>
      <c r="U86" s="213" t="s">
        <v>88</v>
      </c>
      <c r="V86" s="203"/>
      <c r="W86" s="7"/>
      <c r="X86" s="213" t="s">
        <v>87</v>
      </c>
      <c r="Y86" s="203"/>
      <c r="Z86" s="213" t="s">
        <v>88</v>
      </c>
      <c r="AA86" s="203"/>
      <c r="AB86" s="213" t="s">
        <v>87</v>
      </c>
      <c r="AC86" s="203"/>
      <c r="AD86" s="213" t="s">
        <v>88</v>
      </c>
      <c r="AE86" s="203"/>
      <c r="AF86" s="7"/>
      <c r="AG86" s="7"/>
      <c r="AH86" s="7"/>
      <c r="AI86" s="7"/>
      <c r="AJ86" s="7"/>
      <c r="AK86" s="7"/>
      <c r="AL86" s="7"/>
      <c r="AM86" s="7"/>
    </row>
    <row r="87" spans="1:39" ht="15" thickBot="1" x14ac:dyDescent="0.35">
      <c r="A87" s="7"/>
      <c r="B87" s="7"/>
      <c r="C87" s="25">
        <v>2005</v>
      </c>
      <c r="D87" s="7">
        <v>2.2000000000000002</v>
      </c>
      <c r="E87" s="7">
        <f>D87/E86</f>
        <v>2.2000000000000002E-2</v>
      </c>
      <c r="F87" s="7">
        <f>F86+F86*E87</f>
        <v>23.301600000000001</v>
      </c>
      <c r="G87" s="7"/>
      <c r="H87" s="24"/>
      <c r="I87" s="7"/>
      <c r="J87" s="7"/>
      <c r="K87" s="81"/>
      <c r="L87" s="82">
        <f>sensitivity!F5</f>
        <v>600</v>
      </c>
      <c r="M87" s="83" t="s">
        <v>265</v>
      </c>
      <c r="N87" s="7"/>
      <c r="O87" s="76" t="s">
        <v>89</v>
      </c>
      <c r="P87" s="76" t="s">
        <v>60</v>
      </c>
      <c r="Q87" s="76" t="s">
        <v>89</v>
      </c>
      <c r="R87" s="76" t="s">
        <v>60</v>
      </c>
      <c r="S87" s="76" t="s">
        <v>89</v>
      </c>
      <c r="T87" s="76" t="s">
        <v>60</v>
      </c>
      <c r="U87" s="76" t="s">
        <v>89</v>
      </c>
      <c r="V87" s="76" t="s">
        <v>60</v>
      </c>
      <c r="W87" s="7"/>
      <c r="X87" s="76" t="s">
        <v>89</v>
      </c>
      <c r="Y87" s="76" t="s">
        <v>60</v>
      </c>
      <c r="Z87" s="76" t="s">
        <v>89</v>
      </c>
      <c r="AA87" s="76" t="s">
        <v>60</v>
      </c>
      <c r="AB87" s="76" t="s">
        <v>89</v>
      </c>
      <c r="AC87" s="76" t="s">
        <v>60</v>
      </c>
      <c r="AD87" s="76" t="s">
        <v>89</v>
      </c>
      <c r="AE87" s="76" t="s">
        <v>60</v>
      </c>
      <c r="AF87" s="7"/>
      <c r="AG87" s="7"/>
      <c r="AH87" s="7"/>
      <c r="AI87" s="7"/>
      <c r="AJ87" s="7"/>
      <c r="AK87" s="7"/>
      <c r="AL87" s="7"/>
      <c r="AM87" s="7"/>
    </row>
    <row r="88" spans="1:39" x14ac:dyDescent="0.3">
      <c r="A88" s="7"/>
      <c r="B88" s="7"/>
      <c r="C88" s="25">
        <v>2006</v>
      </c>
      <c r="D88" s="7">
        <v>2.21</v>
      </c>
      <c r="E88" s="7">
        <f t="shared" ref="E88:E100" si="2">D88/$E$86</f>
        <v>2.2099999999999998E-2</v>
      </c>
      <c r="F88" s="7">
        <f>F87+F87*E88</f>
        <v>23.816565360000002</v>
      </c>
      <c r="G88" s="7"/>
      <c r="H88" s="24"/>
      <c r="I88" s="7"/>
      <c r="J88" s="7"/>
      <c r="K88" s="34"/>
      <c r="L88" s="35"/>
      <c r="M88" s="36"/>
      <c r="N88" s="7"/>
      <c r="O88" s="43">
        <f>Cases!C27</f>
        <v>7051.0054360068807</v>
      </c>
      <c r="P88" s="43">
        <f>Cases!D27</f>
        <v>8366.5938129901624</v>
      </c>
      <c r="Q88" s="43">
        <f>Cases!E27</f>
        <v>8190.68943600688</v>
      </c>
      <c r="R88" s="43">
        <f>Cases!F27</f>
        <v>9506.2778129901599</v>
      </c>
      <c r="S88" s="43">
        <f>Cases!G27</f>
        <v>7190.3064637462649</v>
      </c>
      <c r="T88" s="43">
        <f>Cases!H27</f>
        <v>8505.8948407295466</v>
      </c>
      <c r="U88" s="43">
        <f>Cases!I27</f>
        <v>8329.9904637462623</v>
      </c>
      <c r="V88" s="43">
        <f>Cases!J27</f>
        <v>9645.578840729544</v>
      </c>
      <c r="W88" s="43"/>
      <c r="X88" s="43">
        <f>Cases!L27</f>
        <v>29652.351978281837</v>
      </c>
      <c r="Y88" s="43">
        <f>Cases!M27</f>
        <v>35025.658232149348</v>
      </c>
      <c r="Z88" s="43">
        <f>Cases!N27</f>
        <v>33871.374478281839</v>
      </c>
      <c r="AA88" s="43">
        <f>Cases!O27</f>
        <v>39244.680732149354</v>
      </c>
      <c r="AB88" s="43">
        <f>Cases!P27</f>
        <v>30025.183650718991</v>
      </c>
      <c r="AC88" s="43">
        <f>Cases!Q27</f>
        <v>35398.489904586502</v>
      </c>
      <c r="AD88" s="43">
        <f>Cases!R27</f>
        <v>34244.206150718994</v>
      </c>
      <c r="AE88" s="43">
        <f>Cases!S27</f>
        <v>39617.512404586509</v>
      </c>
      <c r="AF88" s="7"/>
      <c r="AG88" s="7"/>
      <c r="AH88" s="7"/>
      <c r="AI88" s="7"/>
      <c r="AJ88" s="7"/>
      <c r="AK88" s="7"/>
      <c r="AL88" s="7"/>
      <c r="AM88" s="7"/>
    </row>
    <row r="89" spans="1:39" x14ac:dyDescent="0.3">
      <c r="A89" s="7"/>
      <c r="B89" s="7"/>
      <c r="C89" s="25">
        <v>2007</v>
      </c>
      <c r="D89" s="7">
        <v>2.16</v>
      </c>
      <c r="E89" s="7">
        <f t="shared" si="2"/>
        <v>2.1600000000000001E-2</v>
      </c>
      <c r="F89" s="7">
        <f t="shared" ref="F89:F100" si="3">F88+F88*E89</f>
        <v>24.331003171776</v>
      </c>
      <c r="G89" s="7"/>
      <c r="H89" s="24"/>
      <c r="I89" s="7"/>
      <c r="J89" s="7"/>
      <c r="K89" s="34" t="s">
        <v>264</v>
      </c>
      <c r="L89" s="84">
        <f>AE88</f>
        <v>39617.512404586509</v>
      </c>
      <c r="M89" s="36" t="s">
        <v>168</v>
      </c>
      <c r="N89" s="7"/>
      <c r="O89" s="7">
        <f>O88/$M86</f>
        <v>9580.1704293571729</v>
      </c>
      <c r="P89" s="7">
        <f t="shared" ref="P89:AD89" si="4">P88/$M86</f>
        <v>11367.654637214893</v>
      </c>
      <c r="Q89" s="7">
        <f t="shared" si="4"/>
        <v>11128.654125009347</v>
      </c>
      <c r="R89" s="7">
        <f t="shared" si="4"/>
        <v>12916.138332867064</v>
      </c>
      <c r="S89" s="7">
        <f t="shared" si="4"/>
        <v>9769.4381300900332</v>
      </c>
      <c r="T89" s="7">
        <f t="shared" si="4"/>
        <v>11556.922337947752</v>
      </c>
      <c r="U89" s="7">
        <f t="shared" si="4"/>
        <v>11317.921825742204</v>
      </c>
      <c r="V89" s="7">
        <f t="shared" si="4"/>
        <v>13105.406033599922</v>
      </c>
      <c r="W89" s="7"/>
      <c r="X89" s="7">
        <f t="shared" si="4"/>
        <v>40288.521709622059</v>
      </c>
      <c r="Y89" s="7">
        <f t="shared" si="4"/>
        <v>47589.20955455074</v>
      </c>
      <c r="Z89" s="7">
        <f t="shared" si="4"/>
        <v>46020.889236795971</v>
      </c>
      <c r="AA89" s="7">
        <f t="shared" si="4"/>
        <v>53321.577081724659</v>
      </c>
      <c r="AB89" s="7">
        <f t="shared" si="4"/>
        <v>40795.086481955143</v>
      </c>
      <c r="AC89" s="7">
        <f t="shared" si="4"/>
        <v>48095.774326883831</v>
      </c>
      <c r="AD89" s="7">
        <f t="shared" si="4"/>
        <v>46527.454009129062</v>
      </c>
      <c r="AE89" s="7">
        <f>AE88/$M86</f>
        <v>53828.141854057751</v>
      </c>
      <c r="AF89" s="7"/>
      <c r="AG89" s="7"/>
      <c r="AH89" s="7"/>
      <c r="AI89" s="7"/>
      <c r="AJ89" s="7"/>
      <c r="AK89" s="7"/>
      <c r="AL89" s="7"/>
      <c r="AM89" s="7"/>
    </row>
    <row r="90" spans="1:39" x14ac:dyDescent="0.3">
      <c r="A90" s="7"/>
      <c r="B90" s="7"/>
      <c r="C90" s="25">
        <v>2008</v>
      </c>
      <c r="D90" s="7">
        <v>3.35</v>
      </c>
      <c r="E90" s="7">
        <f t="shared" si="2"/>
        <v>3.3500000000000002E-2</v>
      </c>
      <c r="F90" s="7">
        <f t="shared" si="3"/>
        <v>25.146091778030495</v>
      </c>
      <c r="G90" s="7"/>
      <c r="H90" s="24"/>
      <c r="I90" s="7"/>
      <c r="J90" s="7"/>
      <c r="K90" s="34"/>
      <c r="L90" s="35">
        <f>L89/L93</f>
        <v>1189.7150872248201</v>
      </c>
      <c r="M90" s="36" t="s">
        <v>261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x14ac:dyDescent="0.3">
      <c r="A91" s="7"/>
      <c r="B91" s="7"/>
      <c r="C91" s="25">
        <v>2009</v>
      </c>
      <c r="D91" s="7">
        <v>0.32</v>
      </c>
      <c r="E91" s="7">
        <f t="shared" si="2"/>
        <v>3.2000000000000002E-3</v>
      </c>
      <c r="F91" s="7">
        <f t="shared" si="3"/>
        <v>25.226559271720191</v>
      </c>
      <c r="G91" s="7"/>
      <c r="H91" s="24"/>
      <c r="I91" s="7"/>
      <c r="J91" s="7"/>
      <c r="K91" s="34"/>
      <c r="L91" s="35" t="s">
        <v>263</v>
      </c>
      <c r="M91" s="36">
        <f>Q100</f>
        <v>50.520374250826777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5" thickBot="1" x14ac:dyDescent="0.35">
      <c r="A92" s="7"/>
      <c r="B92" s="7"/>
      <c r="C92" s="25">
        <v>2010</v>
      </c>
      <c r="D92" s="7">
        <v>1.61</v>
      </c>
      <c r="E92" s="7">
        <f t="shared" si="2"/>
        <v>1.61E-2</v>
      </c>
      <c r="F92" s="7">
        <f t="shared" si="3"/>
        <v>25.632706875994888</v>
      </c>
      <c r="G92" s="7"/>
      <c r="H92" s="24"/>
      <c r="I92" s="7"/>
      <c r="J92" s="7"/>
      <c r="K92" s="37"/>
      <c r="L92" s="38" t="s">
        <v>258</v>
      </c>
      <c r="M92" s="67">
        <f>M91*L87</f>
        <v>30312.224550496067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x14ac:dyDescent="0.3">
      <c r="A93" s="7"/>
      <c r="B93" s="7"/>
      <c r="C93" s="25">
        <v>2011</v>
      </c>
      <c r="D93" s="7">
        <v>2.72</v>
      </c>
      <c r="E93" s="7">
        <f t="shared" si="2"/>
        <v>2.7200000000000002E-2</v>
      </c>
      <c r="F93" s="7">
        <f t="shared" si="3"/>
        <v>26.329916503021948</v>
      </c>
      <c r="G93" s="7"/>
      <c r="H93" s="24"/>
      <c r="I93" s="7"/>
      <c r="J93" s="7"/>
      <c r="K93" s="25" t="s">
        <v>262</v>
      </c>
      <c r="L93" s="7">
        <v>33.299999999999997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5" thickBot="1" x14ac:dyDescent="0.35">
      <c r="A94" s="7"/>
      <c r="B94" s="7"/>
      <c r="C94" s="25">
        <v>2012</v>
      </c>
      <c r="D94" s="7">
        <v>2.5</v>
      </c>
      <c r="E94" s="7">
        <f t="shared" si="2"/>
        <v>2.5000000000000001E-2</v>
      </c>
      <c r="F94" s="7">
        <f t="shared" si="3"/>
        <v>26.988164415597495</v>
      </c>
      <c r="G94" s="7"/>
      <c r="H94" s="24"/>
      <c r="I94" s="7"/>
      <c r="J94" s="7"/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x14ac:dyDescent="0.3">
      <c r="A95" s="7"/>
      <c r="B95" s="7"/>
      <c r="C95" s="25">
        <v>2013</v>
      </c>
      <c r="D95" s="7">
        <v>1.35</v>
      </c>
      <c r="E95" s="7">
        <f t="shared" si="2"/>
        <v>1.3500000000000002E-2</v>
      </c>
      <c r="F95" s="7">
        <f>F94+F94*E95</f>
        <v>27.35250463520806</v>
      </c>
      <c r="G95" s="7">
        <f>C66</f>
        <v>39430.192425576155</v>
      </c>
      <c r="H95" s="24"/>
      <c r="I95" s="7"/>
      <c r="J95" s="7"/>
      <c r="K95" s="25"/>
      <c r="L95" s="7"/>
      <c r="M95" s="7"/>
      <c r="N95" s="7"/>
      <c r="O95" s="7"/>
      <c r="P95" s="30" t="s">
        <v>260</v>
      </c>
      <c r="Q95" s="23">
        <v>27500000</v>
      </c>
      <c r="R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x14ac:dyDescent="0.3">
      <c r="A96" s="7"/>
      <c r="B96" s="7"/>
      <c r="C96" s="25">
        <v>2014</v>
      </c>
      <c r="D96" s="7">
        <v>0.43</v>
      </c>
      <c r="E96" s="7">
        <f t="shared" si="2"/>
        <v>4.3E-3</v>
      </c>
      <c r="F96" s="7">
        <f t="shared" si="3"/>
        <v>27.470120405139454</v>
      </c>
      <c r="G96" s="7">
        <f>G95+G95*E96</f>
        <v>39599.74225300613</v>
      </c>
      <c r="H96" s="24"/>
      <c r="I96" s="7"/>
      <c r="J96" s="7"/>
      <c r="K96" s="25"/>
      <c r="L96" s="7"/>
      <c r="M96" s="7"/>
      <c r="N96" s="7"/>
      <c r="O96" s="7"/>
      <c r="P96" s="7" t="s">
        <v>259</v>
      </c>
      <c r="Q96" s="24">
        <f>L90</f>
        <v>1189.7150872248201</v>
      </c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x14ac:dyDescent="0.3">
      <c r="A97" s="7"/>
      <c r="B97" s="7"/>
      <c r="C97" s="25">
        <v>2015</v>
      </c>
      <c r="D97" s="7">
        <v>0.03</v>
      </c>
      <c r="E97" s="7">
        <f t="shared" si="2"/>
        <v>2.9999999999999997E-4</v>
      </c>
      <c r="F97" s="7">
        <f t="shared" si="3"/>
        <v>27.478361441260997</v>
      </c>
      <c r="G97" s="7">
        <f t="shared" ref="G97:G99" si="5">G96+G96*E97</f>
        <v>39611.622175682031</v>
      </c>
      <c r="H97" s="24"/>
      <c r="I97" s="7"/>
      <c r="J97" s="7"/>
      <c r="K97" s="25"/>
      <c r="L97" s="7"/>
      <c r="M97" s="7"/>
      <c r="N97" s="7"/>
      <c r="O97" s="7"/>
      <c r="P97" s="7" t="s">
        <v>257</v>
      </c>
      <c r="Q97" s="24">
        <v>4124.2</v>
      </c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x14ac:dyDescent="0.3">
      <c r="A98" s="7"/>
      <c r="B98" s="7"/>
      <c r="C98" s="25">
        <v>2016</v>
      </c>
      <c r="D98" s="7">
        <v>0.24</v>
      </c>
      <c r="E98" s="7">
        <f t="shared" si="2"/>
        <v>2.3999999999999998E-3</v>
      </c>
      <c r="F98" s="7">
        <f t="shared" si="3"/>
        <v>27.544309508720023</v>
      </c>
      <c r="G98" s="7">
        <f t="shared" si="5"/>
        <v>39706.69006890367</v>
      </c>
      <c r="H98" s="24"/>
      <c r="I98" s="7"/>
      <c r="J98" s="7"/>
      <c r="K98" s="25"/>
      <c r="L98" s="7"/>
      <c r="M98" s="7"/>
      <c r="N98" s="7"/>
      <c r="O98" s="7"/>
      <c r="P98" s="7" t="s">
        <v>256</v>
      </c>
      <c r="Q98" s="24">
        <v>283.14999999999998</v>
      </c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x14ac:dyDescent="0.3">
      <c r="A99" s="7"/>
      <c r="B99" s="7"/>
      <c r="C99" s="25">
        <v>2017</v>
      </c>
      <c r="D99" s="7">
        <v>1.54</v>
      </c>
      <c r="E99" s="7">
        <f t="shared" si="2"/>
        <v>1.54E-2</v>
      </c>
      <c r="F99" s="7">
        <f t="shared" si="3"/>
        <v>27.96849187515431</v>
      </c>
      <c r="G99" s="7">
        <f t="shared" si="5"/>
        <v>40318.17309596479</v>
      </c>
      <c r="H99" s="24"/>
      <c r="I99" s="7"/>
      <c r="J99" s="7"/>
      <c r="K99" s="25"/>
      <c r="L99" s="7"/>
      <c r="M99" s="7"/>
      <c r="N99" s="7"/>
      <c r="O99" s="7"/>
      <c r="P99" s="7"/>
      <c r="Q99" s="24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5" thickBot="1" x14ac:dyDescent="0.35">
      <c r="A100" s="7"/>
      <c r="B100" s="7"/>
      <c r="C100" s="26">
        <v>2018</v>
      </c>
      <c r="D100" s="27">
        <v>1.73</v>
      </c>
      <c r="E100" s="27">
        <f t="shared" si="2"/>
        <v>1.7299999999999999E-2</v>
      </c>
      <c r="F100" s="27">
        <f t="shared" si="3"/>
        <v>28.452346784594479</v>
      </c>
      <c r="G100" s="27">
        <f>G99+G99*E100</f>
        <v>41015.677490524984</v>
      </c>
      <c r="H100" s="28"/>
      <c r="I100" s="7"/>
      <c r="J100" s="7"/>
      <c r="K100" s="26"/>
      <c r="L100" s="27"/>
      <c r="M100" s="27"/>
      <c r="N100" s="27"/>
      <c r="O100" s="27"/>
      <c r="P100" s="27" t="s">
        <v>255</v>
      </c>
      <c r="Q100" s="28">
        <f>(Q96*Q97*Q98)/Q95</f>
        <v>50.520374250826777</v>
      </c>
      <c r="R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7"/>
      <c r="AG100" s="7"/>
      <c r="AH100" s="7"/>
      <c r="AI100" s="7"/>
      <c r="AJ100" s="7"/>
      <c r="AK100" s="7"/>
      <c r="AL100" s="7"/>
      <c r="AM100" s="7"/>
    </row>
    <row r="101" spans="1:39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</sheetData>
  <mergeCells count="13">
    <mergeCell ref="Z86:AA86"/>
    <mergeCell ref="AB86:AC86"/>
    <mergeCell ref="AD86:AE86"/>
    <mergeCell ref="E59:E60"/>
    <mergeCell ref="O85:R85"/>
    <mergeCell ref="S85:V85"/>
    <mergeCell ref="X85:AA85"/>
    <mergeCell ref="AB85:AE85"/>
    <mergeCell ref="O86:P86"/>
    <mergeCell ref="Q86:R86"/>
    <mergeCell ref="S86:T86"/>
    <mergeCell ref="U86:V86"/>
    <mergeCell ref="X86:Y8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9B7EB-3801-4CAE-A700-D92A679EE8AD}">
  <dimension ref="A1:AJ55"/>
  <sheetViews>
    <sheetView topLeftCell="A2" workbookViewId="0">
      <selection activeCell="C18" sqref="C18"/>
    </sheetView>
  </sheetViews>
  <sheetFormatPr defaultRowHeight="14.4" x14ac:dyDescent="0.3"/>
  <cols>
    <col min="3" max="3" width="9.21875" bestFit="1" customWidth="1"/>
    <col min="4" max="19" width="14.5546875" bestFit="1" customWidth="1"/>
  </cols>
  <sheetData>
    <row r="1" spans="1:36" ht="15" thickBot="1" x14ac:dyDescent="0.3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1</v>
      </c>
      <c r="M1">
        <v>2</v>
      </c>
      <c r="N1">
        <v>3</v>
      </c>
      <c r="O1">
        <v>4</v>
      </c>
      <c r="P1">
        <v>5</v>
      </c>
      <c r="Q1">
        <v>6</v>
      </c>
      <c r="R1">
        <v>7</v>
      </c>
      <c r="S1">
        <v>8</v>
      </c>
    </row>
    <row r="2" spans="1:36" ht="15" thickBot="1" x14ac:dyDescent="0.35">
      <c r="A2" t="s">
        <v>305</v>
      </c>
      <c r="C2">
        <v>22.1</v>
      </c>
      <c r="D2" s="187" t="s">
        <v>306</v>
      </c>
      <c r="E2" s="187" t="s">
        <v>307</v>
      </c>
      <c r="F2" s="187" t="s">
        <v>308</v>
      </c>
      <c r="G2" s="187" t="s">
        <v>309</v>
      </c>
      <c r="H2" s="187" t="s">
        <v>310</v>
      </c>
      <c r="I2" s="187" t="s">
        <v>311</v>
      </c>
      <c r="J2" s="187" t="s">
        <v>312</v>
      </c>
      <c r="K2" s="187" t="s">
        <v>313</v>
      </c>
      <c r="L2" s="187" t="s">
        <v>314</v>
      </c>
      <c r="M2" s="187" t="s">
        <v>130</v>
      </c>
      <c r="N2" s="187" t="s">
        <v>315</v>
      </c>
      <c r="O2" s="187" t="s">
        <v>316</v>
      </c>
      <c r="P2" s="187" t="s">
        <v>317</v>
      </c>
      <c r="Q2" s="187" t="s">
        <v>318</v>
      </c>
      <c r="R2" s="187" t="s">
        <v>319</v>
      </c>
      <c r="S2" s="187" t="s">
        <v>320</v>
      </c>
    </row>
    <row r="4" spans="1:36" x14ac:dyDescent="0.3">
      <c r="B4" s="188" t="s">
        <v>191</v>
      </c>
      <c r="C4" s="188"/>
      <c r="D4" s="189">
        <f>'1Price SNPU'!$K63+'1Price SNPU'!$K65</f>
        <v>24360.497957321873</v>
      </c>
      <c r="E4" s="189">
        <f>$D4</f>
        <v>24360.497957321873</v>
      </c>
      <c r="F4" s="189">
        <f t="shared" ref="F4:K4" si="0">$D4</f>
        <v>24360.497957321873</v>
      </c>
      <c r="G4" s="189">
        <f t="shared" si="0"/>
        <v>24360.497957321873</v>
      </c>
      <c r="H4" s="189">
        <f t="shared" si="0"/>
        <v>24360.497957321873</v>
      </c>
      <c r="I4" s="189">
        <f t="shared" si="0"/>
        <v>24360.497957321873</v>
      </c>
      <c r="J4" s="189">
        <f t="shared" si="0"/>
        <v>24360.497957321873</v>
      </c>
      <c r="K4" s="189">
        <f t="shared" si="0"/>
        <v>24360.497957321873</v>
      </c>
      <c r="L4" s="189">
        <f>'1Price MNPU'!K63+'1Price MNPU'!K65</f>
        <v>40232.004612606012</v>
      </c>
      <c r="M4" s="189">
        <f>$L4</f>
        <v>40232.004612606012</v>
      </c>
      <c r="N4" s="189">
        <f t="shared" ref="N4:S4" si="1">$L4</f>
        <v>40232.004612606012</v>
      </c>
      <c r="O4" s="189">
        <f t="shared" si="1"/>
        <v>40232.004612606012</v>
      </c>
      <c r="P4" s="189">
        <f t="shared" si="1"/>
        <v>40232.004612606012</v>
      </c>
      <c r="Q4" s="189">
        <f t="shared" si="1"/>
        <v>40232.004612606012</v>
      </c>
      <c r="R4" s="189">
        <f t="shared" si="1"/>
        <v>40232.004612606012</v>
      </c>
      <c r="S4" s="189">
        <f t="shared" si="1"/>
        <v>40232.004612606012</v>
      </c>
    </row>
    <row r="5" spans="1:36" x14ac:dyDescent="0.3">
      <c r="B5" s="188" t="s">
        <v>207</v>
      </c>
      <c r="C5" s="188"/>
      <c r="D5" s="2">
        <f>'1Price SNPU'!L63+'1Price SNPU'!L65</f>
        <v>7894.8783532977541</v>
      </c>
      <c r="E5" s="2">
        <f>'2Price SNPR'!L63+'2Price SNPR'!L65</f>
        <v>8901.4637716826583</v>
      </c>
      <c r="F5" s="2">
        <f>'3Price SNCU'!L63+'3Price SNCU'!L65</f>
        <v>8766.8754886001752</v>
      </c>
      <c r="G5" s="2">
        <f>'4Price SNCR'!L63+'4Price SNCR'!L65</f>
        <v>9773.4609069850794</v>
      </c>
      <c r="H5" s="2">
        <f>'5Price SRPU'!L63+'5Price SRPU'!L65</f>
        <v>8001.460613936164</v>
      </c>
      <c r="I5" s="2">
        <f>'6Price SRPR'!L63+'6Price SRPR'!L65</f>
        <v>9008.04603232107</v>
      </c>
      <c r="J5" s="2">
        <f>'7Price SRCU'!L63+'7Price SRCU'!L65</f>
        <v>8873.4577492385833</v>
      </c>
      <c r="K5" s="2">
        <f>'8Price SRCR'!L63+'8Price SRCR'!L65</f>
        <v>9880.0431676234912</v>
      </c>
      <c r="L5" s="2">
        <f>'1Price MNPU'!L63+'1Price MNPU'!L65</f>
        <v>25187.662527543456</v>
      </c>
      <c r="M5" s="2">
        <f>'2Price MNPR'!L63+'2Price MNPR'!L65</f>
        <v>29298.89657178296</v>
      </c>
      <c r="N5" s="2">
        <f>'3Price MNCU'!L63+'3Price MNCU'!L65</f>
        <v>28415.728845730304</v>
      </c>
      <c r="O5" s="2">
        <f>'4Price MNCR'!L63+'4Price MNCR'!L65</f>
        <v>32526.962889969807</v>
      </c>
      <c r="P5" s="2">
        <f>'5Price MRPU'!L63+'5Price MRPU'!L65</f>
        <v>25472.924188069712</v>
      </c>
      <c r="Q5" s="2">
        <f>'6Price MRPR'!L65+'6Price MRPR'!L63</f>
        <v>29584.158232309219</v>
      </c>
      <c r="R5" s="2">
        <f>'7Price MRCU'!L63+'7Price MRCU'!L65</f>
        <v>28700.990506256563</v>
      </c>
      <c r="S5" s="2">
        <f>'8Price MRCR'!L63+'8Price MRCR'!L65</f>
        <v>32812.224550496067</v>
      </c>
    </row>
    <row r="6" spans="1:36" x14ac:dyDescent="0.3">
      <c r="B6" s="188" t="s">
        <v>302</v>
      </c>
      <c r="C6" s="188"/>
      <c r="D6">
        <f>'1Price SNPU'!M63+'1Price SNPU'!M65</f>
        <v>5799.2711354906269</v>
      </c>
      <c r="E6">
        <f>$D6</f>
        <v>5799.2711354906269</v>
      </c>
      <c r="F6">
        <f t="shared" ref="F6:K6" si="2">$D6</f>
        <v>5799.2711354906269</v>
      </c>
      <c r="G6">
        <f t="shared" si="2"/>
        <v>5799.2711354906269</v>
      </c>
      <c r="H6">
        <f t="shared" si="2"/>
        <v>5799.2711354906269</v>
      </c>
      <c r="I6">
        <f t="shared" si="2"/>
        <v>5799.2711354906269</v>
      </c>
      <c r="J6">
        <f t="shared" si="2"/>
        <v>5799.2711354906269</v>
      </c>
      <c r="K6">
        <f t="shared" si="2"/>
        <v>5799.2711354906269</v>
      </c>
      <c r="L6">
        <f>'1Price MNPU'!M63+'1Price MNPU'!M65</f>
        <v>10259.379629585033</v>
      </c>
      <c r="M6">
        <f>$L6</f>
        <v>10259.379629585033</v>
      </c>
      <c r="N6">
        <f t="shared" ref="N6:S6" si="3">$L6</f>
        <v>10259.379629585033</v>
      </c>
      <c r="O6">
        <f t="shared" si="3"/>
        <v>10259.379629585033</v>
      </c>
      <c r="P6">
        <f t="shared" si="3"/>
        <v>10259.379629585033</v>
      </c>
      <c r="Q6">
        <f t="shared" si="3"/>
        <v>10259.379629585033</v>
      </c>
      <c r="R6">
        <f t="shared" si="3"/>
        <v>10259.379629585033</v>
      </c>
      <c r="S6">
        <f t="shared" si="3"/>
        <v>10259.379629585033</v>
      </c>
    </row>
    <row r="7" spans="1:36" x14ac:dyDescent="0.3">
      <c r="B7" s="188" t="s">
        <v>321</v>
      </c>
      <c r="C7" s="188"/>
      <c r="D7">
        <f>'1Price SNPU'!$C53+('1Price SNPU'!$C53/((1+0.04)^16))</f>
        <v>19896.770081427563</v>
      </c>
      <c r="E7">
        <f>'2Price SNPR'!$C53+('2Price SNPR'!$C53/((1+0.04)^16))</f>
        <v>22824.957019253488</v>
      </c>
      <c r="F7">
        <f>'3Price SNCU'!$C53+('3Price SNCU'!$C53/((1+0.04)^16))</f>
        <v>22433.43569845103</v>
      </c>
      <c r="G7">
        <f>'4Price SNCR'!$C53+('4Price SNCR'!$C53/((1+0.04)^16))</f>
        <v>25361.622636276952</v>
      </c>
      <c r="H7">
        <f>'5Price SRPU'!$C53+('5Price SRPU'!$C53/((1+0.04)^16))</f>
        <v>20206.821049487597</v>
      </c>
      <c r="I7">
        <f>'6Price SRPR'!$C53+('6Price SRPR'!$C53/((1+0.04)^16))</f>
        <v>23135.007987313518</v>
      </c>
      <c r="J7">
        <f>'7Price SRCU'!$C53+('7Price SRCU'!$C53/((1+0.04)^16))</f>
        <v>22743.486666511057</v>
      </c>
      <c r="K7">
        <f>'8Price SRCR'!$C53+('8Price SRCR'!$C53/((1+0.04)^16))</f>
        <v>25671.673604336982</v>
      </c>
      <c r="L7">
        <f>'1Price MNPU'!$C53+('1Price MNPU'!$C53/((1+0.04)^16))</f>
        <v>70201.993873479718</v>
      </c>
      <c r="M7">
        <f>'2Price MNPR'!$C53+('2Price MNPR'!$C53/((1+0.04)^16))</f>
        <v>82161.696057526264</v>
      </c>
      <c r="N7">
        <f>'3Price MNCU'!$C53+('3Price MNCU'!$C53/((1+0.04)^16))</f>
        <v>79592.534859576233</v>
      </c>
      <c r="O7">
        <f>'4Price MNCR'!$C53+('4Price MNCR'!$C53/((1+0.04)^16))</f>
        <v>91552.237043622765</v>
      </c>
      <c r="P7">
        <f>'5Price MRPU'!$C53+('5Price MRPU'!$C53/((1+0.04)^16))</f>
        <v>71031.828533270222</v>
      </c>
      <c r="Q7">
        <f>'6Price MRPR'!$C53+('6Price MRPR'!$C53/((1+0.04)^16))</f>
        <v>82991.530717316753</v>
      </c>
      <c r="R7">
        <f>'7Price MRCU'!$C53+('7Price MRCU'!$C53/((1+0.04)^16))</f>
        <v>80422.369519366723</v>
      </c>
      <c r="S7">
        <f>'8Price MRCR'!$C53+('8Price MRCR'!$C53/((1+0.04)^16))</f>
        <v>92382.071703413269</v>
      </c>
    </row>
    <row r="8" spans="1:36" x14ac:dyDescent="0.3">
      <c r="B8" s="188" t="s">
        <v>322</v>
      </c>
      <c r="C8" s="188"/>
      <c r="D8">
        <v>11497.862231147163</v>
      </c>
      <c r="E8">
        <v>13571.250270825874</v>
      </c>
      <c r="F8">
        <v>13351.770759648445</v>
      </c>
      <c r="G8">
        <v>15425.160842206762</v>
      </c>
      <c r="H8">
        <v>11393.896161775143</v>
      </c>
      <c r="I8">
        <v>11393.896161775143</v>
      </c>
      <c r="J8">
        <v>11393.896161775143</v>
      </c>
      <c r="K8">
        <v>11393.896161775143</v>
      </c>
      <c r="L8">
        <v>43947.885195418414</v>
      </c>
      <c r="M8">
        <v>43947.885195418414</v>
      </c>
      <c r="N8">
        <v>43947.885195418414</v>
      </c>
      <c r="O8">
        <v>43947.885195418414</v>
      </c>
      <c r="P8">
        <v>30763.519636792887</v>
      </c>
      <c r="Q8">
        <v>30763.519636792887</v>
      </c>
      <c r="R8">
        <v>30763.519636792887</v>
      </c>
      <c r="S8">
        <v>30763.519636792887</v>
      </c>
      <c r="U8" s="188">
        <f>'1Price SNPU'!$C$22</f>
        <v>9342.0043137346274</v>
      </c>
      <c r="V8" s="188">
        <f>'2Price SNPR'!$C$22</f>
        <v>9342.0043137346274</v>
      </c>
      <c r="W8" s="188">
        <f>'3Price SNCU'!$C$22</f>
        <v>9342.0043137346274</v>
      </c>
      <c r="X8" s="188">
        <f>'4Price SNCR'!$C$22</f>
        <v>9342.0043137346274</v>
      </c>
      <c r="Y8" s="188">
        <f>'5Price SRPU'!$C$22</f>
        <v>9342.0043137346274</v>
      </c>
      <c r="Z8" s="188">
        <f>'6Price SRPR'!$C$22</f>
        <v>9342.0043137346274</v>
      </c>
      <c r="AA8" s="188">
        <f>'7Price SRCU'!$C$22</f>
        <v>9342.0043137346274</v>
      </c>
      <c r="AB8" s="188">
        <f>'8Price SRCR'!$C$22</f>
        <v>9342.0043137346274</v>
      </c>
      <c r="AC8" s="188">
        <f>'1Price MNPU'!$C$23</f>
        <v>25223.411647083496</v>
      </c>
      <c r="AD8" s="188">
        <f>'2Price MNPR'!$C$23</f>
        <v>25223.411647083496</v>
      </c>
      <c r="AE8" s="188">
        <f>'3Price MNCU'!$C$23</f>
        <v>25223.411647083496</v>
      </c>
      <c r="AF8" s="188">
        <f>'4Price MNCR'!$C$23</f>
        <v>25223.411647083496</v>
      </c>
      <c r="AG8" s="188">
        <f>'5Price MRPU'!$C$23</f>
        <v>25223.411647083496</v>
      </c>
      <c r="AH8" s="188">
        <f>'6Price MRPR'!$C$23</f>
        <v>25223.411647083496</v>
      </c>
      <c r="AI8" s="188">
        <f>'7Price MRCU'!$C$23</f>
        <v>25223.411647083496</v>
      </c>
      <c r="AJ8" s="188">
        <f>'8Price MRCR'!$C$23</f>
        <v>25223.411647083496</v>
      </c>
    </row>
    <row r="9" spans="1:36" x14ac:dyDescent="0.3">
      <c r="B9" s="188" t="s">
        <v>323</v>
      </c>
      <c r="C9" s="188"/>
      <c r="D9">
        <v>0</v>
      </c>
      <c r="E9">
        <v>0</v>
      </c>
      <c r="F9">
        <v>0</v>
      </c>
      <c r="G9">
        <v>0</v>
      </c>
      <c r="H9">
        <v>663.36821506666558</v>
      </c>
      <c r="I9">
        <v>3639.2161021982547</v>
      </c>
      <c r="J9">
        <v>3324.206348562896</v>
      </c>
      <c r="K9">
        <v>6300.0487257830582</v>
      </c>
      <c r="L9">
        <v>7597.712436907058</v>
      </c>
      <c r="M9">
        <v>19752.09857565245</v>
      </c>
      <c r="N9">
        <v>17447.939650992463</v>
      </c>
      <c r="O9">
        <v>29602.313793048404</v>
      </c>
      <c r="P9">
        <v>27896.785577554379</v>
      </c>
      <c r="Q9">
        <v>40051.146872009005</v>
      </c>
      <c r="R9">
        <v>37747.003775709745</v>
      </c>
      <c r="S9">
        <v>49901.374302585136</v>
      </c>
      <c r="U9" s="188">
        <f>'1Price SNPU'!$C$33</f>
        <v>0</v>
      </c>
      <c r="V9" s="188">
        <f>'2Price SNPR'!$C$33</f>
        <v>0</v>
      </c>
      <c r="W9" s="188">
        <f>'3Price SNCU'!$C$33</f>
        <v>0</v>
      </c>
      <c r="X9" s="188">
        <f>'4Price SNCR'!$C$33</f>
        <v>0</v>
      </c>
      <c r="Y9" s="188">
        <f>'5Price SRPU'!$C$33</f>
        <v>0</v>
      </c>
      <c r="Z9" s="188">
        <f>'6Price SRPR'!$C$33</f>
        <v>0</v>
      </c>
      <c r="AA9" s="188">
        <f>'7Price SRCU'!$C$33</f>
        <v>0</v>
      </c>
      <c r="AB9" s="188">
        <f>'8Price SRCR'!$C$33</f>
        <v>0</v>
      </c>
      <c r="AC9" s="188">
        <f>'1Price MNPU'!$C$34</f>
        <v>0</v>
      </c>
      <c r="AD9" s="188">
        <f>'2Price MNPR'!$C$34</f>
        <v>0</v>
      </c>
      <c r="AE9" s="188">
        <f>'3Price MNCU'!$C$34</f>
        <v>0</v>
      </c>
      <c r="AF9" s="188">
        <f>'4Price MNCR'!$C$34</f>
        <v>0</v>
      </c>
      <c r="AG9" s="188">
        <f>'5Price MRPU'!$C$34</f>
        <v>0</v>
      </c>
      <c r="AH9" s="188">
        <f>'6Price MRPR'!$C$34</f>
        <v>0</v>
      </c>
      <c r="AI9" s="188">
        <f>'7Price MRCU'!$C$34</f>
        <v>0</v>
      </c>
      <c r="AJ9" s="188">
        <f>'8Price MRCR'!$C$34</f>
        <v>0</v>
      </c>
    </row>
    <row r="10" spans="1:36" x14ac:dyDescent="0.3">
      <c r="B10" s="188" t="s">
        <v>324</v>
      </c>
      <c r="C10" s="188"/>
      <c r="D10">
        <v>36000</v>
      </c>
      <c r="E10">
        <v>36000</v>
      </c>
      <c r="F10">
        <v>36000</v>
      </c>
      <c r="G10">
        <v>36000</v>
      </c>
      <c r="H10">
        <v>36000</v>
      </c>
      <c r="I10">
        <v>36000</v>
      </c>
      <c r="J10">
        <v>36000</v>
      </c>
      <c r="K10">
        <v>36000</v>
      </c>
      <c r="L10">
        <v>136800</v>
      </c>
      <c r="M10">
        <v>136800</v>
      </c>
      <c r="N10">
        <v>136800</v>
      </c>
      <c r="O10">
        <v>136800</v>
      </c>
      <c r="P10">
        <v>136800</v>
      </c>
      <c r="Q10">
        <v>136800</v>
      </c>
      <c r="R10">
        <v>136800</v>
      </c>
      <c r="S10">
        <v>136800</v>
      </c>
      <c r="U10">
        <f>'1Price MNPU'!$C$37</f>
        <v>36000</v>
      </c>
      <c r="V10">
        <f>$D10</f>
        <v>36000</v>
      </c>
      <c r="W10">
        <f t="shared" ref="W10:AB10" si="4">$D10</f>
        <v>36000</v>
      </c>
      <c r="X10">
        <f t="shared" si="4"/>
        <v>36000</v>
      </c>
      <c r="Y10">
        <f t="shared" si="4"/>
        <v>36000</v>
      </c>
      <c r="Z10">
        <f t="shared" si="4"/>
        <v>36000</v>
      </c>
      <c r="AA10">
        <f t="shared" si="4"/>
        <v>36000</v>
      </c>
      <c r="AB10">
        <f t="shared" si="4"/>
        <v>36000</v>
      </c>
      <c r="AC10">
        <f>'1Price MNPU'!$C$39</f>
        <v>136800</v>
      </c>
      <c r="AD10">
        <f>$L10</f>
        <v>136800</v>
      </c>
      <c r="AE10">
        <f t="shared" ref="AE10:AJ10" si="5">$L10</f>
        <v>136800</v>
      </c>
      <c r="AF10">
        <f t="shared" si="5"/>
        <v>136800</v>
      </c>
      <c r="AG10">
        <f t="shared" si="5"/>
        <v>136800</v>
      </c>
      <c r="AH10">
        <f t="shared" si="5"/>
        <v>136800</v>
      </c>
      <c r="AI10">
        <f t="shared" si="5"/>
        <v>136800</v>
      </c>
      <c r="AJ10">
        <f t="shared" si="5"/>
        <v>136800</v>
      </c>
    </row>
    <row r="11" spans="1:36" x14ac:dyDescent="0.3">
      <c r="B11" s="188" t="s">
        <v>325</v>
      </c>
      <c r="C11" s="188"/>
      <c r="D11">
        <v>32732.316305124979</v>
      </c>
      <c r="E11">
        <v>34807.739995252901</v>
      </c>
      <c r="F11">
        <v>34544.457457416705</v>
      </c>
      <c r="G11">
        <v>36619.880878614022</v>
      </c>
      <c r="H11">
        <v>32975.187630622997</v>
      </c>
      <c r="I11">
        <v>35001.139297983587</v>
      </c>
      <c r="J11">
        <v>34743.093635843943</v>
      </c>
      <c r="K11">
        <v>36769.045900176978</v>
      </c>
      <c r="L11">
        <v>81742.636329818648</v>
      </c>
      <c r="M11">
        <v>90017.305781351795</v>
      </c>
      <c r="N11">
        <v>88287.289753378456</v>
      </c>
      <c r="O11">
        <v>96561.958131180552</v>
      </c>
      <c r="P11">
        <v>82084.724308430872</v>
      </c>
      <c r="Q11">
        <v>90359.394078208919</v>
      </c>
      <c r="R11">
        <v>88629.376335308669</v>
      </c>
      <c r="S11">
        <v>96904.045104798264</v>
      </c>
      <c r="U11">
        <f>SUM('1Price SNPU'!$G$8:$G$27)-('1Price SNPU'!$C$53/((1+0.04)^16))</f>
        <v>32732.317722667416</v>
      </c>
      <c r="V11">
        <f>SUM('2Price SNPR'!$G$8:$G$27)-('2Price SNPR'!$C$53/((1+0.04)^16))</f>
        <v>35155.615090077932</v>
      </c>
      <c r="W11">
        <f>SUM('3Price SNCU'!$G$8:$G$27)-('3Price SNCU'!$C$53/((1+0.04)^16))</f>
        <v>34852.375266135132</v>
      </c>
      <c r="X11">
        <f>SUM('4Price SNCR'!$G$8:$G$27)-('4Price SNCR'!$C$53/((1+0.04)^16))</f>
        <v>37307.202942139687</v>
      </c>
      <c r="Y11">
        <f>SUM('5Price SRPU'!$G$8:$G$27)-('5Price SRPU'!$C$53/((1+0.04)^16))</f>
        <v>33033.375413984104</v>
      </c>
      <c r="Z11">
        <f>SUM('6Price SRPR'!$G$8:$G$27)-('6Price SRPR'!$C$53/((1+0.04)^16))</f>
        <v>35468.858959641453</v>
      </c>
      <c r="AA11">
        <f>SUM('7Price SRCU'!$G$8:$G$27)-('7Price SRCU'!$C$53/((1+0.04)^16))</f>
        <v>35165.619135698653</v>
      </c>
      <c r="AB11">
        <f>SUM('8Price SRCR'!$G$8:$G$27)-('8Price SRCR'!$C$53/((1+0.04)^16))</f>
        <v>37620.446811703201</v>
      </c>
      <c r="AC11">
        <f>SUM('1Price MNPU'!$G$8:$G$27)-('1Price MNPU'!$C$53/((1+0.04)^16))</f>
        <v>77388.772803891668</v>
      </c>
      <c r="AD11">
        <f>SUM('2Price MNPR'!$G$8:$G$27)-('2Price MNPR'!$C$53/((1+0.04)^16))</f>
        <v>95864.099711748233</v>
      </c>
      <c r="AE11">
        <f>SUM('3Price MNCU'!$G$8:$G$27)-('3Price MNCU'!$C$53/((1+0.04)^16))</f>
        <v>93612.13963703005</v>
      </c>
      <c r="AF11">
        <f>SUM('4Price MNCR'!$G$8:$G$27)-('4Price MNCR'!$C$53/((1+0.04)^16))</f>
        <v>104649.41452436493</v>
      </c>
      <c r="AG11">
        <f>SUM('5Price MRPU'!$G$8:$G$27)-('5Price MRPU'!$C$53/((1+0.04)^16))</f>
        <v>86121.894526918579</v>
      </c>
      <c r="AH11">
        <f>SUM('6Price MRPR'!$G$8:$G$27)-('6Price MRPR'!$C$53/((1+0.04)^16))</f>
        <v>96759.376184931374</v>
      </c>
      <c r="AI11">
        <f>SUM('7Price MRCU'!$G$8:$G$27)-('7Price MRCU'!$C$53/((1+0.04)^16))</f>
        <v>94507.416110213147</v>
      </c>
      <c r="AJ11">
        <f>SUM('8Price MRCR'!$G$8:$G$27)-('8Price MRCR'!$C$53/((1+0.04)^16))</f>
        <v>105556.28767221281</v>
      </c>
    </row>
    <row r="12" spans="1:36" x14ac:dyDescent="0.3">
      <c r="B12" s="188" t="s">
        <v>282</v>
      </c>
      <c r="C12" s="188"/>
      <c r="D12" s="7">
        <f>'75%LCOE sheet '!V9</f>
        <v>138181.59606380994</v>
      </c>
      <c r="E12" s="7">
        <f>'75%LCOE sheet '!W9</f>
        <v>146265.18014982741</v>
      </c>
      <c r="F12" s="7">
        <f>'75%LCOE sheet '!X9</f>
        <v>145256.30849692889</v>
      </c>
      <c r="G12" s="7">
        <f>'75%LCOE sheet '!Y9</f>
        <v>153339.89435689535</v>
      </c>
      <c r="H12" s="7">
        <f>'75%LCOE sheet '!Z9</f>
        <v>139400.50433504331</v>
      </c>
      <c r="I12" s="7">
        <f>'75%LCOE sheet '!AA9</f>
        <v>148337.07467440408</v>
      </c>
      <c r="J12" s="7">
        <f>'75%LCOE sheet '!AB9</f>
        <v>147237.90965474394</v>
      </c>
      <c r="K12" s="7">
        <f>'75%LCOE sheet '!AC9</f>
        <v>156174.48482812286</v>
      </c>
      <c r="L12" s="7">
        <f>'75%LCOE sheet '!AE9</f>
        <v>415969.28714689257</v>
      </c>
      <c r="M12" s="7">
        <f>'75%LCOE sheet '!AF9</f>
        <v>452469.26642392285</v>
      </c>
      <c r="N12" s="7">
        <f>'75%LCOE sheet '!AG9</f>
        <v>444982.76806320809</v>
      </c>
      <c r="O12" s="7">
        <f>'75%LCOE sheet '!AH9</f>
        <v>481482.74129543104</v>
      </c>
      <c r="P12" s="7">
        <f>'75%LCOE sheet '!AI9</f>
        <v>424541.17100991757</v>
      </c>
      <c r="Q12" s="7">
        <f>'75%LCOE sheet '!AJ9</f>
        <v>461041.13377882785</v>
      </c>
      <c r="R12" s="7">
        <f>'75%LCOE sheet '!AK9</f>
        <v>453554.64607012371</v>
      </c>
      <c r="S12" s="7">
        <f>'75%LCOE sheet '!AL9</f>
        <v>490054.61954027665</v>
      </c>
    </row>
    <row r="13" spans="1:36" x14ac:dyDescent="0.3">
      <c r="B13" s="188"/>
      <c r="C13" s="188"/>
      <c r="D13">
        <f>SUM(D4:D11)</f>
        <v>138181.59606380996</v>
      </c>
      <c r="E13">
        <f>SUM(E4:E11)</f>
        <v>146265.18014982741</v>
      </c>
      <c r="F13">
        <f t="shared" ref="F13:S13" si="6">SUM(F4:F11)</f>
        <v>145256.30849692886</v>
      </c>
      <c r="G13">
        <f t="shared" si="6"/>
        <v>153339.89435689533</v>
      </c>
      <c r="H13">
        <f t="shared" si="6"/>
        <v>139400.50276370108</v>
      </c>
      <c r="I13">
        <f t="shared" si="6"/>
        <v>148337.07467440408</v>
      </c>
      <c r="J13">
        <f t="shared" si="6"/>
        <v>147237.90965474411</v>
      </c>
      <c r="K13">
        <f t="shared" si="6"/>
        <v>156174.47665250814</v>
      </c>
      <c r="L13">
        <f t="shared" si="6"/>
        <v>415969.27460535831</v>
      </c>
      <c r="M13">
        <f t="shared" si="6"/>
        <v>452469.26642392291</v>
      </c>
      <c r="N13">
        <f t="shared" si="6"/>
        <v>444982.76254728693</v>
      </c>
      <c r="O13">
        <f t="shared" si="6"/>
        <v>481482.74129543098</v>
      </c>
      <c r="P13">
        <f t="shared" si="6"/>
        <v>424541.16648630908</v>
      </c>
      <c r="Q13">
        <f t="shared" si="6"/>
        <v>461041.13377882785</v>
      </c>
      <c r="R13">
        <f t="shared" si="6"/>
        <v>453554.64401562558</v>
      </c>
      <c r="S13">
        <f t="shared" si="6"/>
        <v>490054.6195402767</v>
      </c>
    </row>
    <row r="14" spans="1:36" x14ac:dyDescent="0.3">
      <c r="B14" s="188"/>
      <c r="C14" s="188"/>
    </row>
    <row r="15" spans="1:36" x14ac:dyDescent="0.3">
      <c r="B15" s="188"/>
      <c r="C15" s="188"/>
    </row>
    <row r="16" spans="1:36" ht="15" thickBot="1" x14ac:dyDescent="0.35">
      <c r="B16" s="188"/>
      <c r="C16" s="188"/>
    </row>
    <row r="17" spans="2:36" ht="15" thickBot="1" x14ac:dyDescent="0.35">
      <c r="B17" s="188"/>
      <c r="C17" s="188">
        <v>27.2</v>
      </c>
      <c r="D17" s="187" t="s">
        <v>306</v>
      </c>
      <c r="E17" s="187" t="s">
        <v>307</v>
      </c>
      <c r="F17" s="187" t="s">
        <v>308</v>
      </c>
      <c r="G17" s="187" t="s">
        <v>309</v>
      </c>
      <c r="H17" s="187" t="s">
        <v>310</v>
      </c>
      <c r="I17" s="187" t="s">
        <v>311</v>
      </c>
      <c r="J17" s="187" t="s">
        <v>312</v>
      </c>
      <c r="K17" s="187" t="s">
        <v>313</v>
      </c>
      <c r="L17" s="187" t="s">
        <v>314</v>
      </c>
      <c r="M17" s="187" t="s">
        <v>130</v>
      </c>
      <c r="N17" s="187" t="s">
        <v>315</v>
      </c>
      <c r="O17" s="187" t="s">
        <v>316</v>
      </c>
      <c r="P17" s="187" t="s">
        <v>317</v>
      </c>
      <c r="Q17" s="187" t="s">
        <v>318</v>
      </c>
      <c r="R17" s="187" t="s">
        <v>319</v>
      </c>
      <c r="S17" s="187" t="s">
        <v>320</v>
      </c>
    </row>
    <row r="18" spans="2:36" x14ac:dyDescent="0.3">
      <c r="B18" s="188"/>
      <c r="C18" s="188"/>
    </row>
    <row r="19" spans="2:36" x14ac:dyDescent="0.3">
      <c r="B19" s="188" t="s">
        <v>191</v>
      </c>
      <c r="C19" s="188"/>
      <c r="D19">
        <f>D4</f>
        <v>24360.497957321873</v>
      </c>
      <c r="E19">
        <f t="shared" ref="E19:S19" si="7">E4</f>
        <v>24360.497957321873</v>
      </c>
      <c r="F19">
        <f t="shared" si="7"/>
        <v>24360.497957321873</v>
      </c>
      <c r="G19">
        <f t="shared" si="7"/>
        <v>24360.497957321873</v>
      </c>
      <c r="H19">
        <f t="shared" si="7"/>
        <v>24360.497957321873</v>
      </c>
      <c r="I19">
        <f t="shared" si="7"/>
        <v>24360.497957321873</v>
      </c>
      <c r="J19">
        <f t="shared" si="7"/>
        <v>24360.497957321873</v>
      </c>
      <c r="K19">
        <f t="shared" si="7"/>
        <v>24360.497957321873</v>
      </c>
      <c r="L19">
        <f t="shared" si="7"/>
        <v>40232.004612606012</v>
      </c>
      <c r="M19">
        <f t="shared" si="7"/>
        <v>40232.004612606012</v>
      </c>
      <c r="N19">
        <f t="shared" si="7"/>
        <v>40232.004612606012</v>
      </c>
      <c r="O19">
        <f t="shared" si="7"/>
        <v>40232.004612606012</v>
      </c>
      <c r="P19">
        <f t="shared" si="7"/>
        <v>40232.004612606012</v>
      </c>
      <c r="Q19">
        <f t="shared" si="7"/>
        <v>40232.004612606012</v>
      </c>
      <c r="R19">
        <f t="shared" si="7"/>
        <v>40232.004612606012</v>
      </c>
      <c r="S19">
        <f t="shared" si="7"/>
        <v>40232.004612606012</v>
      </c>
    </row>
    <row r="20" spans="2:36" x14ac:dyDescent="0.3">
      <c r="B20" s="188" t="s">
        <v>207</v>
      </c>
      <c r="C20" s="188"/>
      <c r="D20" s="2">
        <f>D5</f>
        <v>7894.8783532977541</v>
      </c>
      <c r="E20">
        <f t="shared" ref="E20:S20" si="8">E5</f>
        <v>8901.4637716826583</v>
      </c>
      <c r="F20">
        <f t="shared" si="8"/>
        <v>8766.8754886001752</v>
      </c>
      <c r="G20">
        <f t="shared" si="8"/>
        <v>9773.4609069850794</v>
      </c>
      <c r="H20">
        <f t="shared" si="8"/>
        <v>8001.460613936164</v>
      </c>
      <c r="I20">
        <f t="shared" si="8"/>
        <v>9008.04603232107</v>
      </c>
      <c r="J20">
        <f t="shared" si="8"/>
        <v>8873.4577492385833</v>
      </c>
      <c r="K20">
        <f t="shared" si="8"/>
        <v>9880.0431676234912</v>
      </c>
      <c r="L20">
        <f t="shared" si="8"/>
        <v>25187.662527543456</v>
      </c>
      <c r="M20">
        <f t="shared" si="8"/>
        <v>29298.89657178296</v>
      </c>
      <c r="N20">
        <f t="shared" si="8"/>
        <v>28415.728845730304</v>
      </c>
      <c r="O20">
        <f t="shared" si="8"/>
        <v>32526.962889969807</v>
      </c>
      <c r="P20">
        <f t="shared" si="8"/>
        <v>25472.924188069712</v>
      </c>
      <c r="Q20">
        <f t="shared" si="8"/>
        <v>29584.158232309219</v>
      </c>
      <c r="R20">
        <f t="shared" si="8"/>
        <v>28700.990506256563</v>
      </c>
      <c r="S20">
        <f t="shared" si="8"/>
        <v>32812.224550496067</v>
      </c>
    </row>
    <row r="21" spans="2:36" x14ac:dyDescent="0.3">
      <c r="B21" s="188" t="s">
        <v>302</v>
      </c>
      <c r="C21" s="188"/>
      <c r="D21">
        <f>D6</f>
        <v>5799.2711354906269</v>
      </c>
      <c r="E21">
        <f t="shared" ref="E21:S21" si="9">E6</f>
        <v>5799.2711354906269</v>
      </c>
      <c r="F21">
        <f t="shared" si="9"/>
        <v>5799.2711354906269</v>
      </c>
      <c r="G21">
        <f t="shared" si="9"/>
        <v>5799.2711354906269</v>
      </c>
      <c r="H21">
        <f t="shared" si="9"/>
        <v>5799.2711354906269</v>
      </c>
      <c r="I21">
        <f t="shared" si="9"/>
        <v>5799.2711354906269</v>
      </c>
      <c r="J21">
        <f t="shared" si="9"/>
        <v>5799.2711354906269</v>
      </c>
      <c r="K21">
        <f t="shared" si="9"/>
        <v>5799.2711354906269</v>
      </c>
      <c r="L21">
        <f t="shared" si="9"/>
        <v>10259.379629585033</v>
      </c>
      <c r="M21">
        <f t="shared" si="9"/>
        <v>10259.379629585033</v>
      </c>
      <c r="N21">
        <f t="shared" si="9"/>
        <v>10259.379629585033</v>
      </c>
      <c r="O21">
        <f t="shared" si="9"/>
        <v>10259.379629585033</v>
      </c>
      <c r="P21">
        <f t="shared" si="9"/>
        <v>10259.379629585033</v>
      </c>
      <c r="Q21">
        <f t="shared" si="9"/>
        <v>10259.379629585033</v>
      </c>
      <c r="R21">
        <f t="shared" si="9"/>
        <v>10259.379629585033</v>
      </c>
      <c r="S21">
        <f t="shared" si="9"/>
        <v>10259.379629585033</v>
      </c>
    </row>
    <row r="22" spans="2:36" x14ac:dyDescent="0.3">
      <c r="B22" s="188" t="s">
        <v>321</v>
      </c>
      <c r="C22" s="188"/>
      <c r="D22">
        <f>D7</f>
        <v>19896.770081427563</v>
      </c>
      <c r="E22">
        <f t="shared" ref="E22:S22" si="10">E7</f>
        <v>22824.957019253488</v>
      </c>
      <c r="F22">
        <f t="shared" si="10"/>
        <v>22433.43569845103</v>
      </c>
      <c r="G22">
        <f t="shared" si="10"/>
        <v>25361.622636276952</v>
      </c>
      <c r="H22">
        <f t="shared" si="10"/>
        <v>20206.821049487597</v>
      </c>
      <c r="I22">
        <f t="shared" si="10"/>
        <v>23135.007987313518</v>
      </c>
      <c r="J22">
        <f t="shared" si="10"/>
        <v>22743.486666511057</v>
      </c>
      <c r="K22">
        <f t="shared" si="10"/>
        <v>25671.673604336982</v>
      </c>
      <c r="L22">
        <f t="shared" si="10"/>
        <v>70201.993873479718</v>
      </c>
      <c r="M22">
        <f t="shared" si="10"/>
        <v>82161.696057526264</v>
      </c>
      <c r="N22">
        <f t="shared" si="10"/>
        <v>79592.534859576233</v>
      </c>
      <c r="O22">
        <f t="shared" si="10"/>
        <v>91552.237043622765</v>
      </c>
      <c r="P22">
        <f t="shared" si="10"/>
        <v>71031.828533270222</v>
      </c>
      <c r="Q22">
        <f t="shared" si="10"/>
        <v>82991.530717316753</v>
      </c>
      <c r="R22">
        <f t="shared" si="10"/>
        <v>80422.369519366723</v>
      </c>
      <c r="S22">
        <f t="shared" si="10"/>
        <v>92382.071703413269</v>
      </c>
    </row>
    <row r="23" spans="2:36" x14ac:dyDescent="0.3">
      <c r="B23" s="188" t="s">
        <v>322</v>
      </c>
      <c r="C23" s="188"/>
      <c r="D23">
        <v>9342.0157837610241</v>
      </c>
      <c r="E23">
        <v>11026.638909756091</v>
      </c>
      <c r="F23">
        <v>10848.31600939167</v>
      </c>
      <c r="G23">
        <v>12532.941173922874</v>
      </c>
      <c r="H23">
        <v>9633.0741546386598</v>
      </c>
      <c r="I23">
        <v>11317.700031812015</v>
      </c>
      <c r="J23">
        <v>11139.373082563769</v>
      </c>
      <c r="K23">
        <v>11393.896161775143</v>
      </c>
      <c r="L23">
        <v>40008.725092301014</v>
      </c>
      <c r="M23">
        <v>43947.885195418414</v>
      </c>
      <c r="N23">
        <v>43947.885195418414</v>
      </c>
      <c r="O23">
        <v>43947.885195418414</v>
      </c>
      <c r="P23">
        <v>30763.519636792887</v>
      </c>
      <c r="Q23">
        <v>30763.519636792887</v>
      </c>
      <c r="R23">
        <v>30763.519636792887</v>
      </c>
      <c r="S23">
        <v>30763.519636792887</v>
      </c>
      <c r="U23" s="188">
        <f>'1Price SNPU'!$C$22</f>
        <v>9342.0043137346274</v>
      </c>
      <c r="V23" s="188">
        <f>'2Price SNPR'!$C$22</f>
        <v>9342.0043137346274</v>
      </c>
      <c r="W23" s="188">
        <f>'3Price SNCU'!$C$22</f>
        <v>9342.0043137346274</v>
      </c>
      <c r="X23" s="188">
        <f>'4Price SNCR'!$C$22</f>
        <v>9342.0043137346274</v>
      </c>
      <c r="Y23" s="188">
        <f>'5Price SRPU'!$C$22</f>
        <v>9342.0043137346274</v>
      </c>
      <c r="Z23" s="188">
        <f>'6Price SRPR'!$C$22</f>
        <v>9342.0043137346274</v>
      </c>
      <c r="AA23" s="188">
        <f>'7Price SRCU'!$C$22</f>
        <v>9342.0043137346274</v>
      </c>
      <c r="AB23" s="188">
        <f>'8Price SRCR'!$C$22</f>
        <v>9342.0043137346274</v>
      </c>
      <c r="AC23" s="188">
        <f>'1Price MNPU'!$C$23</f>
        <v>25223.411647083496</v>
      </c>
      <c r="AD23" s="188">
        <f>'2Price MNPR'!$C$23</f>
        <v>25223.411647083496</v>
      </c>
      <c r="AE23" s="188">
        <f>'3Price MNCU'!$C$23</f>
        <v>25223.411647083496</v>
      </c>
      <c r="AF23" s="188">
        <f>'4Price MNCR'!$C$23</f>
        <v>25223.411647083496</v>
      </c>
      <c r="AG23" s="188">
        <f>'5Price MRPU'!$C$23</f>
        <v>25223.411647083496</v>
      </c>
      <c r="AH23" s="188">
        <f>'6Price MRPR'!$C$23</f>
        <v>25223.411647083496</v>
      </c>
      <c r="AI23" s="188">
        <f>'7Price MRCU'!$C$23</f>
        <v>25223.411647083496</v>
      </c>
      <c r="AJ23" s="188">
        <f>'8Price MRCR'!$C$23</f>
        <v>25223.411647083496</v>
      </c>
    </row>
    <row r="24" spans="2:36" x14ac:dyDescent="0.3">
      <c r="B24" s="188" t="s">
        <v>323</v>
      </c>
      <c r="C24" s="188"/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2052.5703033560708</v>
      </c>
      <c r="L24">
        <v>0</v>
      </c>
      <c r="M24">
        <v>4221.6820692266592</v>
      </c>
      <c r="N24">
        <v>2349.5858381649996</v>
      </c>
      <c r="O24">
        <v>12224.97566817698</v>
      </c>
      <c r="P24">
        <v>14387.364279298805</v>
      </c>
      <c r="Q24">
        <v>24262.766665373634</v>
      </c>
      <c r="R24">
        <v>22390.634977939259</v>
      </c>
      <c r="S24">
        <v>32266.074062912121</v>
      </c>
      <c r="U24" s="188">
        <f>'1Price SNPU'!$C$33</f>
        <v>0</v>
      </c>
      <c r="V24" s="188">
        <f>'2Price SNPR'!$C$33</f>
        <v>0</v>
      </c>
      <c r="W24" s="188">
        <f>'3Price SNCU'!$C$33</f>
        <v>0</v>
      </c>
      <c r="X24" s="188">
        <f>'4Price SNCR'!$C$33</f>
        <v>0</v>
      </c>
      <c r="Y24" s="188">
        <f>'5Price SRPU'!$C$33</f>
        <v>0</v>
      </c>
      <c r="Z24" s="188">
        <f>'6Price SRPR'!$C$33</f>
        <v>0</v>
      </c>
      <c r="AA24" s="188">
        <f>'7Price SRCU'!$C$33</f>
        <v>0</v>
      </c>
      <c r="AB24" s="188">
        <f>'8Price SRCR'!$C$33</f>
        <v>0</v>
      </c>
      <c r="AC24" s="188">
        <f>'1Price MNPU'!$C$34</f>
        <v>0</v>
      </c>
      <c r="AD24" s="188">
        <f>'2Price MNPR'!$C$34</f>
        <v>0</v>
      </c>
      <c r="AE24" s="188">
        <f>'3Price MNCU'!$C$34</f>
        <v>0</v>
      </c>
      <c r="AF24" s="188">
        <f>'4Price MNCR'!$C$34</f>
        <v>0</v>
      </c>
      <c r="AG24" s="188">
        <f>'5Price MRPU'!$C$34</f>
        <v>0</v>
      </c>
      <c r="AH24" s="188">
        <f>'6Price MRPR'!$C$34</f>
        <v>0</v>
      </c>
      <c r="AI24" s="188">
        <f>'7Price MRCU'!$C$34</f>
        <v>0</v>
      </c>
      <c r="AJ24" s="188">
        <f>'8Price MRCR'!$C$34</f>
        <v>0</v>
      </c>
    </row>
    <row r="25" spans="2:36" x14ac:dyDescent="0.3">
      <c r="B25" s="188" t="s">
        <v>324</v>
      </c>
      <c r="C25" s="188"/>
      <c r="D25">
        <v>36000</v>
      </c>
      <c r="E25">
        <v>36000</v>
      </c>
      <c r="F25">
        <v>36000</v>
      </c>
      <c r="G25">
        <v>36000</v>
      </c>
      <c r="H25">
        <v>36000</v>
      </c>
      <c r="I25">
        <v>36000</v>
      </c>
      <c r="J25">
        <v>36000</v>
      </c>
      <c r="K25">
        <v>36000</v>
      </c>
      <c r="L25">
        <v>136800</v>
      </c>
      <c r="M25">
        <v>136800</v>
      </c>
      <c r="N25">
        <v>136800</v>
      </c>
      <c r="O25">
        <v>136800</v>
      </c>
      <c r="P25">
        <v>136800</v>
      </c>
      <c r="Q25">
        <v>136800</v>
      </c>
      <c r="R25">
        <v>136800</v>
      </c>
      <c r="S25">
        <v>136800</v>
      </c>
      <c r="U25">
        <f>'1Price MNPU'!$C$37</f>
        <v>36000</v>
      </c>
      <c r="V25">
        <f>$D25</f>
        <v>36000</v>
      </c>
      <c r="W25">
        <f t="shared" ref="W25:AB25" si="11">$D25</f>
        <v>36000</v>
      </c>
      <c r="X25">
        <f t="shared" si="11"/>
        <v>36000</v>
      </c>
      <c r="Y25">
        <f t="shared" si="11"/>
        <v>36000</v>
      </c>
      <c r="Z25">
        <f t="shared" si="11"/>
        <v>36000</v>
      </c>
      <c r="AA25">
        <f t="shared" si="11"/>
        <v>36000</v>
      </c>
      <c r="AB25">
        <f t="shared" si="11"/>
        <v>36000</v>
      </c>
      <c r="AC25">
        <f>'1Price MNPU'!$C$39</f>
        <v>136800</v>
      </c>
      <c r="AD25">
        <f>$L25</f>
        <v>136800</v>
      </c>
      <c r="AE25">
        <f t="shared" ref="AE25:AJ25" si="12">$L25</f>
        <v>136800</v>
      </c>
      <c r="AF25">
        <f t="shared" si="12"/>
        <v>136800</v>
      </c>
      <c r="AG25">
        <f t="shared" si="12"/>
        <v>136800</v>
      </c>
      <c r="AH25">
        <f t="shared" si="12"/>
        <v>136800</v>
      </c>
      <c r="AI25">
        <f t="shared" si="12"/>
        <v>136800</v>
      </c>
      <c r="AJ25">
        <f t="shared" si="12"/>
        <v>136800</v>
      </c>
    </row>
    <row r="26" spans="2:36" x14ac:dyDescent="0.3">
      <c r="B26" s="188" t="s">
        <v>325</v>
      </c>
      <c r="C26" s="188"/>
      <c r="D26">
        <v>32732.315864270517</v>
      </c>
      <c r="E26">
        <v>34807.740308812485</v>
      </c>
      <c r="F26">
        <v>34544.457090084063</v>
      </c>
      <c r="G26">
        <v>36619.881204338257</v>
      </c>
      <c r="H26">
        <v>32986.215689095254</v>
      </c>
      <c r="I26">
        <v>35061.639687885734</v>
      </c>
      <c r="J26">
        <v>34798.357125165661</v>
      </c>
      <c r="K26">
        <v>36831.783262753845</v>
      </c>
      <c r="L26">
        <v>81868.946551629648</v>
      </c>
      <c r="M26">
        <v>90259.299712685563</v>
      </c>
      <c r="N26">
        <v>88529.279298201931</v>
      </c>
      <c r="O26">
        <v>96803.952897963638</v>
      </c>
      <c r="P26">
        <v>82254.112777703122</v>
      </c>
      <c r="Q26">
        <v>90528.784703139798</v>
      </c>
      <c r="R26">
        <v>88798.769016690247</v>
      </c>
      <c r="S26">
        <v>97073.436048404634</v>
      </c>
      <c r="U26">
        <f>SUM('1Price SNPU'!$G$8:$G$27)-('1Price SNPU'!$C$53/((1+0.04)^16))</f>
        <v>32732.317722667416</v>
      </c>
      <c r="V26">
        <f>SUM('2Price SNPR'!$G$8:$G$27)-('2Price SNPR'!$C$53/((1+0.04)^16))</f>
        <v>35155.615090077932</v>
      </c>
      <c r="W26">
        <f>SUM('3Price SNCU'!$G$8:$G$27)-('3Price SNCU'!$C$53/((1+0.04)^16))</f>
        <v>34852.375266135132</v>
      </c>
      <c r="X26">
        <f>SUM('4Price SNCR'!$G$8:$G$27)-('4Price SNCR'!$C$53/((1+0.04)^16))</f>
        <v>37307.202942139687</v>
      </c>
      <c r="Y26">
        <f>SUM('5Price SRPU'!$G$8:$G$27)-('5Price SRPU'!$C$53/((1+0.04)^16))</f>
        <v>33033.375413984104</v>
      </c>
      <c r="Z26">
        <f>SUM('6Price SRPR'!$G$8:$G$27)-('6Price SRPR'!$C$53/((1+0.04)^16))</f>
        <v>35468.858959641453</v>
      </c>
      <c r="AA26">
        <f>SUM('7Price SRCU'!$G$8:$G$27)-('7Price SRCU'!$C$53/((1+0.04)^16))</f>
        <v>35165.619135698653</v>
      </c>
      <c r="AB26">
        <f>SUM('8Price SRCR'!$G$8:$G$27)-('8Price SRCR'!$C$53/((1+0.04)^16))</f>
        <v>37620.446811703201</v>
      </c>
      <c r="AC26">
        <f>SUM('1Price MNPU'!$G$8:$G$27)-('1Price MNPU'!$C$53/((1+0.04)^16))</f>
        <v>77388.772803891668</v>
      </c>
      <c r="AD26">
        <f>SUM('2Price MNPR'!$G$8:$G$27)-('2Price MNPR'!$C$53/((1+0.04)^16))</f>
        <v>95864.099711748233</v>
      </c>
      <c r="AE26">
        <f>SUM('3Price MNCU'!$G$8:$G$27)-('3Price MNCU'!$C$53/((1+0.04)^16))</f>
        <v>93612.13963703005</v>
      </c>
      <c r="AF26">
        <f>SUM('4Price MNCR'!$G$8:$G$27)-('4Price MNCR'!$C$53/((1+0.04)^16))</f>
        <v>104649.41452436493</v>
      </c>
      <c r="AG26">
        <f>SUM('5Price MRPU'!$G$8:$G$27)-('5Price MRPU'!$C$53/((1+0.04)^16))</f>
        <v>86121.894526918579</v>
      </c>
      <c r="AH26">
        <f>SUM('6Price MRPR'!$G$8:$G$27)-('6Price MRPR'!$C$53/((1+0.04)^16))</f>
        <v>96759.376184931374</v>
      </c>
      <c r="AI26">
        <f>SUM('7Price MRCU'!$G$8:$G$27)-('7Price MRCU'!$C$53/((1+0.04)^16))</f>
        <v>94507.416110213147</v>
      </c>
      <c r="AJ26">
        <f>SUM('8Price MRCR'!$G$8:$G$27)-('8Price MRCR'!$C$53/((1+0.04)^16))</f>
        <v>105556.28767221281</v>
      </c>
    </row>
    <row r="27" spans="2:36" x14ac:dyDescent="0.3">
      <c r="B27" s="188" t="s">
        <v>282</v>
      </c>
      <c r="C27" s="188"/>
      <c r="D27">
        <f>'75%LCOE sheet '!V22</f>
        <v>136025.74941034292</v>
      </c>
      <c r="E27">
        <f>'75%LCOE sheet '!W22</f>
        <v>143720.57277215732</v>
      </c>
      <c r="F27">
        <f>'75%LCOE sheet '!X22</f>
        <v>142752.8536517795</v>
      </c>
      <c r="G27">
        <f>'75%LCOE sheet '!Y22</f>
        <v>150447.67501433569</v>
      </c>
      <c r="H27">
        <f>'75%LCOE sheet '!Z22</f>
        <v>136987.33774079528</v>
      </c>
      <c r="I27">
        <f>'75%LCOE sheet '!AA22</f>
        <v>144682.16078042414</v>
      </c>
      <c r="J27">
        <f>'75%LCOE sheet '!AB22</f>
        <v>143714.44169463727</v>
      </c>
      <c r="K27">
        <f>'75%LCOE sheet '!AC22</f>
        <v>151989.73217616303</v>
      </c>
      <c r="L27">
        <f>'75%LCOE sheet '!AE22</f>
        <v>404558.70088140934</v>
      </c>
      <c r="M27">
        <f>'75%LCOE sheet '!AF22</f>
        <v>437180.86316466262</v>
      </c>
      <c r="N27">
        <f>'75%LCOE sheet '!AG22</f>
        <v>430126.40184427222</v>
      </c>
      <c r="O27">
        <f>'75%LCOE sheet '!AH22</f>
        <v>464347.41829632048</v>
      </c>
      <c r="P27">
        <f>'75%LCOE sheet '!AI22</f>
        <v>411201.09547762055</v>
      </c>
      <c r="Q27">
        <f>'75%LCOE sheet '!AJ22</f>
        <v>445422.1394328294</v>
      </c>
      <c r="R27">
        <f>'75%LCOE sheet '!AK22</f>
        <v>438367.66758421983</v>
      </c>
      <c r="S27">
        <f>'75%LCOE sheet '!AL22</f>
        <v>472588.69437691098</v>
      </c>
    </row>
    <row r="28" spans="2:36" x14ac:dyDescent="0.3">
      <c r="B28" s="188"/>
      <c r="C28" s="188"/>
      <c r="D28" s="188">
        <f>SUM(D19:D26)</f>
        <v>136025.74917556936</v>
      </c>
      <c r="E28" s="188">
        <f t="shared" ref="E28:S28" si="13">SUM(E19:E26)</f>
        <v>143720.56910231721</v>
      </c>
      <c r="F28" s="188">
        <f t="shared" si="13"/>
        <v>142752.85337933945</v>
      </c>
      <c r="G28" s="188">
        <f t="shared" si="13"/>
        <v>150447.67501433566</v>
      </c>
      <c r="H28" s="188">
        <f t="shared" si="13"/>
        <v>136987.34059997016</v>
      </c>
      <c r="I28" s="188">
        <f t="shared" si="13"/>
        <v>144682.16283214482</v>
      </c>
      <c r="J28" s="188">
        <f t="shared" si="13"/>
        <v>143714.44371629157</v>
      </c>
      <c r="K28" s="188">
        <f t="shared" si="13"/>
        <v>151989.73559265805</v>
      </c>
      <c r="L28" s="188">
        <f t="shared" si="13"/>
        <v>404558.71228714485</v>
      </c>
      <c r="M28" s="188">
        <f t="shared" si="13"/>
        <v>437180.8438488309</v>
      </c>
      <c r="N28" s="188">
        <f t="shared" si="13"/>
        <v>430126.39827928285</v>
      </c>
      <c r="O28" s="188">
        <f t="shared" si="13"/>
        <v>464347.39793734264</v>
      </c>
      <c r="P28" s="188">
        <f t="shared" si="13"/>
        <v>411201.13365732576</v>
      </c>
      <c r="Q28" s="188">
        <f t="shared" si="13"/>
        <v>445422.14419712336</v>
      </c>
      <c r="R28" s="188">
        <f t="shared" si="13"/>
        <v>438367.66789923672</v>
      </c>
      <c r="S28" s="188">
        <f t="shared" si="13"/>
        <v>472588.71024421009</v>
      </c>
    </row>
    <row r="29" spans="2:36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  <row r="30" spans="2:36" x14ac:dyDescent="0.3"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</row>
    <row r="31" spans="2:36" x14ac:dyDescent="0.3">
      <c r="B31" t="s">
        <v>326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  <row r="32" spans="2:36" ht="15" thickBot="1" x14ac:dyDescent="0.35"/>
    <row r="33" spans="2:19" ht="15" thickBot="1" x14ac:dyDescent="0.35">
      <c r="C33">
        <v>22.1</v>
      </c>
      <c r="D33" s="187" t="s">
        <v>306</v>
      </c>
      <c r="E33" s="187" t="s">
        <v>307</v>
      </c>
      <c r="F33" s="187" t="s">
        <v>308</v>
      </c>
      <c r="G33" s="187" t="s">
        <v>309</v>
      </c>
      <c r="H33" s="187" t="s">
        <v>310</v>
      </c>
      <c r="I33" s="187" t="s">
        <v>311</v>
      </c>
      <c r="J33" s="187" t="s">
        <v>312</v>
      </c>
      <c r="K33" s="187" t="s">
        <v>313</v>
      </c>
      <c r="L33" s="187" t="s">
        <v>314</v>
      </c>
      <c r="M33" s="187" t="s">
        <v>130</v>
      </c>
      <c r="N33" s="187" t="s">
        <v>315</v>
      </c>
      <c r="O33" s="187" t="s">
        <v>316</v>
      </c>
      <c r="P33" s="187" t="s">
        <v>317</v>
      </c>
      <c r="Q33" s="187" t="s">
        <v>318</v>
      </c>
      <c r="R33" s="187" t="s">
        <v>319</v>
      </c>
      <c r="S33" s="187" t="s">
        <v>320</v>
      </c>
    </row>
    <row r="34" spans="2:19" x14ac:dyDescent="0.3">
      <c r="B34" t="s">
        <v>191</v>
      </c>
      <c r="D34" s="190">
        <f>D4/D$12*100</f>
        <v>17.629336070248172</v>
      </c>
      <c r="E34" s="190">
        <f t="shared" ref="E34:S34" si="14">E4/E$12*100</f>
        <v>16.655022017111719</v>
      </c>
      <c r="F34" s="190">
        <f t="shared" si="14"/>
        <v>16.770698780243968</v>
      </c>
      <c r="G34" s="190">
        <f t="shared" si="14"/>
        <v>15.886601500209288</v>
      </c>
      <c r="H34" s="190">
        <f t="shared" si="14"/>
        <v>17.475186387254691</v>
      </c>
      <c r="I34" s="190">
        <f t="shared" si="14"/>
        <v>16.422393397464873</v>
      </c>
      <c r="J34" s="190">
        <f t="shared" si="14"/>
        <v>16.544990359102798</v>
      </c>
      <c r="K34" s="190">
        <f t="shared" si="14"/>
        <v>15.598257285197201</v>
      </c>
      <c r="L34" s="190">
        <f t="shared" si="14"/>
        <v>9.6718690191179313</v>
      </c>
      <c r="M34" s="190">
        <f t="shared" si="14"/>
        <v>8.8916546599017536</v>
      </c>
      <c r="N34" s="190">
        <f t="shared" si="14"/>
        <v>9.0412500213696383</v>
      </c>
      <c r="O34" s="190">
        <f t="shared" si="14"/>
        <v>8.3558560176760768</v>
      </c>
      <c r="P34" s="190">
        <f t="shared" si="14"/>
        <v>9.4765849250616423</v>
      </c>
      <c r="Q34" s="190">
        <f t="shared" si="14"/>
        <v>8.7263373406300531</v>
      </c>
      <c r="R34" s="190">
        <f t="shared" si="14"/>
        <v>8.8703764719865248</v>
      </c>
      <c r="S34" s="190">
        <f t="shared" si="14"/>
        <v>8.2096980639317128</v>
      </c>
    </row>
    <row r="35" spans="2:19" x14ac:dyDescent="0.3">
      <c r="B35" t="s">
        <v>207</v>
      </c>
      <c r="D35" s="190">
        <f t="shared" ref="D35:S41" si="15">D5/D$12*100</f>
        <v>5.7134079922278733</v>
      </c>
      <c r="E35" s="190">
        <f t="shared" si="15"/>
        <v>6.0858392698552057</v>
      </c>
      <c r="F35" s="190">
        <f t="shared" si="15"/>
        <v>6.0354524903718936</v>
      </c>
      <c r="G35" s="190">
        <f t="shared" si="15"/>
        <v>6.3737235166195934</v>
      </c>
      <c r="H35" s="190">
        <f t="shared" si="15"/>
        <v>5.7399079379978328</v>
      </c>
      <c r="I35" s="190">
        <f t="shared" si="15"/>
        <v>6.0726868532991443</v>
      </c>
      <c r="J35" s="190">
        <f t="shared" si="15"/>
        <v>6.0266121476770671</v>
      </c>
      <c r="K35" s="190">
        <f t="shared" si="15"/>
        <v>6.3262851025229434</v>
      </c>
      <c r="L35" s="190">
        <f t="shared" si="15"/>
        <v>6.0551736163753977</v>
      </c>
      <c r="M35" s="190">
        <f t="shared" si="15"/>
        <v>6.4753340714930552</v>
      </c>
      <c r="N35" s="190">
        <f t="shared" si="15"/>
        <v>6.3858043243809295</v>
      </c>
      <c r="O35" s="190">
        <f t="shared" si="15"/>
        <v>6.7555823086110829</v>
      </c>
      <c r="P35" s="190">
        <f t="shared" si="15"/>
        <v>6.0001069218972516</v>
      </c>
      <c r="Q35" s="190">
        <f t="shared" si="15"/>
        <v>6.4168153478690311</v>
      </c>
      <c r="R35" s="190">
        <f t="shared" si="15"/>
        <v>6.3280115758794651</v>
      </c>
      <c r="S35" s="190">
        <f t="shared" si="15"/>
        <v>6.6956260061944564</v>
      </c>
    </row>
    <row r="36" spans="2:19" x14ac:dyDescent="0.3">
      <c r="B36" t="s">
        <v>302</v>
      </c>
      <c r="D36" s="190">
        <f t="shared" si="15"/>
        <v>4.1968476994668817</v>
      </c>
      <c r="E36" s="190">
        <f t="shared" si="15"/>
        <v>3.9649020563541622</v>
      </c>
      <c r="F36" s="190">
        <f t="shared" si="15"/>
        <v>3.9924401187802725</v>
      </c>
      <c r="G36" s="190">
        <f t="shared" si="15"/>
        <v>3.781971521379131</v>
      </c>
      <c r="H36" s="190">
        <f t="shared" si="15"/>
        <v>4.1601507563791298</v>
      </c>
      <c r="I36" s="190">
        <f t="shared" si="15"/>
        <v>3.9095223821960032</v>
      </c>
      <c r="J36" s="190">
        <f t="shared" si="15"/>
        <v>3.9387078702008567</v>
      </c>
      <c r="K36" s="190">
        <f t="shared" si="15"/>
        <v>3.7133281674487284</v>
      </c>
      <c r="L36" s="190">
        <f t="shared" si="15"/>
        <v>2.4663791165817743</v>
      </c>
      <c r="M36" s="190">
        <f t="shared" si="15"/>
        <v>2.2674202185420747</v>
      </c>
      <c r="N36" s="190">
        <f t="shared" si="15"/>
        <v>2.3055678479953472</v>
      </c>
      <c r="O36" s="190">
        <f t="shared" si="15"/>
        <v>2.1307886554733271</v>
      </c>
      <c r="P36" s="190">
        <f t="shared" si="15"/>
        <v>2.4165806122359257</v>
      </c>
      <c r="Q36" s="190">
        <f t="shared" si="15"/>
        <v>2.2252634044811059</v>
      </c>
      <c r="R36" s="190">
        <f t="shared" si="15"/>
        <v>2.2619941650865236</v>
      </c>
      <c r="S36" s="190">
        <f t="shared" si="15"/>
        <v>2.0935175836541289</v>
      </c>
    </row>
    <row r="37" spans="2:19" x14ac:dyDescent="0.3">
      <c r="B37" t="s">
        <v>321</v>
      </c>
      <c r="D37" s="190">
        <f t="shared" si="15"/>
        <v>14.399001493831037</v>
      </c>
      <c r="E37" s="190">
        <f t="shared" si="15"/>
        <v>15.605188463770144</v>
      </c>
      <c r="F37" s="190">
        <f t="shared" si="15"/>
        <v>15.444035395492191</v>
      </c>
      <c r="G37" s="190">
        <f t="shared" si="15"/>
        <v>16.539480963282987</v>
      </c>
      <c r="H37" s="190">
        <f t="shared" si="15"/>
        <v>14.495515024049944</v>
      </c>
      <c r="I37" s="190">
        <f t="shared" si="15"/>
        <v>15.596241221619236</v>
      </c>
      <c r="J37" s="190">
        <f t="shared" si="15"/>
        <v>15.446760090415527</v>
      </c>
      <c r="K37" s="190">
        <f t="shared" si="15"/>
        <v>16.437815455315782</v>
      </c>
      <c r="L37" s="190">
        <f t="shared" si="15"/>
        <v>16.876725287818921</v>
      </c>
      <c r="M37" s="190">
        <f t="shared" si="15"/>
        <v>18.158514213990433</v>
      </c>
      <c r="N37" s="190">
        <f t="shared" si="15"/>
        <v>17.886655522865198</v>
      </c>
      <c r="O37" s="190">
        <f t="shared" si="15"/>
        <v>19.014645633465726</v>
      </c>
      <c r="P37" s="190">
        <f t="shared" si="15"/>
        <v>16.731434636668226</v>
      </c>
      <c r="Q37" s="190">
        <f t="shared" si="15"/>
        <v>18.000895069186974</v>
      </c>
      <c r="R37" s="190">
        <f t="shared" si="15"/>
        <v>17.731572196690205</v>
      </c>
      <c r="S37" s="190">
        <f t="shared" si="15"/>
        <v>18.851382686704898</v>
      </c>
    </row>
    <row r="38" spans="2:19" x14ac:dyDescent="0.3">
      <c r="B38" t="s">
        <v>322</v>
      </c>
      <c r="D38" s="190">
        <f t="shared" si="15"/>
        <v>8.3208347266720253</v>
      </c>
      <c r="E38" s="190">
        <f t="shared" si="15"/>
        <v>9.2785242919224533</v>
      </c>
      <c r="F38" s="190">
        <f t="shared" si="15"/>
        <v>9.1918698043539617</v>
      </c>
      <c r="G38" s="190">
        <f t="shared" si="15"/>
        <v>10.059457068820608</v>
      </c>
      <c r="H38" s="190">
        <f t="shared" si="15"/>
        <v>8.1734970874928745</v>
      </c>
      <c r="I38" s="190">
        <f t="shared" si="15"/>
        <v>7.68108457496849</v>
      </c>
      <c r="J38" s="190">
        <f t="shared" si="15"/>
        <v>7.7384256462839804</v>
      </c>
      <c r="K38" s="190">
        <f t="shared" si="15"/>
        <v>7.2956194952809641</v>
      </c>
      <c r="L38" s="190">
        <f t="shared" si="15"/>
        <v>10.565175495732923</v>
      </c>
      <c r="M38" s="190">
        <f t="shared" si="15"/>
        <v>9.712899517520647</v>
      </c>
      <c r="N38" s="190">
        <f t="shared" si="15"/>
        <v>9.8763117022940055</v>
      </c>
      <c r="O38" s="190">
        <f t="shared" si="15"/>
        <v>9.1276138116968575</v>
      </c>
      <c r="P38" s="190">
        <f t="shared" si="15"/>
        <v>7.2462982950773069</v>
      </c>
      <c r="Q38" s="190">
        <f t="shared" si="15"/>
        <v>6.6726192920458294</v>
      </c>
      <c r="R38" s="190">
        <f t="shared" si="15"/>
        <v>6.7827592338314551</v>
      </c>
      <c r="S38" s="190">
        <f t="shared" si="15"/>
        <v>6.2775695626851435</v>
      </c>
    </row>
    <row r="39" spans="2:19" x14ac:dyDescent="0.3">
      <c r="B39" t="s">
        <v>323</v>
      </c>
      <c r="D39" s="190">
        <f t="shared" si="15"/>
        <v>0</v>
      </c>
      <c r="E39" s="190">
        <f t="shared" si="15"/>
        <v>0</v>
      </c>
      <c r="F39" s="190">
        <f t="shared" si="15"/>
        <v>0</v>
      </c>
      <c r="G39" s="190">
        <f t="shared" si="15"/>
        <v>0</v>
      </c>
      <c r="H39" s="190">
        <f t="shared" si="15"/>
        <v>0.47587217724283676</v>
      </c>
      <c r="I39" s="190">
        <f t="shared" si="15"/>
        <v>2.4533422343579558</v>
      </c>
      <c r="J39" s="190">
        <f t="shared" si="15"/>
        <v>2.2577109090707546</v>
      </c>
      <c r="K39" s="190">
        <f t="shared" si="15"/>
        <v>4.0339807957212406</v>
      </c>
      <c r="L39" s="190">
        <f t="shared" si="15"/>
        <v>1.8265080311624191</v>
      </c>
      <c r="M39" s="190">
        <f t="shared" si="15"/>
        <v>4.3654011534888468</v>
      </c>
      <c r="N39" s="190">
        <f t="shared" si="15"/>
        <v>3.9210371509294157</v>
      </c>
      <c r="O39" s="190">
        <f t="shared" si="15"/>
        <v>6.1481567778324253</v>
      </c>
      <c r="P39" s="190">
        <f t="shared" si="15"/>
        <v>6.571043630748993</v>
      </c>
      <c r="Q39" s="190">
        <f t="shared" si="15"/>
        <v>8.6871092268358154</v>
      </c>
      <c r="R39" s="190">
        <f t="shared" si="15"/>
        <v>8.3224819991974499</v>
      </c>
      <c r="S39" s="190">
        <f t="shared" si="15"/>
        <v>10.182818876270963</v>
      </c>
    </row>
    <row r="40" spans="2:19" x14ac:dyDescent="0.3">
      <c r="B40" t="s">
        <v>324</v>
      </c>
      <c r="D40" s="190">
        <f t="shared" si="15"/>
        <v>26.052673456873233</v>
      </c>
      <c r="E40" s="190">
        <f t="shared" si="15"/>
        <v>24.61282990464527</v>
      </c>
      <c r="F40" s="190">
        <f t="shared" si="15"/>
        <v>24.78377729168378</v>
      </c>
      <c r="G40" s="190">
        <f t="shared" si="15"/>
        <v>23.477256294575739</v>
      </c>
      <c r="H40" s="190">
        <f t="shared" si="15"/>
        <v>25.824870700234698</v>
      </c>
      <c r="I40" s="190">
        <f t="shared" si="15"/>
        <v>24.269050794630431</v>
      </c>
      <c r="J40" s="190">
        <f t="shared" si="15"/>
        <v>24.450224866962511</v>
      </c>
      <c r="K40" s="190">
        <f t="shared" si="15"/>
        <v>23.051140549379522</v>
      </c>
      <c r="L40" s="190">
        <f t="shared" si="15"/>
        <v>32.887043401281538</v>
      </c>
      <c r="M40" s="190">
        <f t="shared" si="15"/>
        <v>30.234097683848155</v>
      </c>
      <c r="N40" s="190">
        <f t="shared" si="15"/>
        <v>30.742763499679633</v>
      </c>
      <c r="O40" s="190">
        <f t="shared" si="15"/>
        <v>28.412233350657413</v>
      </c>
      <c r="P40" s="190">
        <f t="shared" si="15"/>
        <v>32.22302319338641</v>
      </c>
      <c r="Q40" s="190">
        <f t="shared" si="15"/>
        <v>29.671972840849847</v>
      </c>
      <c r="R40" s="190">
        <f t="shared" si="15"/>
        <v>30.161745929695417</v>
      </c>
      <c r="S40" s="190">
        <f t="shared" si="15"/>
        <v>27.915255676669869</v>
      </c>
    </row>
    <row r="41" spans="2:19" x14ac:dyDescent="0.3">
      <c r="B41" t="s">
        <v>325</v>
      </c>
      <c r="D41" s="190">
        <f t="shared" si="15"/>
        <v>23.687898560680793</v>
      </c>
      <c r="E41" s="190">
        <f t="shared" si="15"/>
        <v>23.797693996341053</v>
      </c>
      <c r="F41" s="190">
        <f t="shared" si="15"/>
        <v>23.781726119073905</v>
      </c>
      <c r="G41" s="190">
        <f t="shared" si="15"/>
        <v>23.88150913511263</v>
      </c>
      <c r="H41" s="190">
        <f t="shared" si="15"/>
        <v>23.654998802133818</v>
      </c>
      <c r="I41" s="190">
        <f t="shared" si="15"/>
        <v>23.595678541463862</v>
      </c>
      <c r="J41" s="190">
        <f t="shared" si="15"/>
        <v>23.596568110286629</v>
      </c>
      <c r="K41" s="190">
        <f t="shared" si="15"/>
        <v>23.543567914210179</v>
      </c>
      <c r="L41" s="190">
        <f t="shared" si="15"/>
        <v>19.651123016914614</v>
      </c>
      <c r="M41" s="190">
        <f t="shared" si="15"/>
        <v>19.894678481215056</v>
      </c>
      <c r="N41" s="190">
        <f t="shared" si="15"/>
        <v>19.84060869090499</v>
      </c>
      <c r="O41" s="190">
        <f t="shared" si="15"/>
        <v>20.055123444587082</v>
      </c>
      <c r="P41" s="190">
        <f t="shared" si="15"/>
        <v>19.334926719395447</v>
      </c>
      <c r="Q41" s="190">
        <f t="shared" si="15"/>
        <v>19.598987478101339</v>
      </c>
      <c r="R41" s="190">
        <f t="shared" si="15"/>
        <v>19.541057974655992</v>
      </c>
      <c r="S41" s="190">
        <f t="shared" si="15"/>
        <v>19.774131543888835</v>
      </c>
    </row>
    <row r="42" spans="2:19" x14ac:dyDescent="0.3">
      <c r="B42" t="s">
        <v>282</v>
      </c>
      <c r="D42" s="190">
        <f t="shared" ref="D42:R42" si="16">SUM(D34:D41)</f>
        <v>100.00000000000001</v>
      </c>
      <c r="E42" s="190">
        <f t="shared" si="16"/>
        <v>100</v>
      </c>
      <c r="F42" s="190">
        <f t="shared" si="16"/>
        <v>99.999999999999986</v>
      </c>
      <c r="G42" s="190">
        <f t="shared" si="16"/>
        <v>99.999999999999972</v>
      </c>
      <c r="H42" s="190">
        <f t="shared" si="16"/>
        <v>99.999998872785824</v>
      </c>
      <c r="I42" s="190">
        <f t="shared" si="16"/>
        <v>100</v>
      </c>
      <c r="J42" s="190">
        <f t="shared" si="16"/>
        <v>100.00000000000011</v>
      </c>
      <c r="K42" s="190">
        <f t="shared" si="16"/>
        <v>99.999994765076565</v>
      </c>
      <c r="L42" s="190">
        <f t="shared" si="16"/>
        <v>99.999996984985515</v>
      </c>
      <c r="M42" s="190">
        <f t="shared" si="16"/>
        <v>100.00000000000001</v>
      </c>
      <c r="N42" s="190">
        <f t="shared" si="16"/>
        <v>99.999998760419146</v>
      </c>
      <c r="O42" s="190">
        <f t="shared" si="16"/>
        <v>100</v>
      </c>
      <c r="P42" s="190">
        <f t="shared" si="16"/>
        <v>99.999998934471193</v>
      </c>
      <c r="Q42" s="190">
        <f t="shared" si="16"/>
        <v>99.999999999999986</v>
      </c>
      <c r="R42" s="190">
        <f t="shared" si="16"/>
        <v>99.999999547023037</v>
      </c>
      <c r="S42" s="190">
        <f>SUM(S34:S41)</f>
        <v>100</v>
      </c>
    </row>
    <row r="43" spans="2:19" x14ac:dyDescent="0.3"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</row>
    <row r="45" spans="2:19" ht="15" thickBot="1" x14ac:dyDescent="0.35"/>
    <row r="46" spans="2:19" ht="15" thickBot="1" x14ac:dyDescent="0.35">
      <c r="C46">
        <v>27.2</v>
      </c>
      <c r="D46" s="187" t="s">
        <v>306</v>
      </c>
      <c r="E46" s="187" t="s">
        <v>307</v>
      </c>
      <c r="F46" s="187" t="s">
        <v>308</v>
      </c>
      <c r="G46" s="187" t="s">
        <v>309</v>
      </c>
      <c r="H46" s="187" t="s">
        <v>310</v>
      </c>
      <c r="I46" s="187" t="s">
        <v>311</v>
      </c>
      <c r="J46" s="187" t="s">
        <v>312</v>
      </c>
      <c r="K46" s="187" t="s">
        <v>313</v>
      </c>
      <c r="L46" s="187" t="s">
        <v>314</v>
      </c>
      <c r="M46" s="187" t="s">
        <v>130</v>
      </c>
      <c r="N46" s="187" t="s">
        <v>315</v>
      </c>
      <c r="O46" s="187" t="s">
        <v>316</v>
      </c>
      <c r="P46" s="187" t="s">
        <v>317</v>
      </c>
      <c r="Q46" s="187" t="s">
        <v>318</v>
      </c>
      <c r="R46" s="187" t="s">
        <v>319</v>
      </c>
      <c r="S46" s="187" t="s">
        <v>320</v>
      </c>
    </row>
    <row r="47" spans="2:19" x14ac:dyDescent="0.3">
      <c r="B47" t="s">
        <v>191</v>
      </c>
      <c r="D47">
        <f>D19/D$27*100</f>
        <v>17.908740119368595</v>
      </c>
      <c r="E47">
        <f t="shared" ref="E47:S47" si="17">E19/E$27*100</f>
        <v>16.949903195794374</v>
      </c>
      <c r="F47">
        <f t="shared" si="17"/>
        <v>17.06480629574315</v>
      </c>
      <c r="G47">
        <f t="shared" si="17"/>
        <v>16.192006925331771</v>
      </c>
      <c r="H47">
        <f t="shared" si="17"/>
        <v>17.78302897120048</v>
      </c>
      <c r="I47">
        <f t="shared" si="17"/>
        <v>16.837250581495262</v>
      </c>
      <c r="J47">
        <f t="shared" si="17"/>
        <v>16.950626304545487</v>
      </c>
      <c r="K47">
        <f t="shared" si="17"/>
        <v>16.027726089474879</v>
      </c>
      <c r="L47">
        <f t="shared" si="17"/>
        <v>9.9446642786208308</v>
      </c>
      <c r="M47">
        <f t="shared" si="17"/>
        <v>9.2025996566672159</v>
      </c>
      <c r="N47">
        <f t="shared" si="17"/>
        <v>9.3535305994008855</v>
      </c>
      <c r="O47">
        <f t="shared" si="17"/>
        <v>8.6642033588161791</v>
      </c>
      <c r="P47">
        <f t="shared" si="17"/>
        <v>9.7840217487444949</v>
      </c>
      <c r="Q47">
        <f t="shared" si="17"/>
        <v>9.0323315908443025</v>
      </c>
      <c r="R47">
        <f t="shared" si="17"/>
        <v>9.1776852144043168</v>
      </c>
      <c r="S47">
        <f t="shared" si="17"/>
        <v>8.5131119494194163</v>
      </c>
    </row>
    <row r="48" spans="2:19" x14ac:dyDescent="0.3">
      <c r="B48" t="s">
        <v>207</v>
      </c>
      <c r="D48">
        <f t="shared" ref="D48:S54" si="18">D20/D$27*100</f>
        <v>5.8039587265802304</v>
      </c>
      <c r="E48">
        <f t="shared" si="18"/>
        <v>6.1935905208186872</v>
      </c>
      <c r="F48">
        <f t="shared" si="18"/>
        <v>6.1412961382792579</v>
      </c>
      <c r="G48">
        <f t="shared" si="18"/>
        <v>6.4962525383352023</v>
      </c>
      <c r="H48">
        <f t="shared" si="18"/>
        <v>5.8410220578754286</v>
      </c>
      <c r="I48">
        <f t="shared" si="18"/>
        <v>6.2260931021012791</v>
      </c>
      <c r="J48">
        <f t="shared" si="18"/>
        <v>6.1743674780387074</v>
      </c>
      <c r="K48">
        <f t="shared" si="18"/>
        <v>6.50046751590566</v>
      </c>
      <c r="L48">
        <f t="shared" si="18"/>
        <v>6.2259599095674529</v>
      </c>
      <c r="M48">
        <f t="shared" si="18"/>
        <v>6.7017792955744353</v>
      </c>
      <c r="N48">
        <f t="shared" si="18"/>
        <v>6.6063670409188813</v>
      </c>
      <c r="O48">
        <f t="shared" si="18"/>
        <v>7.0048764369812693</v>
      </c>
      <c r="P48">
        <f t="shared" si="18"/>
        <v>6.1947607796332012</v>
      </c>
      <c r="Q48">
        <f t="shared" si="18"/>
        <v>6.6418248248683138</v>
      </c>
      <c r="R48">
        <f t="shared" si="18"/>
        <v>6.5472416486424576</v>
      </c>
      <c r="S48">
        <f t="shared" si="18"/>
        <v>6.9430828415727657</v>
      </c>
    </row>
    <row r="49" spans="2:19" x14ac:dyDescent="0.3">
      <c r="B49" t="s">
        <v>302</v>
      </c>
      <c r="D49">
        <f t="shared" si="18"/>
        <v>4.2633627534711973</v>
      </c>
      <c r="E49">
        <f t="shared" si="18"/>
        <v>4.0351016028055433</v>
      </c>
      <c r="F49">
        <f t="shared" si="18"/>
        <v>4.0624554866251081</v>
      </c>
      <c r="G49">
        <f t="shared" si="18"/>
        <v>3.8546764746866522</v>
      </c>
      <c r="H49">
        <f t="shared" si="18"/>
        <v>4.233435900815806</v>
      </c>
      <c r="I49">
        <f t="shared" si="18"/>
        <v>4.0082834706151846</v>
      </c>
      <c r="J49">
        <f t="shared" si="18"/>
        <v>4.035273746401109</v>
      </c>
      <c r="K49">
        <f t="shared" si="18"/>
        <v>3.8155677047769303</v>
      </c>
      <c r="L49">
        <f t="shared" si="18"/>
        <v>2.5359433889897787</v>
      </c>
      <c r="M49">
        <f t="shared" si="18"/>
        <v>2.3467128810990232</v>
      </c>
      <c r="N49">
        <f t="shared" si="18"/>
        <v>2.3852010910270636</v>
      </c>
      <c r="O49">
        <f t="shared" si="18"/>
        <v>2.2094189017409533</v>
      </c>
      <c r="P49">
        <f t="shared" si="18"/>
        <v>2.4949786716079885</v>
      </c>
      <c r="Q49">
        <f t="shared" si="18"/>
        <v>2.3032935997857309</v>
      </c>
      <c r="R49">
        <f t="shared" si="18"/>
        <v>2.3403595630405354</v>
      </c>
      <c r="S49">
        <f t="shared" si="18"/>
        <v>2.1708897719425151</v>
      </c>
    </row>
    <row r="50" spans="2:19" x14ac:dyDescent="0.3">
      <c r="B50" t="s">
        <v>321</v>
      </c>
      <c r="D50">
        <f t="shared" si="18"/>
        <v>14.627208574610274</v>
      </c>
      <c r="E50">
        <f t="shared" si="18"/>
        <v>15.88148208638041</v>
      </c>
      <c r="F50">
        <f t="shared" si="18"/>
        <v>15.714877233329046</v>
      </c>
      <c r="G50">
        <f t="shared" si="18"/>
        <v>16.857437400651303</v>
      </c>
      <c r="H50">
        <f t="shared" si="18"/>
        <v>14.750867768320704</v>
      </c>
      <c r="I50">
        <f t="shared" si="18"/>
        <v>15.990228416911881</v>
      </c>
      <c r="J50">
        <f t="shared" si="18"/>
        <v>15.825470563936882</v>
      </c>
      <c r="K50">
        <f t="shared" si="18"/>
        <v>16.890399921609404</v>
      </c>
      <c r="L50">
        <f t="shared" si="18"/>
        <v>17.352733662761697</v>
      </c>
      <c r="M50">
        <f t="shared" si="18"/>
        <v>18.793525284426813</v>
      </c>
      <c r="N50">
        <f t="shared" si="18"/>
        <v>18.504452300138695</v>
      </c>
      <c r="O50">
        <f t="shared" si="18"/>
        <v>19.716323045259028</v>
      </c>
      <c r="P50">
        <f t="shared" si="18"/>
        <v>17.274231346773274</v>
      </c>
      <c r="Q50">
        <f t="shared" si="18"/>
        <v>18.632107246171596</v>
      </c>
      <c r="R50">
        <f t="shared" si="18"/>
        <v>18.345871620177341</v>
      </c>
      <c r="S50">
        <f t="shared" si="18"/>
        <v>19.548091776764842</v>
      </c>
    </row>
    <row r="51" spans="2:19" x14ac:dyDescent="0.3">
      <c r="B51" t="s">
        <v>322</v>
      </c>
      <c r="D51">
        <f t="shared" si="18"/>
        <v>6.8678289399306118</v>
      </c>
      <c r="E51">
        <f t="shared" si="18"/>
        <v>7.6722759289561209</v>
      </c>
      <c r="F51">
        <f t="shared" si="18"/>
        <v>7.5993689316041486</v>
      </c>
      <c r="G51">
        <f t="shared" si="18"/>
        <v>8.330431941024445</v>
      </c>
      <c r="H51">
        <f t="shared" si="18"/>
        <v>7.0320909315473896</v>
      </c>
      <c r="I51">
        <f t="shared" si="18"/>
        <v>7.8224571507390204</v>
      </c>
      <c r="J51">
        <f t="shared" si="18"/>
        <v>7.7510464162207002</v>
      </c>
      <c r="K51">
        <f t="shared" si="18"/>
        <v>7.4964907159446117</v>
      </c>
      <c r="L51">
        <f t="shared" si="18"/>
        <v>9.8894733953649414</v>
      </c>
      <c r="M51">
        <f t="shared" si="18"/>
        <v>10.05256380100645</v>
      </c>
      <c r="N51">
        <f t="shared" si="18"/>
        <v>10.217434923078681</v>
      </c>
      <c r="O51">
        <f t="shared" si="18"/>
        <v>9.464440516685146</v>
      </c>
      <c r="P51">
        <f t="shared" si="18"/>
        <v>7.4813807587405083</v>
      </c>
      <c r="Q51">
        <f t="shared" si="18"/>
        <v>6.9065986876999608</v>
      </c>
      <c r="R51">
        <f t="shared" si="18"/>
        <v>7.0177437597818626</v>
      </c>
      <c r="S51">
        <f t="shared" si="18"/>
        <v>6.5095758749272106</v>
      </c>
    </row>
    <row r="52" spans="2:19" x14ac:dyDescent="0.3">
      <c r="B52" t="s">
        <v>323</v>
      </c>
      <c r="D52">
        <f t="shared" si="18"/>
        <v>0</v>
      </c>
      <c r="E52">
        <f t="shared" si="18"/>
        <v>0</v>
      </c>
      <c r="F52">
        <f t="shared" si="18"/>
        <v>0</v>
      </c>
      <c r="G52">
        <f t="shared" si="18"/>
        <v>0</v>
      </c>
      <c r="H52">
        <f t="shared" si="18"/>
        <v>0</v>
      </c>
      <c r="I52">
        <f t="shared" si="18"/>
        <v>0</v>
      </c>
      <c r="J52">
        <f t="shared" si="18"/>
        <v>0</v>
      </c>
      <c r="K52">
        <f t="shared" si="18"/>
        <v>1.3504664255721224</v>
      </c>
      <c r="L52">
        <f t="shared" si="18"/>
        <v>0</v>
      </c>
      <c r="M52">
        <f t="shared" si="18"/>
        <v>0.96566030787961954</v>
      </c>
      <c r="N52">
        <f t="shared" si="18"/>
        <v>0.54625473537327052</v>
      </c>
      <c r="O52">
        <f t="shared" si="18"/>
        <v>2.6327217911601881</v>
      </c>
      <c r="P52">
        <f t="shared" si="18"/>
        <v>3.4988633146970378</v>
      </c>
      <c r="Q52">
        <f t="shared" si="18"/>
        <v>5.4471398068062378</v>
      </c>
      <c r="R52">
        <f t="shared" si="18"/>
        <v>5.1077295689553877</v>
      </c>
      <c r="S52">
        <f t="shared" si="18"/>
        <v>6.8275171299757034</v>
      </c>
    </row>
    <row r="53" spans="2:19" x14ac:dyDescent="0.3">
      <c r="B53" t="s">
        <v>324</v>
      </c>
      <c r="D53">
        <f t="shared" si="18"/>
        <v>26.465577404319511</v>
      </c>
      <c r="E53">
        <f t="shared" si="18"/>
        <v>25.048605989812895</v>
      </c>
      <c r="F53">
        <f t="shared" si="18"/>
        <v>25.218410055616591</v>
      </c>
      <c r="G53">
        <f t="shared" si="18"/>
        <v>23.928585135376583</v>
      </c>
      <c r="H53">
        <f t="shared" si="18"/>
        <v>26.279801179959044</v>
      </c>
      <c r="I53">
        <f t="shared" si="18"/>
        <v>24.882127696886659</v>
      </c>
      <c r="J53">
        <f t="shared" si="18"/>
        <v>25.0496746015911</v>
      </c>
      <c r="K53">
        <f t="shared" si="18"/>
        <v>23.685810537697609</v>
      </c>
      <c r="L53">
        <f t="shared" si="18"/>
        <v>33.814623119452072</v>
      </c>
      <c r="M53">
        <f t="shared" si="18"/>
        <v>31.291397114167545</v>
      </c>
      <c r="N53">
        <f t="shared" si="18"/>
        <v>31.80460427758829</v>
      </c>
      <c r="O53">
        <f t="shared" si="18"/>
        <v>29.460700029713937</v>
      </c>
      <c r="P53">
        <f t="shared" si="18"/>
        <v>33.268393859968519</v>
      </c>
      <c r="Q53">
        <f t="shared" si="18"/>
        <v>30.712438356609738</v>
      </c>
      <c r="R53">
        <f t="shared" si="18"/>
        <v>31.206681084370295</v>
      </c>
      <c r="S53">
        <f t="shared" si="18"/>
        <v>28.946947235029658</v>
      </c>
    </row>
    <row r="54" spans="2:19" x14ac:dyDescent="0.3">
      <c r="B54" t="s">
        <v>325</v>
      </c>
      <c r="D54">
        <f t="shared" si="18"/>
        <v>24.063323309124637</v>
      </c>
      <c r="E54">
        <f t="shared" si="18"/>
        <v>24.219038121977004</v>
      </c>
      <c r="F54">
        <f t="shared" si="18"/>
        <v>24.198785667955327</v>
      </c>
      <c r="G54">
        <f t="shared" si="18"/>
        <v>24.34060958459402</v>
      </c>
      <c r="H54">
        <f t="shared" si="18"/>
        <v>24.079755277463029</v>
      </c>
      <c r="I54">
        <f t="shared" si="18"/>
        <v>24.233560999338948</v>
      </c>
      <c r="J54">
        <f t="shared" si="18"/>
        <v>24.213542295982194</v>
      </c>
      <c r="K54">
        <f t="shared" si="18"/>
        <v>24.233073336864706</v>
      </c>
      <c r="L54">
        <f t="shared" si="18"/>
        <v>20.236605064546211</v>
      </c>
      <c r="M54">
        <f t="shared" si="18"/>
        <v>20.645757240908715</v>
      </c>
      <c r="N54">
        <f t="shared" si="18"/>
        <v>20.582154203650596</v>
      </c>
      <c r="O54">
        <f t="shared" si="18"/>
        <v>20.847311535215383</v>
      </c>
      <c r="P54">
        <f t="shared" si="18"/>
        <v>20.003378804758015</v>
      </c>
      <c r="Q54">
        <f t="shared" si="18"/>
        <v>20.324266956827305</v>
      </c>
      <c r="R54">
        <f t="shared" si="18"/>
        <v>20.256687612489145</v>
      </c>
      <c r="S54">
        <f t="shared" si="18"/>
        <v>20.540786777896162</v>
      </c>
    </row>
    <row r="55" spans="2:19" x14ac:dyDescent="0.3">
      <c r="B55" t="s">
        <v>282</v>
      </c>
      <c r="D55">
        <f>SUM(D47:D54)</f>
        <v>99.999999827405063</v>
      </c>
      <c r="E55">
        <f t="shared" ref="E55:S55" si="19">SUM(E47:E54)</f>
        <v>99.999997446545038</v>
      </c>
      <c r="F55">
        <f t="shared" si="19"/>
        <v>99.999999809152627</v>
      </c>
      <c r="G55">
        <f t="shared" si="19"/>
        <v>99.999999999999972</v>
      </c>
      <c r="H55">
        <f t="shared" si="19"/>
        <v>100.00000208718188</v>
      </c>
      <c r="I55">
        <f t="shared" si="19"/>
        <v>100.00000141808823</v>
      </c>
      <c r="J55">
        <f t="shared" si="19"/>
        <v>100.00000140671619</v>
      </c>
      <c r="K55">
        <f t="shared" si="19"/>
        <v>100.00000224784593</v>
      </c>
      <c r="L55">
        <f t="shared" si="19"/>
        <v>100.00000281930298</v>
      </c>
      <c r="M55">
        <f t="shared" si="19"/>
        <v>99.99999558172982</v>
      </c>
      <c r="N55">
        <f t="shared" si="19"/>
        <v>99.999999171176341</v>
      </c>
      <c r="O55">
        <f t="shared" si="19"/>
        <v>99.999995615572075</v>
      </c>
      <c r="P55">
        <f t="shared" si="19"/>
        <v>100.00000928492304</v>
      </c>
      <c r="Q55">
        <f t="shared" si="19"/>
        <v>100.00000106961319</v>
      </c>
      <c r="R55">
        <f t="shared" si="19"/>
        <v>100.00000007186134</v>
      </c>
      <c r="S55">
        <f t="shared" si="19"/>
        <v>100.00000335752827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F023-25A5-44F4-BD71-AC14493215AB}">
  <dimension ref="A1:X38"/>
  <sheetViews>
    <sheetView topLeftCell="A12" workbookViewId="0">
      <selection activeCell="H16" sqref="H16"/>
    </sheetView>
  </sheetViews>
  <sheetFormatPr defaultRowHeight="14.4" x14ac:dyDescent="0.3"/>
  <cols>
    <col min="3" max="3" width="27.33203125" customWidth="1"/>
  </cols>
  <sheetData>
    <row r="1" spans="1:24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" thickBot="1" x14ac:dyDescent="0.35">
      <c r="A2" s="7"/>
      <c r="B2" s="133"/>
      <c r="C2" s="125" t="s">
        <v>71</v>
      </c>
      <c r="D2" s="125"/>
      <c r="E2" s="126">
        <v>365</v>
      </c>
      <c r="F2" s="30"/>
      <c r="G2" s="133" t="s">
        <v>73</v>
      </c>
      <c r="H2" s="125">
        <v>1.6</v>
      </c>
      <c r="I2" s="126" t="s">
        <v>84</v>
      </c>
      <c r="J2" s="30"/>
      <c r="K2" s="202" t="s">
        <v>77</v>
      </c>
      <c r="L2" s="202"/>
      <c r="M2" s="202"/>
      <c r="N2" s="202"/>
      <c r="O2" s="202"/>
      <c r="P2" s="203"/>
      <c r="Q2" s="7"/>
      <c r="R2" s="7"/>
      <c r="S2" s="7"/>
      <c r="T2" s="7"/>
      <c r="U2" s="7"/>
      <c r="V2" s="7"/>
      <c r="W2" s="7"/>
      <c r="X2" s="7"/>
    </row>
    <row r="3" spans="1:24" x14ac:dyDescent="0.3">
      <c r="A3" s="7"/>
      <c r="B3" s="132"/>
      <c r="C3" s="122" t="s">
        <v>81</v>
      </c>
      <c r="D3" s="122"/>
      <c r="E3" s="123">
        <v>12</v>
      </c>
      <c r="F3" s="7"/>
      <c r="G3" s="132" t="s">
        <v>25</v>
      </c>
      <c r="H3" s="122">
        <v>4</v>
      </c>
      <c r="I3" s="123"/>
      <c r="J3" s="7"/>
      <c r="K3" s="133" t="s">
        <v>75</v>
      </c>
      <c r="L3" s="198" t="s">
        <v>59</v>
      </c>
      <c r="M3" s="198"/>
      <c r="N3" s="125"/>
      <c r="O3" s="198" t="s">
        <v>60</v>
      </c>
      <c r="P3" s="199"/>
      <c r="Q3" s="7"/>
      <c r="R3" s="7"/>
      <c r="S3" s="7"/>
      <c r="T3" s="7"/>
      <c r="U3" s="7"/>
      <c r="V3" s="7"/>
      <c r="W3" s="7"/>
      <c r="X3" s="7"/>
    </row>
    <row r="4" spans="1:24" ht="15" thickBot="1" x14ac:dyDescent="0.35">
      <c r="A4" s="7"/>
      <c r="B4" s="132"/>
      <c r="C4" s="122" t="s">
        <v>54</v>
      </c>
      <c r="D4" s="122"/>
      <c r="E4" s="123">
        <v>12</v>
      </c>
      <c r="F4" s="7"/>
      <c r="G4" s="134" t="s">
        <v>26</v>
      </c>
      <c r="H4" s="127">
        <v>20</v>
      </c>
      <c r="I4" s="128"/>
      <c r="J4" s="7"/>
      <c r="K4" s="132"/>
      <c r="L4" s="122" t="s">
        <v>25</v>
      </c>
      <c r="M4" s="122" t="s">
        <v>26</v>
      </c>
      <c r="N4" s="122"/>
      <c r="O4" s="122" t="s">
        <v>25</v>
      </c>
      <c r="P4" s="123" t="s">
        <v>26</v>
      </c>
      <c r="Q4" s="7"/>
      <c r="R4" s="7"/>
      <c r="S4" s="7"/>
      <c r="T4" s="7"/>
      <c r="U4" s="7"/>
      <c r="V4" s="7"/>
      <c r="W4" s="7"/>
      <c r="X4" s="7"/>
    </row>
    <row r="5" spans="1:24" x14ac:dyDescent="0.3">
      <c r="A5" s="7"/>
      <c r="B5" s="162" t="s">
        <v>55</v>
      </c>
      <c r="C5" s="163"/>
      <c r="D5" s="163"/>
      <c r="E5" s="164"/>
      <c r="F5" s="7"/>
      <c r="G5" s="7"/>
      <c r="H5" s="7"/>
      <c r="I5" s="7"/>
      <c r="J5" s="7"/>
      <c r="K5" s="132"/>
      <c r="L5" s="122">
        <f>E8+E14*E8</f>
        <v>21.097805778550061</v>
      </c>
      <c r="M5" s="122">
        <f>E8-E8*E14</f>
        <v>18.41263049764369</v>
      </c>
      <c r="N5" s="122"/>
      <c r="O5" s="122">
        <f>E19+E19*E25</f>
        <v>33.112311504424781</v>
      </c>
      <c r="P5" s="123">
        <f>E19-E25*E19</f>
        <v>28.226888495575221</v>
      </c>
      <c r="Q5" s="7"/>
      <c r="R5" s="7"/>
      <c r="S5" s="7"/>
      <c r="T5" s="7"/>
      <c r="U5" s="7"/>
      <c r="V5" s="7"/>
      <c r="W5" s="7"/>
      <c r="X5" s="7"/>
    </row>
    <row r="6" spans="1:24" ht="15" thickBot="1" x14ac:dyDescent="0.35">
      <c r="A6" s="7"/>
      <c r="B6" s="132"/>
      <c r="C6" s="122" t="s">
        <v>56</v>
      </c>
      <c r="D6" s="122"/>
      <c r="E6" s="123">
        <v>20.100000000000001</v>
      </c>
      <c r="F6" s="7"/>
      <c r="G6" s="7"/>
      <c r="H6" s="7"/>
      <c r="I6" s="7"/>
      <c r="J6" s="7"/>
      <c r="K6" s="134" t="s">
        <v>72</v>
      </c>
      <c r="L6" s="127">
        <f>L5*$E$2</f>
        <v>7700.6991091707723</v>
      </c>
      <c r="M6" s="127">
        <f>M5*$E$2</f>
        <v>6720.6101316399472</v>
      </c>
      <c r="N6" s="127"/>
      <c r="O6" s="127">
        <f>O5*$E$2</f>
        <v>12085.993699115044</v>
      </c>
      <c r="P6" s="128">
        <f>P5*$E$2</f>
        <v>10302.814300884955</v>
      </c>
      <c r="Q6" s="7"/>
      <c r="R6" s="7"/>
      <c r="S6" s="7"/>
      <c r="T6" s="7"/>
      <c r="U6" s="7"/>
      <c r="V6" s="7"/>
      <c r="W6" s="7"/>
      <c r="X6" s="7"/>
    </row>
    <row r="7" spans="1:24" ht="15" thickBot="1" x14ac:dyDescent="0.35">
      <c r="A7" s="7"/>
      <c r="B7" s="132"/>
      <c r="C7" s="122" t="s">
        <v>57</v>
      </c>
      <c r="D7" s="122"/>
      <c r="E7" s="123">
        <f>H32</f>
        <v>1.7153326462842053E-2</v>
      </c>
      <c r="F7" s="7"/>
      <c r="G7" s="7"/>
      <c r="H7" s="7"/>
      <c r="I7" s="7"/>
      <c r="J7" s="7"/>
      <c r="K7" s="204" t="s">
        <v>83</v>
      </c>
      <c r="L7" s="204"/>
      <c r="M7" s="204"/>
      <c r="N7" s="204"/>
      <c r="O7" s="204"/>
      <c r="P7" s="205"/>
      <c r="Q7" s="7"/>
      <c r="R7" s="7"/>
      <c r="S7" s="7"/>
      <c r="T7" s="7"/>
      <c r="U7" s="7"/>
      <c r="V7" s="7"/>
      <c r="W7" s="7"/>
      <c r="X7" s="7"/>
    </row>
    <row r="8" spans="1:24" x14ac:dyDescent="0.3">
      <c r="A8" s="7"/>
      <c r="B8" s="132"/>
      <c r="C8" s="122" t="s">
        <v>63</v>
      </c>
      <c r="D8" s="122"/>
      <c r="E8" s="123">
        <f>E6-E6*E7</f>
        <v>19.755218138096875</v>
      </c>
      <c r="F8" s="7"/>
      <c r="G8" s="7"/>
      <c r="K8" s="133" t="s">
        <v>75</v>
      </c>
      <c r="L8" s="198" t="s">
        <v>59</v>
      </c>
      <c r="M8" s="198"/>
      <c r="N8" s="125"/>
      <c r="O8" s="198" t="s">
        <v>60</v>
      </c>
      <c r="P8" s="199"/>
      <c r="Q8" s="7"/>
      <c r="R8" s="7"/>
      <c r="S8" s="7"/>
      <c r="T8" s="7"/>
      <c r="U8" s="7"/>
      <c r="V8" s="7"/>
      <c r="W8" s="7"/>
      <c r="X8" s="7"/>
    </row>
    <row r="9" spans="1:24" x14ac:dyDescent="0.3">
      <c r="A9" s="7"/>
      <c r="B9" s="132"/>
      <c r="C9" s="122" t="s">
        <v>64</v>
      </c>
      <c r="D9" s="122"/>
      <c r="E9" s="123">
        <v>27.5</v>
      </c>
      <c r="F9" s="7"/>
      <c r="G9" s="7"/>
      <c r="K9" s="132"/>
      <c r="L9" s="122" t="s">
        <v>25</v>
      </c>
      <c r="M9" s="122" t="s">
        <v>26</v>
      </c>
      <c r="N9" s="122"/>
      <c r="O9" s="122" t="s">
        <v>25</v>
      </c>
      <c r="P9" s="123" t="s">
        <v>26</v>
      </c>
      <c r="Q9" s="7"/>
      <c r="R9" s="7"/>
      <c r="S9" s="7"/>
      <c r="T9" s="7"/>
      <c r="U9" s="7"/>
      <c r="V9" s="7"/>
      <c r="W9" s="7"/>
      <c r="X9" s="7"/>
    </row>
    <row r="10" spans="1:24" x14ac:dyDescent="0.3">
      <c r="A10" s="7"/>
      <c r="B10" s="132"/>
      <c r="C10" s="122" t="s">
        <v>66</v>
      </c>
      <c r="D10" s="122"/>
      <c r="E10" s="123">
        <v>24</v>
      </c>
      <c r="F10" s="7"/>
      <c r="G10" s="7"/>
      <c r="K10" s="132"/>
      <c r="L10" s="122"/>
      <c r="M10" s="122"/>
      <c r="N10" s="122"/>
      <c r="O10" s="122"/>
      <c r="P10" s="123"/>
      <c r="Q10" s="7"/>
      <c r="R10" s="7"/>
      <c r="S10" s="7"/>
      <c r="T10" s="7"/>
      <c r="U10" s="7"/>
      <c r="V10" s="7"/>
      <c r="W10" s="7"/>
      <c r="X10" s="7"/>
    </row>
    <row r="11" spans="1:24" ht="15" thickBot="1" x14ac:dyDescent="0.35">
      <c r="A11" s="7"/>
      <c r="B11" s="132"/>
      <c r="C11" s="122" t="s">
        <v>65</v>
      </c>
      <c r="D11" s="122"/>
      <c r="E11" s="123">
        <f>E9-E10</f>
        <v>3.5</v>
      </c>
      <c r="F11" s="7"/>
      <c r="G11" s="7"/>
      <c r="H11" s="7"/>
      <c r="I11" s="7"/>
      <c r="J11" s="7"/>
      <c r="K11" s="134" t="s">
        <v>74</v>
      </c>
      <c r="L11" s="127">
        <f>L6/$H$2</f>
        <v>4812.9369432317326</v>
      </c>
      <c r="M11" s="127">
        <f>M6/$H$2</f>
        <v>4200.3813322749666</v>
      </c>
      <c r="N11" s="127"/>
      <c r="O11" s="127">
        <f>O6/$H$2</f>
        <v>7553.746061946902</v>
      </c>
      <c r="P11" s="128">
        <f>P6/$H$2</f>
        <v>6439.2589380530962</v>
      </c>
      <c r="Q11" s="7"/>
      <c r="R11" s="7"/>
      <c r="S11" s="7"/>
      <c r="T11" s="7"/>
      <c r="U11" s="7"/>
      <c r="V11" s="7"/>
      <c r="W11" s="7"/>
      <c r="X11" s="7"/>
    </row>
    <row r="12" spans="1:24" ht="15" thickBot="1" x14ac:dyDescent="0.35">
      <c r="A12" s="7"/>
      <c r="B12" s="132"/>
      <c r="C12" s="122" t="s">
        <v>68</v>
      </c>
      <c r="D12" s="122"/>
      <c r="E12" s="123">
        <f>0.5*E11</f>
        <v>1.75</v>
      </c>
      <c r="F12" s="7"/>
      <c r="G12" s="7"/>
      <c r="H12" s="7"/>
      <c r="I12" s="7"/>
      <c r="J12" s="7"/>
      <c r="K12" s="204" t="s">
        <v>78</v>
      </c>
      <c r="L12" s="204"/>
      <c r="M12" s="204"/>
      <c r="N12" s="204"/>
      <c r="O12" s="204"/>
      <c r="P12" s="205"/>
      <c r="Q12" s="7"/>
      <c r="R12" s="7"/>
      <c r="S12" s="7"/>
      <c r="T12" s="7"/>
      <c r="U12" s="7"/>
      <c r="V12" s="7"/>
      <c r="W12" s="7"/>
      <c r="X12" s="7"/>
    </row>
    <row r="13" spans="1:24" x14ac:dyDescent="0.3">
      <c r="A13" s="7"/>
      <c r="B13" s="132"/>
      <c r="C13" s="122" t="s">
        <v>67</v>
      </c>
      <c r="D13" s="122"/>
      <c r="E13" s="123">
        <f>E10+E12</f>
        <v>25.75</v>
      </c>
      <c r="F13" s="7"/>
      <c r="G13" s="7"/>
      <c r="H13" s="7"/>
      <c r="I13" s="7"/>
      <c r="J13" s="7"/>
      <c r="K13" s="133" t="s">
        <v>76</v>
      </c>
      <c r="L13" s="198" t="s">
        <v>59</v>
      </c>
      <c r="M13" s="198"/>
      <c r="N13" s="125"/>
      <c r="O13" s="198" t="s">
        <v>60</v>
      </c>
      <c r="P13" s="199"/>
      <c r="Q13" s="7"/>
      <c r="R13" s="7"/>
      <c r="S13" s="7"/>
      <c r="T13" s="7"/>
      <c r="U13" s="7"/>
      <c r="V13" s="7"/>
      <c r="W13" s="7"/>
      <c r="X13" s="7"/>
    </row>
    <row r="14" spans="1:24" x14ac:dyDescent="0.3">
      <c r="A14" s="7"/>
      <c r="B14" s="132"/>
      <c r="C14" s="122" t="s">
        <v>58</v>
      </c>
      <c r="D14" s="122"/>
      <c r="E14" s="123">
        <f>E12/E13</f>
        <v>6.7961165048543687E-2</v>
      </c>
      <c r="F14" s="7"/>
      <c r="G14" s="7"/>
      <c r="H14" s="7"/>
      <c r="I14" s="7"/>
      <c r="J14" s="7"/>
      <c r="K14" s="132"/>
      <c r="L14" s="122" t="s">
        <v>25</v>
      </c>
      <c r="M14" s="122" t="s">
        <v>26</v>
      </c>
      <c r="N14" s="122"/>
      <c r="O14" s="122" t="s">
        <v>25</v>
      </c>
      <c r="P14" s="123" t="s">
        <v>26</v>
      </c>
      <c r="Q14" s="7"/>
      <c r="R14" s="7"/>
      <c r="S14" s="7"/>
      <c r="T14" s="7"/>
      <c r="U14" s="7"/>
      <c r="V14" s="7"/>
      <c r="W14" s="7"/>
      <c r="X14" s="7"/>
    </row>
    <row r="15" spans="1:24" x14ac:dyDescent="0.3">
      <c r="A15" s="7"/>
      <c r="B15" s="132"/>
      <c r="C15" s="122"/>
      <c r="D15" s="122"/>
      <c r="E15" s="123"/>
      <c r="F15" s="7"/>
      <c r="G15" s="7"/>
      <c r="H15" s="7"/>
      <c r="I15" s="7"/>
      <c r="J15" s="7"/>
      <c r="K15" s="132"/>
      <c r="L15" s="122"/>
      <c r="M15" s="122"/>
      <c r="N15" s="122"/>
      <c r="O15" s="122"/>
      <c r="P15" s="123"/>
      <c r="Q15" s="7"/>
      <c r="R15" s="7"/>
      <c r="S15" s="7"/>
      <c r="T15" s="7"/>
      <c r="U15" s="7"/>
      <c r="V15" s="7"/>
      <c r="W15" s="7"/>
      <c r="X15" s="7"/>
    </row>
    <row r="16" spans="1:24" ht="15" thickBot="1" x14ac:dyDescent="0.35">
      <c r="A16" s="7"/>
      <c r="B16" s="162" t="s">
        <v>61</v>
      </c>
      <c r="C16" s="163"/>
      <c r="D16" s="163"/>
      <c r="E16" s="164"/>
      <c r="F16" s="7"/>
      <c r="G16" s="7"/>
      <c r="H16" s="7"/>
      <c r="I16" s="7"/>
      <c r="J16" s="7"/>
      <c r="K16" s="134" t="s">
        <v>74</v>
      </c>
      <c r="L16" s="127">
        <f>L11*H3</f>
        <v>19251.74777292693</v>
      </c>
      <c r="M16" s="127">
        <f>M11*H4</f>
        <v>84007.626645499331</v>
      </c>
      <c r="N16" s="127"/>
      <c r="O16" s="127">
        <f>O11*H3</f>
        <v>30214.984247787608</v>
      </c>
      <c r="P16" s="128">
        <f>P11*H4</f>
        <v>128785.17876106192</v>
      </c>
      <c r="Q16" s="7"/>
      <c r="R16" s="7"/>
      <c r="S16" s="7"/>
      <c r="T16" s="7"/>
      <c r="U16" s="7"/>
      <c r="V16" s="7"/>
      <c r="W16" s="7"/>
      <c r="X16" s="7"/>
    </row>
    <row r="17" spans="1:24" ht="15" thickBot="1" x14ac:dyDescent="0.35">
      <c r="A17" s="7"/>
      <c r="B17" s="132"/>
      <c r="C17" s="122" t="s">
        <v>62</v>
      </c>
      <c r="D17" s="122"/>
      <c r="E17" s="123">
        <v>31.2</v>
      </c>
      <c r="F17" s="7"/>
      <c r="G17" s="7"/>
      <c r="H17" s="7"/>
      <c r="I17" s="7"/>
      <c r="J17" s="7"/>
      <c r="K17" s="173" t="s">
        <v>80</v>
      </c>
      <c r="L17" s="174">
        <v>0.12</v>
      </c>
      <c r="M17" s="7"/>
      <c r="N17" s="7"/>
      <c r="O17" s="7"/>
      <c r="P17" s="24"/>
      <c r="Q17" s="7"/>
      <c r="R17" s="7"/>
      <c r="S17" s="7"/>
      <c r="T17" s="7"/>
      <c r="U17" s="7"/>
      <c r="V17" s="7"/>
      <c r="W17" s="7"/>
      <c r="X17" s="7"/>
    </row>
    <row r="18" spans="1:24" ht="15" thickBot="1" x14ac:dyDescent="0.35">
      <c r="A18" s="7"/>
      <c r="B18" s="132"/>
      <c r="C18" s="122" t="s">
        <v>57</v>
      </c>
      <c r="D18" s="122"/>
      <c r="E18" s="123">
        <v>1.7000000000000001E-2</v>
      </c>
      <c r="F18" s="7"/>
      <c r="G18" s="7"/>
      <c r="H18" s="7"/>
      <c r="I18" s="7"/>
      <c r="J18" s="7"/>
      <c r="K18" s="204" t="s">
        <v>79</v>
      </c>
      <c r="L18" s="204"/>
      <c r="M18" s="204"/>
      <c r="N18" s="204"/>
      <c r="O18" s="204"/>
      <c r="P18" s="205"/>
      <c r="Q18" s="7"/>
      <c r="R18" s="7"/>
      <c r="S18" s="7"/>
      <c r="T18" s="7"/>
      <c r="U18" s="7"/>
      <c r="V18" s="7"/>
      <c r="W18" s="7"/>
      <c r="X18" s="7"/>
    </row>
    <row r="19" spans="1:24" x14ac:dyDescent="0.3">
      <c r="A19" s="7"/>
      <c r="B19" s="132"/>
      <c r="C19" s="122" t="s">
        <v>63</v>
      </c>
      <c r="D19" s="122"/>
      <c r="E19" s="123">
        <f>E17-E17*E18</f>
        <v>30.669599999999999</v>
      </c>
      <c r="F19" s="7"/>
      <c r="G19" s="7"/>
      <c r="H19" s="7"/>
      <c r="I19" s="7"/>
      <c r="J19" s="7"/>
      <c r="K19" s="133" t="s">
        <v>76</v>
      </c>
      <c r="L19" s="198" t="s">
        <v>59</v>
      </c>
      <c r="M19" s="198"/>
      <c r="N19" s="125"/>
      <c r="O19" s="198" t="s">
        <v>60</v>
      </c>
      <c r="P19" s="199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7"/>
      <c r="B20" s="132"/>
      <c r="C20" s="122" t="s">
        <v>64</v>
      </c>
      <c r="D20" s="122"/>
      <c r="E20" s="123">
        <v>30.5</v>
      </c>
      <c r="F20" s="7"/>
      <c r="G20" s="7"/>
      <c r="H20" s="7"/>
      <c r="I20" s="7"/>
      <c r="J20" s="7"/>
      <c r="K20" s="132"/>
      <c r="L20" s="122" t="s">
        <v>25</v>
      </c>
      <c r="M20" s="122" t="s">
        <v>26</v>
      </c>
      <c r="N20" s="122"/>
      <c r="O20" s="122" t="s">
        <v>25</v>
      </c>
      <c r="P20" s="123" t="s">
        <v>26</v>
      </c>
      <c r="Q20" s="7"/>
      <c r="R20" s="7"/>
      <c r="S20" s="7"/>
      <c r="T20" s="7"/>
      <c r="U20" s="7"/>
      <c r="V20" s="7"/>
      <c r="W20" s="7"/>
      <c r="X20" s="7"/>
    </row>
    <row r="21" spans="1:24" x14ac:dyDescent="0.3">
      <c r="A21" s="7"/>
      <c r="B21" s="132"/>
      <c r="C21" s="122" t="s">
        <v>69</v>
      </c>
      <c r="D21" s="122"/>
      <c r="E21" s="123">
        <v>26</v>
      </c>
      <c r="F21" s="7"/>
      <c r="G21" s="7"/>
      <c r="H21" s="7"/>
      <c r="I21" s="7"/>
      <c r="J21" s="7"/>
      <c r="K21" s="132"/>
      <c r="L21" s="122"/>
      <c r="M21" s="122"/>
      <c r="N21" s="122"/>
      <c r="O21" s="122"/>
      <c r="P21" s="123"/>
      <c r="Q21" s="7"/>
      <c r="R21" s="7"/>
      <c r="S21" s="7"/>
      <c r="T21" s="7"/>
      <c r="U21" s="7"/>
      <c r="V21" s="7"/>
      <c r="W21" s="7"/>
      <c r="X21" s="7"/>
    </row>
    <row r="22" spans="1:24" ht="15" thickBot="1" x14ac:dyDescent="0.35">
      <c r="A22" s="7"/>
      <c r="B22" s="132"/>
      <c r="C22" s="122" t="s">
        <v>70</v>
      </c>
      <c r="D22" s="122"/>
      <c r="E22" s="123">
        <f>E20-E21</f>
        <v>4.5</v>
      </c>
      <c r="F22" s="7"/>
      <c r="G22" s="7"/>
      <c r="H22" s="7"/>
      <c r="I22" s="7"/>
      <c r="J22" s="7"/>
      <c r="K22" s="134" t="s">
        <v>74</v>
      </c>
      <c r="L22" s="127">
        <f>L16*$L$17</f>
        <v>2310.2097327512315</v>
      </c>
      <c r="M22" s="127">
        <f>M16*$L$17</f>
        <v>10080.915197459919</v>
      </c>
      <c r="N22" s="127"/>
      <c r="O22" s="127">
        <f>O16*$L$17</f>
        <v>3625.7981097345128</v>
      </c>
      <c r="P22" s="128">
        <f>P16*$L$17</f>
        <v>15454.22145132743</v>
      </c>
      <c r="Q22" s="7"/>
      <c r="R22" s="7"/>
      <c r="S22" s="7"/>
      <c r="T22" s="7"/>
      <c r="U22" s="7"/>
      <c r="V22" s="7"/>
      <c r="W22" s="7"/>
      <c r="X22" s="7"/>
    </row>
    <row r="23" spans="1:24" x14ac:dyDescent="0.3">
      <c r="A23" s="7"/>
      <c r="B23" s="132"/>
      <c r="C23" s="122" t="s">
        <v>68</v>
      </c>
      <c r="D23" s="122"/>
      <c r="E23" s="123">
        <f>E22/2</f>
        <v>2.25</v>
      </c>
      <c r="F23" s="7"/>
      <c r="G23" s="7"/>
      <c r="H23" s="7"/>
      <c r="I23" s="7"/>
      <c r="J23" s="7"/>
      <c r="K23" s="200" t="s">
        <v>98</v>
      </c>
      <c r="L23" s="200"/>
      <c r="M23" s="200"/>
      <c r="N23" s="200"/>
      <c r="O23" s="200"/>
      <c r="P23" s="201"/>
      <c r="Q23" s="7"/>
      <c r="R23" s="7"/>
      <c r="S23" s="7"/>
      <c r="T23" s="7"/>
      <c r="U23" s="7"/>
      <c r="V23" s="7"/>
      <c r="W23" s="7"/>
      <c r="X23" s="7"/>
    </row>
    <row r="24" spans="1:24" ht="15" thickBot="1" x14ac:dyDescent="0.35">
      <c r="A24" s="7"/>
      <c r="B24" s="132"/>
      <c r="C24" s="122" t="s">
        <v>67</v>
      </c>
      <c r="D24" s="122"/>
      <c r="E24" s="123">
        <f>E23+E21</f>
        <v>28.25</v>
      </c>
      <c r="F24" s="7"/>
      <c r="G24" s="7"/>
      <c r="H24" s="7"/>
      <c r="I24" s="7"/>
      <c r="J24" s="7"/>
      <c r="K24" s="196" t="s">
        <v>131</v>
      </c>
      <c r="L24" s="196"/>
      <c r="M24" s="196"/>
      <c r="N24" s="196"/>
      <c r="O24" s="196"/>
      <c r="P24" s="197"/>
      <c r="Q24" s="7"/>
      <c r="R24" s="7"/>
      <c r="S24" s="7"/>
      <c r="T24" s="7"/>
      <c r="U24" s="7"/>
      <c r="V24" s="7"/>
      <c r="W24" s="7"/>
      <c r="X24" s="7"/>
    </row>
    <row r="25" spans="1:24" ht="15" thickBot="1" x14ac:dyDescent="0.35">
      <c r="A25" s="7"/>
      <c r="B25" s="134"/>
      <c r="C25" s="127" t="s">
        <v>58</v>
      </c>
      <c r="D25" s="127"/>
      <c r="E25" s="128">
        <f>E23/E24</f>
        <v>7.9646017699115043E-2</v>
      </c>
      <c r="F25" s="7"/>
      <c r="G25" s="7"/>
      <c r="H25" s="7"/>
      <c r="I25" s="7"/>
      <c r="J25" s="7"/>
      <c r="K25" s="32" t="s">
        <v>76</v>
      </c>
      <c r="L25" s="194" t="s">
        <v>59</v>
      </c>
      <c r="M25" s="194"/>
      <c r="N25" s="33"/>
      <c r="O25" s="194" t="s">
        <v>60</v>
      </c>
      <c r="P25" s="195"/>
      <c r="Q25" s="7"/>
      <c r="R25" s="7"/>
      <c r="S25" s="7"/>
      <c r="T25" s="7"/>
      <c r="U25" s="7"/>
      <c r="V25" s="7"/>
      <c r="W25" s="7"/>
      <c r="X25" s="7"/>
    </row>
    <row r="26" spans="1:24" x14ac:dyDescent="0.3">
      <c r="A26" s="7"/>
      <c r="B26" s="25"/>
      <c r="C26" s="7"/>
      <c r="D26" s="7"/>
      <c r="E26" s="7"/>
      <c r="F26" s="7"/>
      <c r="G26" s="7"/>
      <c r="H26" s="7"/>
      <c r="I26" s="7"/>
      <c r="J26" s="7"/>
      <c r="K26" s="34"/>
      <c r="L26" s="35" t="s">
        <v>25</v>
      </c>
      <c r="M26" s="35" t="s">
        <v>26</v>
      </c>
      <c r="N26" s="35"/>
      <c r="O26" s="35" t="s">
        <v>25</v>
      </c>
      <c r="P26" s="36" t="s">
        <v>26</v>
      </c>
      <c r="Q26" s="7"/>
      <c r="R26" s="7"/>
      <c r="S26" s="7"/>
      <c r="T26" s="7"/>
      <c r="U26" s="7"/>
      <c r="V26" s="7"/>
      <c r="W26" s="7"/>
      <c r="X26" s="7"/>
    </row>
    <row r="27" spans="1:24" ht="15" thickBot="1" x14ac:dyDescent="0.35">
      <c r="A27" s="7"/>
      <c r="B27" s="25"/>
      <c r="C27" s="7"/>
      <c r="D27" s="7"/>
      <c r="E27" s="7"/>
      <c r="F27" s="7"/>
      <c r="G27" s="7"/>
      <c r="H27" s="7"/>
      <c r="I27" s="7"/>
      <c r="J27" s="7"/>
      <c r="K27" s="34"/>
      <c r="L27" s="35"/>
      <c r="M27" s="35"/>
      <c r="N27" s="35"/>
      <c r="O27" s="35"/>
      <c r="P27" s="36"/>
      <c r="Q27" s="7"/>
      <c r="R27" s="7"/>
      <c r="S27" s="7"/>
      <c r="T27" s="7"/>
      <c r="U27" s="7"/>
      <c r="V27" s="7"/>
      <c r="W27" s="7"/>
      <c r="X27" s="7"/>
    </row>
    <row r="28" spans="1:24" ht="27" thickBot="1" x14ac:dyDescent="0.35">
      <c r="A28" s="7"/>
      <c r="B28" s="165" t="s">
        <v>82</v>
      </c>
      <c r="C28" s="166">
        <v>7.87</v>
      </c>
      <c r="D28" s="166">
        <v>8.7579999999999991</v>
      </c>
      <c r="E28" s="166">
        <v>9.5410000000000004</v>
      </c>
      <c r="F28" s="166">
        <v>10.044</v>
      </c>
      <c r="G28" s="167">
        <v>0.27600000000000002</v>
      </c>
      <c r="H28" s="126">
        <f>(D28-F28)/D28</f>
        <v>-0.14683717743777136</v>
      </c>
      <c r="I28" s="7"/>
      <c r="J28" s="7"/>
      <c r="K28" s="37" t="s">
        <v>74</v>
      </c>
      <c r="L28" s="38">
        <f>L22/$E$3</f>
        <v>192.5174777292693</v>
      </c>
      <c r="M28" s="38">
        <f>M22/$E$3</f>
        <v>840.07626645499329</v>
      </c>
      <c r="N28" s="38"/>
      <c r="O28" s="38">
        <f>O22/$E$3</f>
        <v>302.14984247787606</v>
      </c>
      <c r="P28" s="67">
        <f>P22/$E$3</f>
        <v>1287.8517876106191</v>
      </c>
      <c r="Q28" s="7"/>
      <c r="R28" s="7"/>
      <c r="S28" s="7"/>
      <c r="T28" s="7"/>
      <c r="U28" s="7"/>
      <c r="V28" s="7"/>
      <c r="W28" s="7"/>
      <c r="X28" s="7"/>
    </row>
    <row r="29" spans="1:24" x14ac:dyDescent="0.3">
      <c r="A29" s="7"/>
      <c r="B29" s="168"/>
      <c r="C29" s="169">
        <v>115187</v>
      </c>
      <c r="D29" s="169">
        <v>127470</v>
      </c>
      <c r="E29" s="169">
        <v>137820</v>
      </c>
      <c r="F29" s="169">
        <v>144510</v>
      </c>
      <c r="G29" s="170">
        <v>0.255</v>
      </c>
      <c r="H29" s="123">
        <f>(D29-F29)/D29</f>
        <v>-0.13367851259119792</v>
      </c>
      <c r="I29" s="7"/>
      <c r="J29" s="7"/>
      <c r="K29" s="7"/>
      <c r="L29" s="7"/>
      <c r="M29" s="7"/>
      <c r="N29" s="7"/>
      <c r="O29" s="7"/>
      <c r="P29" s="24"/>
      <c r="Q29" s="7"/>
      <c r="R29" s="7"/>
      <c r="S29" s="7"/>
      <c r="T29" s="7"/>
      <c r="U29" s="7"/>
      <c r="V29" s="7"/>
      <c r="W29" s="7"/>
      <c r="X29" s="7"/>
    </row>
    <row r="30" spans="1:24" x14ac:dyDescent="0.3">
      <c r="A30" s="7"/>
      <c r="B30" s="168"/>
      <c r="C30" s="169"/>
      <c r="D30" s="169"/>
      <c r="E30" s="169"/>
      <c r="F30" s="169"/>
      <c r="G30" s="170"/>
      <c r="H30" s="123"/>
      <c r="I30" s="7"/>
      <c r="J30" s="7"/>
      <c r="K30" s="7"/>
      <c r="L30" s="7"/>
      <c r="M30" s="7"/>
      <c r="N30" s="7"/>
      <c r="O30" s="7"/>
      <c r="P30" s="24"/>
      <c r="Q30" s="7"/>
      <c r="R30" s="7"/>
      <c r="S30" s="7"/>
      <c r="T30" s="7"/>
      <c r="U30" s="7"/>
      <c r="V30" s="7"/>
      <c r="W30" s="7"/>
      <c r="X30" s="7"/>
    </row>
    <row r="31" spans="1:24" x14ac:dyDescent="0.3">
      <c r="A31" s="7"/>
      <c r="B31" s="171">
        <v>14636</v>
      </c>
      <c r="C31" s="172">
        <v>14555</v>
      </c>
      <c r="D31" s="172">
        <v>14445</v>
      </c>
      <c r="E31" s="172">
        <v>14388</v>
      </c>
      <c r="F31" s="122"/>
      <c r="G31" s="122">
        <f>E31-F32</f>
        <v>14305.333333333334</v>
      </c>
      <c r="H31" s="123"/>
      <c r="I31" s="7"/>
      <c r="J31" s="7"/>
      <c r="K31" s="7"/>
      <c r="L31" s="7"/>
      <c r="M31" s="7"/>
      <c r="N31" s="7"/>
      <c r="O31" s="7"/>
      <c r="P31" s="24"/>
      <c r="Q31" s="7"/>
      <c r="R31" s="7"/>
      <c r="S31" s="7"/>
      <c r="T31" s="7"/>
      <c r="U31" s="7"/>
      <c r="V31" s="7"/>
      <c r="W31" s="7"/>
      <c r="X31" s="7"/>
    </row>
    <row r="32" spans="1:24" x14ac:dyDescent="0.3">
      <c r="A32" s="7"/>
      <c r="B32" s="132"/>
      <c r="C32" s="122">
        <f>B31-C31</f>
        <v>81</v>
      </c>
      <c r="D32" s="122">
        <f>C31-D31</f>
        <v>110</v>
      </c>
      <c r="E32" s="122">
        <f>D31-E31</f>
        <v>57</v>
      </c>
      <c r="F32" s="122">
        <f>AVERAGE(C32:E32)</f>
        <v>82.666666666666671</v>
      </c>
      <c r="G32" s="122"/>
      <c r="H32" s="123">
        <f>(C31-G31)/C31</f>
        <v>1.7153326462842053E-2</v>
      </c>
      <c r="I32" s="7"/>
      <c r="J32" s="7"/>
      <c r="K32" s="7"/>
      <c r="L32" s="7"/>
      <c r="M32" s="7"/>
      <c r="N32" s="7"/>
      <c r="O32" s="7"/>
      <c r="P32" s="24"/>
      <c r="Q32" s="7"/>
      <c r="R32" s="7"/>
      <c r="S32" s="7"/>
      <c r="T32" s="7"/>
      <c r="U32" s="7"/>
      <c r="V32" s="7"/>
      <c r="W32" s="7"/>
      <c r="X32" s="7"/>
    </row>
    <row r="33" spans="1:24" ht="15" thickBot="1" x14ac:dyDescent="0.35">
      <c r="A33" s="7"/>
      <c r="B33" s="134"/>
      <c r="C33" s="127"/>
      <c r="D33" s="127"/>
      <c r="E33" s="127"/>
      <c r="F33" s="127">
        <f>(C31-E31)/C31</f>
        <v>1.1473720371006527E-2</v>
      </c>
      <c r="G33" s="127"/>
      <c r="H33" s="128"/>
      <c r="I33" s="27"/>
      <c r="J33" s="27"/>
      <c r="K33" s="27"/>
      <c r="L33" s="27"/>
      <c r="M33" s="27"/>
      <c r="N33" s="27"/>
      <c r="O33" s="27"/>
      <c r="P33" s="28"/>
      <c r="Q33" s="7"/>
      <c r="R33" s="7"/>
      <c r="S33" s="7"/>
      <c r="T33" s="7"/>
      <c r="U33" s="7"/>
      <c r="V33" s="7"/>
      <c r="W33" s="7"/>
      <c r="X33" s="7"/>
    </row>
    <row r="34" spans="1:24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16">
    <mergeCell ref="K2:P2"/>
    <mergeCell ref="K7:P7"/>
    <mergeCell ref="K12:P12"/>
    <mergeCell ref="K18:P18"/>
    <mergeCell ref="L3:M3"/>
    <mergeCell ref="O3:P3"/>
    <mergeCell ref="L8:M8"/>
    <mergeCell ref="O8:P8"/>
    <mergeCell ref="L13:M13"/>
    <mergeCell ref="O13:P13"/>
    <mergeCell ref="K24:P24"/>
    <mergeCell ref="L25:M25"/>
    <mergeCell ref="O25:P25"/>
    <mergeCell ref="L19:M19"/>
    <mergeCell ref="O19:P19"/>
    <mergeCell ref="K23:P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ACD39-452C-4FC3-BC88-B5A3B3C3B796}">
  <dimension ref="A1:AA41"/>
  <sheetViews>
    <sheetView workbookViewId="0">
      <selection activeCell="I9" sqref="I9"/>
    </sheetView>
  </sheetViews>
  <sheetFormatPr defaultRowHeight="14.4" x14ac:dyDescent="0.3"/>
  <cols>
    <col min="3" max="7" width="16.21875" customWidth="1"/>
    <col min="9" max="9" width="10.88671875" customWidth="1"/>
    <col min="10" max="10" width="26.109375" customWidth="1"/>
  </cols>
  <sheetData>
    <row r="1" spans="1:2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thickBo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thickBot="1" x14ac:dyDescent="0.35">
      <c r="A3" s="7"/>
      <c r="B3" s="7"/>
      <c r="C3" s="207" t="s">
        <v>98</v>
      </c>
      <c r="D3" s="208"/>
      <c r="E3" s="208"/>
      <c r="F3" s="208"/>
      <c r="G3" s="208"/>
      <c r="H3" s="30"/>
      <c r="I3" s="30"/>
      <c r="J3" s="30"/>
      <c r="K3" s="133" t="s">
        <v>297</v>
      </c>
      <c r="L3" s="126">
        <v>100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23"/>
      <c r="X3" s="7"/>
      <c r="Y3" s="7"/>
      <c r="Z3" s="7"/>
      <c r="AA3" s="7"/>
    </row>
    <row r="4" spans="1:27" ht="42" thickBot="1" x14ac:dyDescent="0.35">
      <c r="A4" s="7"/>
      <c r="B4" s="7"/>
      <c r="C4" s="9"/>
      <c r="D4" s="10" t="s">
        <v>17</v>
      </c>
      <c r="E4" s="10" t="s">
        <v>18</v>
      </c>
      <c r="F4" s="10" t="s">
        <v>19</v>
      </c>
      <c r="G4" s="11" t="s">
        <v>20</v>
      </c>
      <c r="H4" s="7"/>
      <c r="I4" s="7"/>
      <c r="J4" s="133"/>
      <c r="K4" s="125"/>
      <c r="L4" s="125" t="s">
        <v>30</v>
      </c>
      <c r="M4" s="125"/>
      <c r="N4" s="125" t="s">
        <v>31</v>
      </c>
      <c r="O4" s="126"/>
      <c r="P4" s="7"/>
      <c r="Q4" s="206" t="s">
        <v>40</v>
      </c>
      <c r="R4" s="198"/>
      <c r="S4" s="198"/>
      <c r="T4" s="199"/>
      <c r="U4" s="7"/>
      <c r="V4" s="7"/>
      <c r="W4" s="24"/>
      <c r="X4" s="7"/>
      <c r="Y4" s="7"/>
      <c r="Z4" s="7"/>
      <c r="AA4" s="7"/>
    </row>
    <row r="5" spans="1:27" ht="15" thickBot="1" x14ac:dyDescent="0.35">
      <c r="A5" s="7"/>
      <c r="B5" s="7"/>
      <c r="C5" s="12" t="s">
        <v>21</v>
      </c>
      <c r="D5" s="13">
        <f t="shared" ref="D5:G9" si="0">L$11+L$9*$M23</f>
        <v>326.17471856196187</v>
      </c>
      <c r="E5" s="13">
        <f t="shared" si="0"/>
        <v>1207.4737177534166</v>
      </c>
      <c r="F5" s="13">
        <f t="shared" si="0"/>
        <v>427.29746316153916</v>
      </c>
      <c r="G5" s="14">
        <f t="shared" si="0"/>
        <v>1581.8223395883906</v>
      </c>
      <c r="H5" s="7"/>
      <c r="I5" s="7"/>
      <c r="J5" s="132"/>
      <c r="K5" s="122"/>
      <c r="L5" s="122" t="s">
        <v>25</v>
      </c>
      <c r="M5" s="122" t="s">
        <v>26</v>
      </c>
      <c r="N5" s="122" t="s">
        <v>25</v>
      </c>
      <c r="O5" s="123" t="s">
        <v>26</v>
      </c>
      <c r="P5" s="7"/>
      <c r="Q5" s="134">
        <f>L8+L13</f>
        <v>3806.0879999999997</v>
      </c>
      <c r="R5" s="127">
        <f>M8+M13</f>
        <v>14089.845000000001</v>
      </c>
      <c r="S5" s="127">
        <f>N8+N13</f>
        <v>4945.7719999999999</v>
      </c>
      <c r="T5" s="128">
        <f>O8+O13</f>
        <v>18308.8675</v>
      </c>
      <c r="U5" s="7"/>
      <c r="V5" s="7"/>
      <c r="W5" s="24"/>
      <c r="X5" s="7"/>
      <c r="Y5" s="7"/>
      <c r="Z5" s="7"/>
      <c r="AA5" s="7"/>
    </row>
    <row r="6" spans="1:27" x14ac:dyDescent="0.3">
      <c r="A6" s="7"/>
      <c r="B6" s="7"/>
      <c r="C6" s="12" t="s">
        <v>1</v>
      </c>
      <c r="D6" s="13">
        <f t="shared" si="0"/>
        <v>315.40066568056693</v>
      </c>
      <c r="E6" s="13">
        <f t="shared" si="0"/>
        <v>1167.5890027597911</v>
      </c>
      <c r="F6" s="13">
        <f t="shared" si="0"/>
        <v>413.18317041535329</v>
      </c>
      <c r="G6" s="14">
        <f t="shared" si="0"/>
        <v>1529.5723135568369</v>
      </c>
      <c r="H6" s="7"/>
      <c r="I6" s="7"/>
      <c r="J6" s="132" t="s">
        <v>24</v>
      </c>
      <c r="K6" s="122"/>
      <c r="L6" s="122">
        <v>5200</v>
      </c>
      <c r="M6" s="122">
        <v>19250</v>
      </c>
      <c r="N6" s="122">
        <v>5200</v>
      </c>
      <c r="O6" s="123">
        <v>19250</v>
      </c>
      <c r="P6" s="7"/>
      <c r="Q6" s="7"/>
      <c r="R6" s="7"/>
      <c r="S6" s="7"/>
      <c r="T6" s="7"/>
      <c r="U6" s="7"/>
      <c r="V6" s="7"/>
      <c r="W6" s="24"/>
      <c r="X6" s="7"/>
      <c r="Y6" s="7"/>
      <c r="Z6" s="7"/>
      <c r="AA6" s="7"/>
    </row>
    <row r="7" spans="1:27" x14ac:dyDescent="0.3">
      <c r="A7" s="7"/>
      <c r="B7" s="7"/>
      <c r="C7" s="12" t="s">
        <v>2</v>
      </c>
      <c r="D7" s="13">
        <f t="shared" si="0"/>
        <v>310.50336891629649</v>
      </c>
      <c r="E7" s="13">
        <f t="shared" si="0"/>
        <v>1149.4595868535978</v>
      </c>
      <c r="F7" s="13">
        <f t="shared" si="0"/>
        <v>406.76758280345058</v>
      </c>
      <c r="G7" s="14">
        <f t="shared" si="0"/>
        <v>1505.8223017243124</v>
      </c>
      <c r="H7" s="7"/>
      <c r="I7" s="7"/>
      <c r="J7" s="132" t="s">
        <v>29</v>
      </c>
      <c r="K7" s="122"/>
      <c r="L7" s="55">
        <v>0.29305999999999999</v>
      </c>
      <c r="M7" s="55">
        <f>L7</f>
        <v>0.29305999999999999</v>
      </c>
      <c r="N7" s="55">
        <v>7.3889999999999997E-2</v>
      </c>
      <c r="O7" s="73">
        <f>N7</f>
        <v>7.3889999999999997E-2</v>
      </c>
      <c r="P7" s="7"/>
      <c r="Q7" s="7"/>
      <c r="R7" s="7"/>
      <c r="S7" s="7"/>
      <c r="T7" s="7"/>
      <c r="U7" s="7"/>
      <c r="V7" s="7"/>
      <c r="W7" s="24"/>
      <c r="X7" s="7"/>
      <c r="Y7" s="7"/>
      <c r="Z7" s="7"/>
      <c r="AA7" s="7"/>
    </row>
    <row r="8" spans="1:27" x14ac:dyDescent="0.3">
      <c r="A8" s="7"/>
      <c r="B8" s="7"/>
      <c r="C8" s="12" t="s">
        <v>3</v>
      </c>
      <c r="D8" s="13">
        <f t="shared" si="0"/>
        <v>300.21904571132859</v>
      </c>
      <c r="E8" s="13">
        <f t="shared" si="0"/>
        <v>1111.3878134505917</v>
      </c>
      <c r="F8" s="13">
        <f t="shared" si="0"/>
        <v>393.29484881845497</v>
      </c>
      <c r="G8" s="14">
        <f t="shared" si="0"/>
        <v>1455.9472768760113</v>
      </c>
      <c r="H8" s="7"/>
      <c r="I8" s="7"/>
      <c r="J8" s="132" t="s">
        <v>33</v>
      </c>
      <c r="K8" s="122"/>
      <c r="L8" s="122">
        <f>L6-L6*L7</f>
        <v>3676.0879999999997</v>
      </c>
      <c r="M8" s="122">
        <f>M6-M6*M7</f>
        <v>13608.595000000001</v>
      </c>
      <c r="N8" s="122">
        <f>N6-N6*N7</f>
        <v>4815.7719999999999</v>
      </c>
      <c r="O8" s="123">
        <f>O6-O6*O7</f>
        <v>17827.6175</v>
      </c>
      <c r="P8" s="7"/>
      <c r="Q8" s="7"/>
      <c r="R8" s="7"/>
      <c r="S8" s="7"/>
      <c r="T8" s="7"/>
      <c r="U8" s="7"/>
      <c r="V8" s="7"/>
      <c r="W8" s="24"/>
      <c r="X8" s="7"/>
      <c r="Y8" s="7"/>
      <c r="Z8" s="7"/>
      <c r="AA8" s="7"/>
    </row>
    <row r="9" spans="1:27" x14ac:dyDescent="0.3">
      <c r="A9" s="7"/>
      <c r="B9" s="7"/>
      <c r="C9" s="12" t="s">
        <v>22</v>
      </c>
      <c r="D9" s="13">
        <f t="shared" si="0"/>
        <v>294.34228959420409</v>
      </c>
      <c r="E9" s="13">
        <f t="shared" si="0"/>
        <v>1089.6325143631595</v>
      </c>
      <c r="F9" s="13">
        <f t="shared" si="0"/>
        <v>385.59614368417169</v>
      </c>
      <c r="G9" s="14">
        <f t="shared" si="0"/>
        <v>1427.4472626769821</v>
      </c>
      <c r="H9" s="7"/>
      <c r="I9" s="7"/>
      <c r="J9" s="132" t="s">
        <v>34</v>
      </c>
      <c r="K9" s="122"/>
      <c r="L9" s="122">
        <f>0.1334867761*L8</f>
        <v>490.70913577989683</v>
      </c>
      <c r="M9" s="122">
        <f>0.1334867761*M8</f>
        <v>1816.5674738005798</v>
      </c>
      <c r="N9" s="122">
        <f>0.1334867761*N8</f>
        <v>642.84187871264919</v>
      </c>
      <c r="O9" s="123">
        <f>0.1334867761*O8</f>
        <v>2379.7511856189421</v>
      </c>
      <c r="P9" s="7"/>
      <c r="Q9" s="7"/>
      <c r="R9" s="7"/>
      <c r="S9" s="7"/>
      <c r="T9" s="7"/>
      <c r="U9" s="7"/>
      <c r="V9" s="7"/>
      <c r="W9" s="24"/>
      <c r="X9" s="7"/>
      <c r="Y9" s="7"/>
      <c r="Z9" s="7"/>
      <c r="AA9" s="7"/>
    </row>
    <row r="10" spans="1:27" x14ac:dyDescent="0.3">
      <c r="A10" s="7"/>
      <c r="B10" s="7"/>
      <c r="C10" s="12" t="s">
        <v>5</v>
      </c>
      <c r="D10" s="13">
        <f>L$11+L$9*$M28+L14</f>
        <v>312.99634444779844</v>
      </c>
      <c r="E10" s="13">
        <f>M$11+M$9*$M28+M14</f>
        <v>1158.6883905038694</v>
      </c>
      <c r="F10" s="13">
        <f>N$11+N$9*$M28+N14</f>
        <v>401.97276226631766</v>
      </c>
      <c r="G10" s="14">
        <f>O$11+O$9*$M28+O14</f>
        <v>1488.0722449281955</v>
      </c>
      <c r="H10" s="7"/>
      <c r="I10" s="7"/>
      <c r="J10" s="132" t="s">
        <v>35</v>
      </c>
      <c r="K10" s="122"/>
      <c r="L10" s="122">
        <f>L8-L9</f>
        <v>3185.378864220103</v>
      </c>
      <c r="M10" s="122">
        <f>M8-M9</f>
        <v>11792.027526199421</v>
      </c>
      <c r="N10" s="122">
        <f>N8-N9</f>
        <v>4172.9301212873506</v>
      </c>
      <c r="O10" s="123">
        <f>O8-O9</f>
        <v>15447.866314381059</v>
      </c>
      <c r="P10" s="7"/>
      <c r="Q10" s="7"/>
      <c r="R10" s="7"/>
      <c r="S10" s="7"/>
      <c r="T10" s="7"/>
      <c r="U10" s="7"/>
      <c r="V10" s="7"/>
      <c r="W10" s="24"/>
      <c r="X10" s="7"/>
      <c r="Y10" s="7"/>
      <c r="Z10" s="7"/>
      <c r="AA10" s="7"/>
    </row>
    <row r="11" spans="1:27" x14ac:dyDescent="0.3">
      <c r="A11" s="7"/>
      <c r="B11" s="7"/>
      <c r="C11" s="12" t="s">
        <v>6</v>
      </c>
      <c r="D11" s="13">
        <f>L$11+L$9*$M29+L16</f>
        <v>350.52715541851728</v>
      </c>
      <c r="E11" s="13">
        <f>M$11+M$9*$M29+M16</f>
        <v>1297.6245657320114</v>
      </c>
      <c r="F11" s="13">
        <f>N$11+N$9*$M29+N16</f>
        <v>439.0480859827469</v>
      </c>
      <c r="G11" s="14">
        <f>O$11+O$9*$M29+O16</f>
        <v>1625.3222413784381</v>
      </c>
      <c r="H11" s="7"/>
      <c r="I11" s="7"/>
      <c r="J11" s="132" t="s">
        <v>39</v>
      </c>
      <c r="K11" s="122"/>
      <c r="L11" s="122">
        <f>L10/12</f>
        <v>265.44823868500856</v>
      </c>
      <c r="M11" s="122">
        <f>M10/12</f>
        <v>982.66896051661843</v>
      </c>
      <c r="N11" s="122">
        <f>N10/12</f>
        <v>347.74417677394587</v>
      </c>
      <c r="O11" s="123">
        <f>O10/12</f>
        <v>1287.3221928650883</v>
      </c>
      <c r="P11" s="7"/>
      <c r="Q11" s="7"/>
      <c r="R11" s="7"/>
      <c r="S11" s="7"/>
      <c r="T11" s="7"/>
      <c r="U11" s="7"/>
      <c r="V11" s="7"/>
      <c r="W11" s="24"/>
      <c r="X11" s="7"/>
      <c r="Y11" s="7"/>
      <c r="Z11" s="7"/>
      <c r="AA11" s="7"/>
    </row>
    <row r="12" spans="1:27" x14ac:dyDescent="0.3">
      <c r="A12" s="7"/>
      <c r="B12" s="7"/>
      <c r="C12" s="12" t="s">
        <v>7</v>
      </c>
      <c r="D12" s="13">
        <f>L$11+L$9*$M30+L15</f>
        <v>324.03742574209025</v>
      </c>
      <c r="E12" s="13">
        <f>M$11+M$9*$M30+M15</f>
        <v>1199.561624141392</v>
      </c>
      <c r="F12" s="13">
        <f>N$11+N$9*$M30+N15</f>
        <v>412.40652722155659</v>
      </c>
      <c r="G12" s="14">
        <f>O$11+O$9*$M30+O15</f>
        <v>1526.6972401951857</v>
      </c>
      <c r="H12" s="7"/>
      <c r="I12" s="7"/>
      <c r="J12" s="132" t="s">
        <v>27</v>
      </c>
      <c r="K12" s="122"/>
      <c r="L12" s="122">
        <v>2.5000000000000001E-2</v>
      </c>
      <c r="M12" s="122">
        <v>2.5000000000000001E-2</v>
      </c>
      <c r="N12" s="122">
        <f t="shared" ref="N12:O12" si="1">M12</f>
        <v>2.5000000000000001E-2</v>
      </c>
      <c r="O12" s="123">
        <f t="shared" si="1"/>
        <v>2.5000000000000001E-2</v>
      </c>
      <c r="P12" s="7"/>
      <c r="Q12" s="7"/>
      <c r="R12" s="7"/>
      <c r="S12" s="7"/>
      <c r="T12" s="7"/>
      <c r="U12" s="7"/>
      <c r="V12" s="7"/>
      <c r="W12" s="24"/>
      <c r="X12" s="7"/>
      <c r="Y12" s="7"/>
      <c r="Z12" s="7"/>
      <c r="AA12" s="7"/>
    </row>
    <row r="13" spans="1:27" x14ac:dyDescent="0.3">
      <c r="A13" s="7"/>
      <c r="B13" s="7"/>
      <c r="C13" s="12" t="s">
        <v>8</v>
      </c>
      <c r="D13" s="13">
        <f t="shared" ref="D13:G16" si="2">L$11+L$9*$M31</f>
        <v>298.74985668204749</v>
      </c>
      <c r="E13" s="13">
        <f t="shared" si="2"/>
        <v>1105.9489886787337</v>
      </c>
      <c r="F13" s="13">
        <f t="shared" si="2"/>
        <v>391.37017253488415</v>
      </c>
      <c r="G13" s="14">
        <f t="shared" si="2"/>
        <v>1448.8222733262539</v>
      </c>
      <c r="H13" s="7"/>
      <c r="I13" s="7"/>
      <c r="J13" s="132" t="s">
        <v>28</v>
      </c>
      <c r="K13" s="122"/>
      <c r="L13" s="122">
        <f>L6*L12</f>
        <v>130</v>
      </c>
      <c r="M13" s="122">
        <f>M6*M12</f>
        <v>481.25</v>
      </c>
      <c r="N13" s="122">
        <f>N6*N12</f>
        <v>130</v>
      </c>
      <c r="O13" s="123">
        <f>O6*O12</f>
        <v>481.25</v>
      </c>
      <c r="P13" s="7"/>
      <c r="Q13" s="7"/>
      <c r="R13" s="7"/>
      <c r="S13" s="7"/>
      <c r="T13" s="7"/>
      <c r="U13" s="7"/>
      <c r="V13" s="7"/>
      <c r="W13" s="24"/>
      <c r="X13" s="7"/>
      <c r="Y13" s="7"/>
      <c r="Z13" s="7"/>
      <c r="AA13" s="7"/>
    </row>
    <row r="14" spans="1:27" x14ac:dyDescent="0.3">
      <c r="A14" s="7"/>
      <c r="B14" s="7"/>
      <c r="C14" s="12" t="s">
        <v>9</v>
      </c>
      <c r="D14" s="13">
        <f t="shared" si="2"/>
        <v>316.86985470984803</v>
      </c>
      <c r="E14" s="13">
        <f t="shared" si="2"/>
        <v>1173.0278275316491</v>
      </c>
      <c r="F14" s="13">
        <f t="shared" si="2"/>
        <v>415.10784669892405</v>
      </c>
      <c r="G14" s="14">
        <f t="shared" si="2"/>
        <v>1536.6973171065943</v>
      </c>
      <c r="H14" s="7"/>
      <c r="I14" s="7"/>
      <c r="J14" s="132" t="s">
        <v>112</v>
      </c>
      <c r="K14" s="122"/>
      <c r="L14" s="122">
        <f>L13/5</f>
        <v>26</v>
      </c>
      <c r="M14" s="122">
        <f>M13/5</f>
        <v>96.25</v>
      </c>
      <c r="N14" s="122">
        <f>N13/5</f>
        <v>26</v>
      </c>
      <c r="O14" s="123">
        <f>O13/5</f>
        <v>96.25</v>
      </c>
      <c r="P14" s="7"/>
      <c r="Q14" s="7"/>
      <c r="R14" s="7"/>
      <c r="S14" s="7"/>
      <c r="T14" s="7"/>
      <c r="U14" s="7"/>
      <c r="V14" s="7"/>
      <c r="W14" s="24"/>
      <c r="X14" s="7"/>
      <c r="Y14" s="7"/>
      <c r="Z14" s="7"/>
      <c r="AA14" s="7"/>
    </row>
    <row r="15" spans="1:27" x14ac:dyDescent="0.3">
      <c r="A15" s="7"/>
      <c r="B15" s="7"/>
      <c r="C15" s="12" t="s">
        <v>10</v>
      </c>
      <c r="D15" s="13">
        <f t="shared" si="2"/>
        <v>326.17471856196187</v>
      </c>
      <c r="E15" s="13">
        <f t="shared" si="2"/>
        <v>1207.4737177534166</v>
      </c>
      <c r="F15" s="13">
        <f t="shared" si="2"/>
        <v>427.29746316153916</v>
      </c>
      <c r="G15" s="14">
        <f t="shared" si="2"/>
        <v>1581.8223395883906</v>
      </c>
      <c r="H15" s="7"/>
      <c r="I15" s="7"/>
      <c r="J15" s="132" t="s">
        <v>111</v>
      </c>
      <c r="K15" s="122"/>
      <c r="L15" s="122">
        <f>L13*(3/10)</f>
        <v>39</v>
      </c>
      <c r="M15" s="122">
        <f>M13*(3/10)</f>
        <v>144.375</v>
      </c>
      <c r="N15" s="122">
        <f>N13*(3/10)</f>
        <v>39</v>
      </c>
      <c r="O15" s="123">
        <f>O13*(3/10)</f>
        <v>144.375</v>
      </c>
      <c r="P15" s="7"/>
      <c r="Q15" s="7"/>
      <c r="R15" s="7"/>
      <c r="S15" s="7"/>
      <c r="T15" s="7"/>
      <c r="U15" s="7"/>
      <c r="V15" s="7"/>
      <c r="W15" s="24"/>
      <c r="X15" s="7"/>
      <c r="Y15" s="7"/>
      <c r="Z15" s="7"/>
      <c r="AA15" s="7"/>
    </row>
    <row r="16" spans="1:27" ht="15" thickBot="1" x14ac:dyDescent="0.35">
      <c r="A16" s="7"/>
      <c r="B16" s="7"/>
      <c r="C16" s="12" t="s">
        <v>11</v>
      </c>
      <c r="D16" s="13">
        <f t="shared" si="2"/>
        <v>330.09255597337824</v>
      </c>
      <c r="E16" s="13">
        <f t="shared" si="2"/>
        <v>1221.9772504783714</v>
      </c>
      <c r="F16" s="13">
        <f t="shared" si="2"/>
        <v>432.42993325106136</v>
      </c>
      <c r="G16" s="14">
        <f t="shared" si="2"/>
        <v>1600.8223490544101</v>
      </c>
      <c r="H16" s="7"/>
      <c r="I16" s="7"/>
      <c r="J16" s="134" t="s">
        <v>37</v>
      </c>
      <c r="K16" s="127"/>
      <c r="L16" s="127">
        <f>L13/2</f>
        <v>65</v>
      </c>
      <c r="M16" s="127">
        <f>M13/2</f>
        <v>240.625</v>
      </c>
      <c r="N16" s="127">
        <f>N13/2</f>
        <v>65</v>
      </c>
      <c r="O16" s="128">
        <f>O13/2</f>
        <v>240.625</v>
      </c>
      <c r="P16" s="7"/>
      <c r="Q16" s="7"/>
      <c r="R16" s="7"/>
      <c r="S16" s="7"/>
      <c r="T16" s="7"/>
      <c r="U16" s="7"/>
      <c r="V16" s="7"/>
      <c r="W16" s="24"/>
      <c r="X16" s="7"/>
      <c r="Y16" s="7"/>
      <c r="Z16" s="7"/>
      <c r="AA16" s="7"/>
    </row>
    <row r="17" spans="1:27" ht="15" thickBot="1" x14ac:dyDescent="0.35">
      <c r="A17" s="7"/>
      <c r="B17" s="7"/>
      <c r="C17" s="15" t="s">
        <v>23</v>
      </c>
      <c r="D17" s="16">
        <f>SUM(D5:D16)</f>
        <v>3806.0880000000002</v>
      </c>
      <c r="E17" s="16">
        <f>SUM(E5:E16)</f>
        <v>14089.845000000001</v>
      </c>
      <c r="F17" s="16">
        <f>SUM(F5:F16)</f>
        <v>4945.771999999999</v>
      </c>
      <c r="G17" s="17">
        <f>SUM(G5:G16)</f>
        <v>18308.867500000004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4"/>
      <c r="X17" s="7"/>
      <c r="Y17" s="7"/>
      <c r="Z17" s="7"/>
      <c r="AA17" s="7"/>
    </row>
    <row r="18" spans="1:27" x14ac:dyDescent="0.3">
      <c r="A18" s="7"/>
      <c r="B18" s="7"/>
      <c r="C18" s="25"/>
      <c r="D18" s="7"/>
      <c r="E18" s="7"/>
      <c r="F18" s="7"/>
      <c r="G18" s="7"/>
      <c r="H18" s="7"/>
      <c r="I18" s="7"/>
      <c r="J18" s="133"/>
      <c r="K18" s="125" t="s">
        <v>0</v>
      </c>
      <c r="L18" s="125" t="s">
        <v>1</v>
      </c>
      <c r="M18" s="125" t="s">
        <v>2</v>
      </c>
      <c r="N18" s="125" t="s">
        <v>3</v>
      </c>
      <c r="O18" s="125" t="s">
        <v>4</v>
      </c>
      <c r="P18" s="125" t="s">
        <v>5</v>
      </c>
      <c r="Q18" s="125" t="s">
        <v>6</v>
      </c>
      <c r="R18" s="125" t="s">
        <v>7</v>
      </c>
      <c r="S18" s="125" t="s">
        <v>8</v>
      </c>
      <c r="T18" s="125" t="s">
        <v>9</v>
      </c>
      <c r="U18" s="125" t="s">
        <v>10</v>
      </c>
      <c r="V18" s="125" t="s">
        <v>11</v>
      </c>
      <c r="W18" s="126"/>
      <c r="X18" s="7"/>
      <c r="Y18" s="7"/>
      <c r="Z18" s="7"/>
      <c r="AA18" s="7"/>
    </row>
    <row r="19" spans="1:27" x14ac:dyDescent="0.3">
      <c r="A19" s="7"/>
      <c r="B19" s="7"/>
      <c r="C19" s="25"/>
      <c r="D19" s="7"/>
      <c r="E19" s="7"/>
      <c r="F19" s="7"/>
      <c r="G19" s="7"/>
      <c r="H19" s="7"/>
      <c r="I19" s="7"/>
      <c r="J19" s="132" t="s">
        <v>32</v>
      </c>
      <c r="K19" s="161">
        <v>12.4</v>
      </c>
      <c r="L19" s="161">
        <v>10.199999999999999</v>
      </c>
      <c r="M19" s="161">
        <v>9.1999999999999993</v>
      </c>
      <c r="N19" s="161">
        <v>7.1</v>
      </c>
      <c r="O19" s="161">
        <v>5.9</v>
      </c>
      <c r="P19" s="161">
        <v>4.4000000000000004</v>
      </c>
      <c r="Q19" s="161">
        <v>4.0999999999999996</v>
      </c>
      <c r="R19" s="161">
        <v>4</v>
      </c>
      <c r="S19" s="161">
        <v>6.8</v>
      </c>
      <c r="T19" s="161">
        <v>10.5</v>
      </c>
      <c r="U19" s="161">
        <v>12.4</v>
      </c>
      <c r="V19" s="161">
        <v>13.2</v>
      </c>
      <c r="W19" s="175">
        <f>SUM(K19:V19)</f>
        <v>100.2</v>
      </c>
      <c r="X19" s="7"/>
      <c r="Y19" s="7"/>
      <c r="Z19" s="7"/>
      <c r="AA19" s="7"/>
    </row>
    <row r="20" spans="1:27" ht="15" thickBot="1" x14ac:dyDescent="0.35">
      <c r="A20" s="7"/>
      <c r="B20" s="7"/>
      <c r="C20" s="25"/>
      <c r="D20" s="7"/>
      <c r="E20" s="7"/>
      <c r="F20" s="7"/>
      <c r="G20" s="7"/>
      <c r="H20" s="7"/>
      <c r="I20" s="7"/>
      <c r="J20" s="134" t="s">
        <v>36</v>
      </c>
      <c r="K20" s="127">
        <f t="shared" ref="K20:V20" si="3">K19/$L3</f>
        <v>0.124</v>
      </c>
      <c r="L20" s="127">
        <f t="shared" si="3"/>
        <v>0.10199999999999999</v>
      </c>
      <c r="M20" s="127">
        <f t="shared" si="3"/>
        <v>9.1999999999999998E-2</v>
      </c>
      <c r="N20" s="127">
        <f t="shared" si="3"/>
        <v>7.0999999999999994E-2</v>
      </c>
      <c r="O20" s="127">
        <f t="shared" si="3"/>
        <v>5.9000000000000004E-2</v>
      </c>
      <c r="P20" s="127">
        <f t="shared" si="3"/>
        <v>4.4000000000000004E-2</v>
      </c>
      <c r="Q20" s="127">
        <f t="shared" si="3"/>
        <v>4.0999999999999995E-2</v>
      </c>
      <c r="R20" s="127">
        <f t="shared" si="3"/>
        <v>0.04</v>
      </c>
      <c r="S20" s="127">
        <f t="shared" si="3"/>
        <v>6.8000000000000005E-2</v>
      </c>
      <c r="T20" s="127">
        <f t="shared" si="3"/>
        <v>0.105</v>
      </c>
      <c r="U20" s="127">
        <f t="shared" si="3"/>
        <v>0.124</v>
      </c>
      <c r="V20" s="127">
        <f t="shared" si="3"/>
        <v>0.13200000000000001</v>
      </c>
      <c r="W20" s="176">
        <f>SUM(K20:V20)</f>
        <v>1.002</v>
      </c>
      <c r="X20" s="7"/>
      <c r="Y20" s="7"/>
      <c r="Z20" s="7"/>
      <c r="AA20" s="7"/>
    </row>
    <row r="21" spans="1:27" ht="15" thickBot="1" x14ac:dyDescent="0.35">
      <c r="A21" s="7"/>
      <c r="B21" s="7"/>
      <c r="C21" s="2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4"/>
      <c r="X21" s="7"/>
      <c r="Y21" s="7"/>
      <c r="Z21" s="7"/>
      <c r="AA21" s="7"/>
    </row>
    <row r="22" spans="1:27" x14ac:dyDescent="0.3">
      <c r="A22" s="7"/>
      <c r="B22" s="7"/>
      <c r="C22" s="25"/>
      <c r="D22" s="7"/>
      <c r="E22" s="7"/>
      <c r="F22" s="7"/>
      <c r="G22" s="7"/>
      <c r="H22" s="7"/>
      <c r="I22" s="7"/>
      <c r="J22" s="56" t="s">
        <v>38</v>
      </c>
      <c r="K22" s="125" t="s">
        <v>32</v>
      </c>
      <c r="L22" s="125" t="s">
        <v>36</v>
      </c>
      <c r="M22" s="125" t="s">
        <v>41</v>
      </c>
      <c r="N22" s="125"/>
      <c r="O22" s="126"/>
      <c r="P22" s="7"/>
      <c r="Q22" s="7"/>
      <c r="R22" s="7"/>
      <c r="S22" s="7"/>
      <c r="T22" s="7"/>
      <c r="U22" s="7"/>
      <c r="V22" s="7"/>
      <c r="W22" s="24"/>
      <c r="X22" s="7"/>
      <c r="Y22" s="7"/>
      <c r="Z22" s="7"/>
      <c r="AA22" s="7"/>
    </row>
    <row r="23" spans="1:27" x14ac:dyDescent="0.3">
      <c r="A23" s="7"/>
      <c r="B23" s="7"/>
      <c r="C23" s="25"/>
      <c r="D23" s="7"/>
      <c r="E23" s="7"/>
      <c r="F23" s="7"/>
      <c r="G23" s="7"/>
      <c r="H23" s="7"/>
      <c r="I23" s="7"/>
      <c r="J23" s="132" t="s">
        <v>0</v>
      </c>
      <c r="K23" s="161">
        <v>12.4</v>
      </c>
      <c r="L23" s="122">
        <f>K23/$L3</f>
        <v>0.124</v>
      </c>
      <c r="M23" s="122">
        <f t="shared" ref="M23:M35" si="4">L23/1.002</f>
        <v>0.12375249500998003</v>
      </c>
      <c r="N23" s="122"/>
      <c r="O23" s="123"/>
      <c r="P23" s="7"/>
      <c r="Q23" s="7"/>
      <c r="R23" s="7"/>
      <c r="S23" s="7"/>
      <c r="T23" s="7"/>
      <c r="U23" s="7"/>
      <c r="V23" s="7"/>
      <c r="W23" s="24"/>
      <c r="X23" s="7"/>
      <c r="Y23" s="7"/>
      <c r="Z23" s="7"/>
      <c r="AA23" s="7"/>
    </row>
    <row r="24" spans="1:27" x14ac:dyDescent="0.3">
      <c r="A24" s="7"/>
      <c r="B24" s="7"/>
      <c r="C24" s="25"/>
      <c r="D24" s="7"/>
      <c r="E24" s="7"/>
      <c r="F24" s="7"/>
      <c r="G24" s="7"/>
      <c r="H24" s="7"/>
      <c r="I24" s="7"/>
      <c r="J24" s="132" t="s">
        <v>1</v>
      </c>
      <c r="K24" s="161">
        <v>10.199999999999999</v>
      </c>
      <c r="L24" s="122">
        <f>K24/$L3</f>
        <v>0.10199999999999999</v>
      </c>
      <c r="M24" s="122">
        <f t="shared" si="4"/>
        <v>0.10179640718562874</v>
      </c>
      <c r="N24" s="122"/>
      <c r="O24" s="123"/>
      <c r="P24" s="7"/>
      <c r="Q24" s="7"/>
      <c r="R24" s="7"/>
      <c r="S24" s="7"/>
      <c r="T24" s="7"/>
      <c r="U24" s="7"/>
      <c r="V24" s="7"/>
      <c r="W24" s="24"/>
      <c r="X24" s="7"/>
      <c r="Y24" s="7"/>
      <c r="Z24" s="7"/>
      <c r="AA24" s="7"/>
    </row>
    <row r="25" spans="1:27" x14ac:dyDescent="0.3">
      <c r="A25" s="7"/>
      <c r="B25" s="7"/>
      <c r="C25" s="25"/>
      <c r="D25" s="7"/>
      <c r="E25" s="7"/>
      <c r="F25" s="7"/>
      <c r="G25" s="7"/>
      <c r="H25" s="7"/>
      <c r="I25" s="7"/>
      <c r="J25" s="132" t="s">
        <v>2</v>
      </c>
      <c r="K25" s="161">
        <v>9.1999999999999993</v>
      </c>
      <c r="L25" s="122">
        <f>K25/$L3</f>
        <v>9.1999999999999998E-2</v>
      </c>
      <c r="M25" s="122">
        <f t="shared" si="4"/>
        <v>9.1816367265469059E-2</v>
      </c>
      <c r="N25" s="122"/>
      <c r="O25" s="123"/>
      <c r="P25" s="7"/>
      <c r="Q25" s="7"/>
      <c r="R25" s="7"/>
      <c r="S25" s="7"/>
      <c r="T25" s="7"/>
      <c r="U25" s="7"/>
      <c r="V25" s="7"/>
      <c r="W25" s="24"/>
      <c r="X25" s="7"/>
      <c r="Y25" s="7"/>
      <c r="Z25" s="7"/>
      <c r="AA25" s="7"/>
    </row>
    <row r="26" spans="1:27" x14ac:dyDescent="0.3">
      <c r="A26" s="7"/>
      <c r="B26" s="7"/>
      <c r="C26" s="25"/>
      <c r="D26" s="7"/>
      <c r="E26" s="7"/>
      <c r="F26" s="7"/>
      <c r="G26" s="7"/>
      <c r="H26" s="7"/>
      <c r="I26" s="7"/>
      <c r="J26" s="132" t="s">
        <v>3</v>
      </c>
      <c r="K26" s="161">
        <v>7.1</v>
      </c>
      <c r="L26" s="122">
        <f>K26/$L3</f>
        <v>7.0999999999999994E-2</v>
      </c>
      <c r="M26" s="122">
        <f t="shared" si="4"/>
        <v>7.0858283433133731E-2</v>
      </c>
      <c r="N26" s="122"/>
      <c r="O26" s="123"/>
      <c r="P26" s="7"/>
      <c r="Q26" s="7"/>
      <c r="R26" s="7"/>
      <c r="S26" s="7"/>
      <c r="T26" s="7"/>
      <c r="U26" s="7"/>
      <c r="V26" s="7"/>
      <c r="W26" s="24"/>
      <c r="X26" s="7"/>
      <c r="Y26" s="7"/>
      <c r="Z26" s="7"/>
      <c r="AA26" s="7"/>
    </row>
    <row r="27" spans="1:27" x14ac:dyDescent="0.3">
      <c r="A27" s="7"/>
      <c r="B27" s="7"/>
      <c r="C27" s="25"/>
      <c r="D27" s="7"/>
      <c r="E27" s="7"/>
      <c r="F27" s="7"/>
      <c r="G27" s="7"/>
      <c r="H27" s="7"/>
      <c r="I27" s="7"/>
      <c r="J27" s="132" t="s">
        <v>4</v>
      </c>
      <c r="K27" s="161">
        <v>5.9</v>
      </c>
      <c r="L27" s="122">
        <f>K27/$L3</f>
        <v>5.9000000000000004E-2</v>
      </c>
      <c r="M27" s="122">
        <f t="shared" si="4"/>
        <v>5.8882235528942117E-2</v>
      </c>
      <c r="N27" s="122"/>
      <c r="O27" s="123"/>
      <c r="P27" s="7"/>
      <c r="Q27" s="7"/>
      <c r="R27" s="7"/>
      <c r="S27" s="7"/>
      <c r="T27" s="7"/>
      <c r="U27" s="7"/>
      <c r="V27" s="7"/>
      <c r="W27" s="24"/>
      <c r="X27" s="7"/>
      <c r="Y27" s="7"/>
      <c r="Z27" s="7"/>
      <c r="AA27" s="7"/>
    </row>
    <row r="28" spans="1:27" x14ac:dyDescent="0.3">
      <c r="A28" s="7"/>
      <c r="B28" s="7"/>
      <c r="C28" s="25"/>
      <c r="D28" s="7"/>
      <c r="E28" s="7"/>
      <c r="F28" s="7"/>
      <c r="G28" s="7"/>
      <c r="H28" s="7"/>
      <c r="I28" s="7"/>
      <c r="J28" s="132" t="s">
        <v>5</v>
      </c>
      <c r="K28" s="161">
        <v>4.4000000000000004</v>
      </c>
      <c r="L28" s="122">
        <f>K28/$L3</f>
        <v>4.4000000000000004E-2</v>
      </c>
      <c r="M28" s="122">
        <f t="shared" si="4"/>
        <v>4.3912175648702596E-2</v>
      </c>
      <c r="N28" s="122"/>
      <c r="O28" s="123"/>
      <c r="P28" s="7"/>
      <c r="Q28" s="7"/>
      <c r="R28" s="7"/>
      <c r="S28" s="7"/>
      <c r="T28" s="7"/>
      <c r="U28" s="7"/>
      <c r="V28" s="7"/>
      <c r="W28" s="24"/>
      <c r="X28" s="7"/>
      <c r="Y28" s="7"/>
      <c r="Z28" s="7"/>
      <c r="AA28" s="7"/>
    </row>
    <row r="29" spans="1:27" x14ac:dyDescent="0.3">
      <c r="A29" s="7"/>
      <c r="B29" s="7"/>
      <c r="C29" s="25"/>
      <c r="D29" s="7"/>
      <c r="E29" s="7"/>
      <c r="F29" s="7"/>
      <c r="G29" s="7"/>
      <c r="H29" s="7"/>
      <c r="I29" s="7"/>
      <c r="J29" s="132" t="s">
        <v>6</v>
      </c>
      <c r="K29" s="161">
        <v>4.0999999999999996</v>
      </c>
      <c r="L29" s="122">
        <f>K29/$L3</f>
        <v>4.0999999999999995E-2</v>
      </c>
      <c r="M29" s="122">
        <f t="shared" si="4"/>
        <v>4.0918163672654682E-2</v>
      </c>
      <c r="N29" s="122"/>
      <c r="O29" s="123"/>
      <c r="P29" s="7"/>
      <c r="Q29" s="7"/>
      <c r="R29" s="7"/>
      <c r="S29" s="7"/>
      <c r="T29" s="7"/>
      <c r="U29" s="7"/>
      <c r="V29" s="7"/>
      <c r="W29" s="24"/>
      <c r="X29" s="7"/>
      <c r="Y29" s="7"/>
      <c r="Z29" s="7"/>
      <c r="AA29" s="7"/>
    </row>
    <row r="30" spans="1:27" x14ac:dyDescent="0.3">
      <c r="A30" s="7"/>
      <c r="B30" s="7"/>
      <c r="C30" s="25"/>
      <c r="D30" s="7"/>
      <c r="E30" s="7"/>
      <c r="F30" s="7"/>
      <c r="G30" s="7"/>
      <c r="H30" s="7"/>
      <c r="I30" s="7"/>
      <c r="J30" s="132" t="s">
        <v>7</v>
      </c>
      <c r="K30" s="161">
        <v>4</v>
      </c>
      <c r="L30" s="122">
        <f>K30/$L3</f>
        <v>0.04</v>
      </c>
      <c r="M30" s="122">
        <f t="shared" si="4"/>
        <v>3.9920159680638723E-2</v>
      </c>
      <c r="N30" s="122"/>
      <c r="O30" s="123"/>
      <c r="P30" s="7"/>
      <c r="Q30" s="7"/>
      <c r="R30" s="7"/>
      <c r="S30" s="7"/>
      <c r="T30" s="7"/>
      <c r="U30" s="7"/>
      <c r="V30" s="7"/>
      <c r="W30" s="24"/>
      <c r="X30" s="7"/>
      <c r="Y30" s="7"/>
      <c r="Z30" s="7"/>
      <c r="AA30" s="7"/>
    </row>
    <row r="31" spans="1:27" x14ac:dyDescent="0.3">
      <c r="A31" s="7"/>
      <c r="B31" s="7"/>
      <c r="C31" s="25"/>
      <c r="D31" s="7"/>
      <c r="E31" s="7"/>
      <c r="F31" s="7"/>
      <c r="G31" s="7"/>
      <c r="H31" s="7"/>
      <c r="I31" s="7"/>
      <c r="J31" s="132" t="s">
        <v>8</v>
      </c>
      <c r="K31" s="161">
        <v>6.8</v>
      </c>
      <c r="L31" s="122">
        <f>K31/$L3</f>
        <v>6.8000000000000005E-2</v>
      </c>
      <c r="M31" s="122">
        <f t="shared" si="4"/>
        <v>6.7864271457085831E-2</v>
      </c>
      <c r="N31" s="122"/>
      <c r="O31" s="123"/>
      <c r="P31" s="7"/>
      <c r="Q31" s="7"/>
      <c r="R31" s="7"/>
      <c r="S31" s="7"/>
      <c r="T31" s="7"/>
      <c r="U31" s="7"/>
      <c r="V31" s="7"/>
      <c r="W31" s="24"/>
      <c r="X31" s="7"/>
      <c r="Y31" s="7"/>
      <c r="Z31" s="7"/>
      <c r="AA31" s="7"/>
    </row>
    <row r="32" spans="1:27" x14ac:dyDescent="0.3">
      <c r="A32" s="7"/>
      <c r="B32" s="7"/>
      <c r="C32" s="25"/>
      <c r="D32" s="7"/>
      <c r="E32" s="7"/>
      <c r="F32" s="7"/>
      <c r="G32" s="7"/>
      <c r="H32" s="7"/>
      <c r="I32" s="7"/>
      <c r="J32" s="132" t="s">
        <v>9</v>
      </c>
      <c r="K32" s="161">
        <v>10.5</v>
      </c>
      <c r="L32" s="122">
        <f>K32/$L3</f>
        <v>0.105</v>
      </c>
      <c r="M32" s="122">
        <f t="shared" si="4"/>
        <v>0.10479041916167664</v>
      </c>
      <c r="N32" s="122"/>
      <c r="O32" s="123"/>
      <c r="P32" s="7"/>
      <c r="Q32" s="7"/>
      <c r="R32" s="7"/>
      <c r="S32" s="7"/>
      <c r="T32" s="7"/>
      <c r="U32" s="7"/>
      <c r="V32" s="7"/>
      <c r="W32" s="24"/>
      <c r="X32" s="7"/>
      <c r="Y32" s="7"/>
      <c r="Z32" s="7"/>
      <c r="AA32" s="7"/>
    </row>
    <row r="33" spans="1:27" x14ac:dyDescent="0.3">
      <c r="A33" s="7"/>
      <c r="B33" s="7"/>
      <c r="C33" s="25"/>
      <c r="D33" s="7"/>
      <c r="E33" s="7"/>
      <c r="F33" s="7"/>
      <c r="G33" s="7"/>
      <c r="H33" s="7"/>
      <c r="I33" s="7"/>
      <c r="J33" s="132" t="s">
        <v>10</v>
      </c>
      <c r="K33" s="161">
        <v>12.4</v>
      </c>
      <c r="L33" s="122">
        <f>K33/$L3</f>
        <v>0.124</v>
      </c>
      <c r="M33" s="122">
        <f t="shared" si="4"/>
        <v>0.12375249500998003</v>
      </c>
      <c r="N33" s="122"/>
      <c r="O33" s="123"/>
      <c r="P33" s="7"/>
      <c r="Q33" s="7"/>
      <c r="R33" s="7"/>
      <c r="S33" s="7"/>
      <c r="T33" s="7"/>
      <c r="U33" s="7"/>
      <c r="V33" s="7"/>
      <c r="W33" s="24"/>
      <c r="X33" s="7"/>
      <c r="Y33" s="7"/>
      <c r="Z33" s="7"/>
      <c r="AA33" s="7"/>
    </row>
    <row r="34" spans="1:27" x14ac:dyDescent="0.3">
      <c r="A34" s="7"/>
      <c r="B34" s="7"/>
      <c r="C34" s="25"/>
      <c r="D34" s="7"/>
      <c r="E34" s="7"/>
      <c r="F34" s="7"/>
      <c r="G34" s="7"/>
      <c r="H34" s="7"/>
      <c r="I34" s="7"/>
      <c r="J34" s="132" t="s">
        <v>11</v>
      </c>
      <c r="K34" s="161">
        <v>13.2</v>
      </c>
      <c r="L34" s="122">
        <f>K34/$L3</f>
        <v>0.13200000000000001</v>
      </c>
      <c r="M34" s="122">
        <f t="shared" si="4"/>
        <v>0.1317365269461078</v>
      </c>
      <c r="N34" s="122"/>
      <c r="O34" s="123"/>
      <c r="P34" s="7"/>
      <c r="Q34" s="7"/>
      <c r="R34" s="7"/>
      <c r="S34" s="7"/>
      <c r="T34" s="7"/>
      <c r="U34" s="7"/>
      <c r="V34" s="7"/>
      <c r="W34" s="24"/>
      <c r="X34" s="7"/>
      <c r="Y34" s="7"/>
      <c r="Z34" s="7"/>
      <c r="AA34" s="7"/>
    </row>
    <row r="35" spans="1:27" ht="15" thickBot="1" x14ac:dyDescent="0.35">
      <c r="A35" s="7"/>
      <c r="B35" s="7"/>
      <c r="C35" s="26"/>
      <c r="D35" s="27"/>
      <c r="E35" s="27"/>
      <c r="F35" s="27"/>
      <c r="G35" s="27"/>
      <c r="H35" s="27"/>
      <c r="I35" s="27"/>
      <c r="J35" s="134"/>
      <c r="K35" s="177">
        <f>SUM(K23:K34)</f>
        <v>100.2</v>
      </c>
      <c r="L35" s="130">
        <f>SUM(L23:L34)</f>
        <v>1.002</v>
      </c>
      <c r="M35" s="178">
        <f t="shared" si="4"/>
        <v>1</v>
      </c>
      <c r="N35" s="127"/>
      <c r="O35" s="128"/>
      <c r="P35" s="27"/>
      <c r="Q35" s="27"/>
      <c r="R35" s="27"/>
      <c r="S35" s="27"/>
      <c r="T35" s="27"/>
      <c r="U35" s="27"/>
      <c r="V35" s="27"/>
      <c r="W35" s="28"/>
      <c r="X35" s="7"/>
      <c r="Y35" s="7"/>
      <c r="Z35" s="7"/>
      <c r="AA35" s="7"/>
    </row>
    <row r="36" spans="1:27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</sheetData>
  <mergeCells count="2">
    <mergeCell ref="Q4:T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5B72-1420-4D96-8A19-3E4297CEF37B}">
  <dimension ref="A1:P24"/>
  <sheetViews>
    <sheetView workbookViewId="0">
      <selection activeCell="H13" sqref="H13"/>
    </sheetView>
  </sheetViews>
  <sheetFormatPr defaultRowHeight="14.4" x14ac:dyDescent="0.3"/>
  <cols>
    <col min="4" max="4" width="12" bestFit="1" customWidth="1"/>
  </cols>
  <sheetData>
    <row r="1" spans="1:16" ht="15" thickBot="1" x14ac:dyDescent="0.35">
      <c r="A1" s="7"/>
      <c r="B1" s="7"/>
      <c r="C1" s="29"/>
      <c r="D1" s="30"/>
      <c r="E1" s="30"/>
      <c r="F1" s="30"/>
      <c r="G1" s="30"/>
      <c r="H1" s="30"/>
      <c r="I1" s="133" t="s">
        <v>274</v>
      </c>
      <c r="J1" s="125"/>
      <c r="K1" s="125"/>
      <c r="L1" s="125"/>
      <c r="M1" s="125"/>
      <c r="N1" s="126"/>
      <c r="O1" s="7"/>
      <c r="P1" s="7"/>
    </row>
    <row r="2" spans="1:16" ht="15" thickBot="1" x14ac:dyDescent="0.35">
      <c r="A2" s="7"/>
      <c r="B2" s="7"/>
      <c r="C2" s="179" t="s">
        <v>42</v>
      </c>
      <c r="D2" s="125"/>
      <c r="E2" s="125"/>
      <c r="F2" s="126"/>
      <c r="G2" s="7"/>
      <c r="H2" s="7"/>
      <c r="I2" s="134" t="s">
        <v>275</v>
      </c>
      <c r="J2" s="127"/>
      <c r="K2" s="127"/>
      <c r="L2" s="127"/>
      <c r="M2" s="127"/>
      <c r="N2" s="128"/>
      <c r="O2" s="7"/>
      <c r="P2" s="7"/>
    </row>
    <row r="3" spans="1:16" x14ac:dyDescent="0.3">
      <c r="A3" s="7"/>
      <c r="B3" s="7"/>
      <c r="C3" s="132" t="s">
        <v>100</v>
      </c>
      <c r="D3" s="122"/>
      <c r="E3" s="122"/>
      <c r="F3" s="123" t="s">
        <v>25</v>
      </c>
      <c r="G3" s="7"/>
      <c r="H3" s="7"/>
      <c r="I3" s="7"/>
      <c r="J3" s="7"/>
      <c r="K3" s="7"/>
      <c r="L3" s="7"/>
      <c r="M3" s="7"/>
      <c r="N3" s="24"/>
      <c r="O3" s="7"/>
      <c r="P3" s="7"/>
    </row>
    <row r="4" spans="1:16" x14ac:dyDescent="0.3">
      <c r="A4" s="7"/>
      <c r="B4" s="7"/>
      <c r="C4" s="132" t="s">
        <v>99</v>
      </c>
      <c r="D4" s="122">
        <v>900</v>
      </c>
      <c r="E4" s="122"/>
      <c r="F4" s="123">
        <v>200</v>
      </c>
      <c r="G4" s="7"/>
      <c r="H4" s="7"/>
      <c r="I4" s="7"/>
      <c r="J4" s="7"/>
      <c r="K4" s="7"/>
      <c r="L4" s="7"/>
      <c r="M4" s="7"/>
      <c r="N4" s="24"/>
      <c r="O4" s="7"/>
      <c r="P4" s="7"/>
    </row>
    <row r="5" spans="1:16" x14ac:dyDescent="0.3">
      <c r="A5" s="7"/>
      <c r="B5" s="7"/>
      <c r="C5" s="132" t="s">
        <v>101</v>
      </c>
      <c r="D5" s="122">
        <v>5</v>
      </c>
      <c r="E5" s="122"/>
      <c r="F5" s="123">
        <v>3</v>
      </c>
      <c r="G5" s="7"/>
      <c r="H5" s="7"/>
      <c r="I5" s="7"/>
      <c r="J5" s="7"/>
      <c r="K5" s="7"/>
      <c r="L5" s="7"/>
      <c r="M5" s="7"/>
      <c r="N5" s="24"/>
      <c r="O5" s="7"/>
      <c r="P5" s="7"/>
    </row>
    <row r="6" spans="1:16" x14ac:dyDescent="0.3">
      <c r="A6" s="7"/>
      <c r="B6" s="7"/>
      <c r="C6" s="132" t="s">
        <v>102</v>
      </c>
      <c r="D6" s="122">
        <f>D4/D5</f>
        <v>180</v>
      </c>
      <c r="E6" s="122"/>
      <c r="F6" s="123">
        <f>F4/F5</f>
        <v>66.666666666666671</v>
      </c>
      <c r="G6" s="7"/>
      <c r="H6" s="7"/>
      <c r="I6" s="7"/>
      <c r="J6" s="7"/>
      <c r="K6" s="7"/>
      <c r="L6" s="7"/>
      <c r="M6" s="7"/>
      <c r="N6" s="24"/>
      <c r="O6" s="7"/>
      <c r="P6" s="7"/>
    </row>
    <row r="7" spans="1:16" x14ac:dyDescent="0.3">
      <c r="A7" s="7"/>
      <c r="B7" s="7"/>
      <c r="C7" s="132"/>
      <c r="D7" s="122"/>
      <c r="E7" s="122"/>
      <c r="F7" s="123"/>
      <c r="G7" s="7"/>
      <c r="H7" s="7"/>
      <c r="I7" s="7"/>
      <c r="J7" s="7"/>
      <c r="K7" s="7"/>
      <c r="L7" s="7"/>
      <c r="M7" s="7"/>
      <c r="N7" s="24"/>
      <c r="O7" s="7"/>
      <c r="P7" s="7"/>
    </row>
    <row r="8" spans="1:16" x14ac:dyDescent="0.3">
      <c r="A8" s="7"/>
      <c r="B8" s="7"/>
      <c r="C8" s="132" t="s">
        <v>103</v>
      </c>
      <c r="D8" s="122">
        <f>D6^0.5</f>
        <v>13.416407864998739</v>
      </c>
      <c r="E8" s="122"/>
      <c r="F8" s="123">
        <f>F6^0.5</f>
        <v>8.1649658092772608</v>
      </c>
      <c r="G8" s="7"/>
      <c r="H8" s="7"/>
      <c r="I8" s="7"/>
      <c r="J8" s="7"/>
      <c r="K8" s="7"/>
      <c r="L8" s="7"/>
      <c r="M8" s="7"/>
      <c r="N8" s="24"/>
      <c r="O8" s="7"/>
      <c r="P8" s="7"/>
    </row>
    <row r="9" spans="1:16" x14ac:dyDescent="0.3">
      <c r="A9" s="7"/>
      <c r="B9" s="7"/>
      <c r="C9" s="132" t="s">
        <v>104</v>
      </c>
      <c r="D9" s="122">
        <v>35</v>
      </c>
      <c r="E9" s="122"/>
      <c r="F9" s="123">
        <v>35</v>
      </c>
      <c r="G9" s="7"/>
      <c r="H9" s="7"/>
      <c r="I9" s="7"/>
      <c r="J9" s="7"/>
      <c r="K9" s="7"/>
      <c r="L9" s="7"/>
      <c r="M9" s="7"/>
      <c r="N9" s="24"/>
      <c r="O9" s="7"/>
      <c r="P9" s="7"/>
    </row>
    <row r="10" spans="1:16" x14ac:dyDescent="0.3">
      <c r="A10" s="7"/>
      <c r="B10" s="7"/>
      <c r="C10" s="132" t="s">
        <v>108</v>
      </c>
      <c r="D10" s="122">
        <v>0.70020753821000004</v>
      </c>
      <c r="E10" s="122"/>
      <c r="F10" s="123">
        <f>D10</f>
        <v>0.70020753821000004</v>
      </c>
      <c r="G10" s="7"/>
      <c r="H10" s="7"/>
      <c r="I10" s="7"/>
      <c r="J10" s="7"/>
      <c r="K10" s="7"/>
      <c r="L10" s="7"/>
      <c r="M10" s="7"/>
      <c r="N10" s="24"/>
      <c r="O10" s="7"/>
      <c r="P10" s="7"/>
    </row>
    <row r="11" spans="1:16" x14ac:dyDescent="0.3">
      <c r="A11" s="7"/>
      <c r="B11" s="7"/>
      <c r="C11" s="132" t="s">
        <v>107</v>
      </c>
      <c r="D11" s="122">
        <f>D10*D8</f>
        <v>9.3942699227720485</v>
      </c>
      <c r="E11" s="122"/>
      <c r="F11" s="123">
        <f>F10*F8</f>
        <v>5.7171706088828511</v>
      </c>
      <c r="G11" s="7"/>
      <c r="H11" s="7"/>
      <c r="I11" s="7"/>
      <c r="J11" s="7"/>
      <c r="K11" s="7"/>
      <c r="L11" s="7"/>
      <c r="M11" s="7"/>
      <c r="N11" s="24"/>
      <c r="O11" s="7"/>
      <c r="P11" s="7"/>
    </row>
    <row r="12" spans="1:16" x14ac:dyDescent="0.3">
      <c r="A12" s="7"/>
      <c r="B12" s="7"/>
      <c r="C12" s="132" t="s">
        <v>105</v>
      </c>
      <c r="D12" s="122">
        <f>(D11^2+D8^2)^0.5</f>
        <v>16.378409794052033</v>
      </c>
      <c r="E12" s="122"/>
      <c r="F12" s="123">
        <f>(F11^2+F8^2)^0.5</f>
        <v>9.9675827780731563</v>
      </c>
      <c r="G12" s="7"/>
      <c r="H12" s="7"/>
      <c r="I12" s="7"/>
      <c r="J12" s="7"/>
      <c r="K12" s="7"/>
      <c r="L12" s="7"/>
      <c r="M12" s="7"/>
      <c r="N12" s="24"/>
      <c r="O12" s="7"/>
      <c r="P12" s="7"/>
    </row>
    <row r="13" spans="1:16" ht="15" thickBot="1" x14ac:dyDescent="0.35">
      <c r="A13" s="7"/>
      <c r="B13" s="7"/>
      <c r="C13" s="134" t="s">
        <v>106</v>
      </c>
      <c r="D13" s="127">
        <f>D12*D8</f>
        <v>219.73942597709205</v>
      </c>
      <c r="E13" s="127"/>
      <c r="F13" s="128">
        <f>F12*F8</f>
        <v>81.384972584108169</v>
      </c>
      <c r="G13" s="7"/>
      <c r="H13" s="7"/>
      <c r="I13" s="7"/>
      <c r="J13" s="7"/>
      <c r="K13" s="7"/>
      <c r="L13" s="7"/>
      <c r="M13" s="7"/>
      <c r="N13" s="24"/>
      <c r="O13" s="7"/>
      <c r="P13" s="7"/>
    </row>
    <row r="14" spans="1:16" x14ac:dyDescent="0.3">
      <c r="A14" s="7"/>
      <c r="B14" s="7"/>
      <c r="C14" s="25"/>
      <c r="D14" s="7"/>
      <c r="E14" s="7"/>
      <c r="F14" s="7"/>
      <c r="G14" s="7"/>
      <c r="H14" s="7"/>
      <c r="I14" s="7"/>
      <c r="J14" s="7"/>
      <c r="K14" s="7"/>
      <c r="L14" s="7"/>
      <c r="M14" s="7"/>
      <c r="N14" s="24"/>
      <c r="O14" s="7"/>
      <c r="P14" s="7"/>
    </row>
    <row r="15" spans="1:16" ht="15" thickBot="1" x14ac:dyDescent="0.35">
      <c r="A15" s="7"/>
      <c r="B15" s="7"/>
      <c r="C15" s="25"/>
      <c r="D15" s="7"/>
      <c r="E15" s="7"/>
      <c r="F15" s="7"/>
      <c r="G15" s="7"/>
      <c r="H15" s="7"/>
      <c r="I15" s="7"/>
      <c r="J15" s="7"/>
      <c r="K15" s="7"/>
      <c r="L15" s="7"/>
      <c r="M15" s="7"/>
      <c r="N15" s="24"/>
      <c r="O15" s="7"/>
      <c r="P15" s="7"/>
    </row>
    <row r="16" spans="1:16" x14ac:dyDescent="0.3">
      <c r="A16" s="7"/>
      <c r="B16" s="7"/>
      <c r="C16" s="179" t="s">
        <v>138</v>
      </c>
      <c r="D16" s="125"/>
      <c r="E16" s="125"/>
      <c r="F16" s="126"/>
      <c r="G16" s="7"/>
      <c r="H16" s="7"/>
      <c r="I16" s="7"/>
      <c r="J16" s="7"/>
      <c r="K16" s="7"/>
      <c r="L16" s="7"/>
      <c r="M16" s="7"/>
      <c r="N16" s="24"/>
      <c r="O16" s="7"/>
      <c r="P16" s="7"/>
    </row>
    <row r="17" spans="1:16" x14ac:dyDescent="0.3">
      <c r="A17" s="7"/>
      <c r="B17" s="7"/>
      <c r="C17" s="132"/>
      <c r="D17" s="122"/>
      <c r="E17" s="122"/>
      <c r="F17" s="123"/>
      <c r="G17" s="7"/>
      <c r="H17" s="7"/>
      <c r="I17" s="7"/>
      <c r="J17" s="7"/>
      <c r="K17" s="7"/>
      <c r="L17" s="7"/>
      <c r="M17" s="7"/>
      <c r="N17" s="24"/>
      <c r="O17" s="7"/>
      <c r="P17" s="7"/>
    </row>
    <row r="18" spans="1:16" x14ac:dyDescent="0.3">
      <c r="A18" s="7"/>
      <c r="B18" s="7"/>
      <c r="C18" s="132" t="s">
        <v>139</v>
      </c>
      <c r="D18" s="122">
        <f>(20+9)/2</f>
        <v>14.5</v>
      </c>
      <c r="E18" s="122"/>
      <c r="F18" s="123">
        <f>(10+7)/2</f>
        <v>8.5</v>
      </c>
      <c r="G18" s="7"/>
      <c r="H18" s="7"/>
      <c r="I18" s="7"/>
      <c r="J18" s="7"/>
      <c r="K18" s="7"/>
      <c r="L18" s="7"/>
      <c r="M18" s="7"/>
      <c r="N18" s="24"/>
      <c r="O18" s="7"/>
      <c r="P18" s="7"/>
    </row>
    <row r="19" spans="1:16" x14ac:dyDescent="0.3">
      <c r="A19" s="7"/>
      <c r="B19" s="7"/>
      <c r="C19" s="132" t="s">
        <v>140</v>
      </c>
      <c r="D19" s="122">
        <v>14</v>
      </c>
      <c r="E19" s="122"/>
      <c r="F19" s="123">
        <v>9</v>
      </c>
      <c r="G19" s="7"/>
      <c r="H19" s="7"/>
      <c r="I19" s="7"/>
      <c r="J19" s="7"/>
      <c r="K19" s="7"/>
      <c r="L19" s="7"/>
      <c r="M19" s="7"/>
      <c r="N19" s="24"/>
      <c r="O19" s="7"/>
      <c r="P19" s="7"/>
    </row>
    <row r="20" spans="1:16" x14ac:dyDescent="0.3">
      <c r="A20" s="7"/>
      <c r="B20" s="7"/>
      <c r="C20" s="132" t="s">
        <v>141</v>
      </c>
      <c r="D20" s="122">
        <f>PRODUCT(D18:D19)</f>
        <v>203</v>
      </c>
      <c r="E20" s="122"/>
      <c r="F20" s="123">
        <f>PRODUCT(F18:F19)</f>
        <v>76.5</v>
      </c>
      <c r="G20" s="7"/>
      <c r="H20" s="7"/>
      <c r="I20" s="7"/>
      <c r="J20" s="7"/>
      <c r="K20" s="7"/>
      <c r="L20" s="7"/>
      <c r="M20" s="7"/>
      <c r="N20" s="24"/>
      <c r="O20" s="7"/>
      <c r="P20" s="7"/>
    </row>
    <row r="21" spans="1:16" x14ac:dyDescent="0.3">
      <c r="A21" s="7"/>
      <c r="B21" s="7"/>
      <c r="C21" s="132" t="s">
        <v>142</v>
      </c>
      <c r="D21" s="122">
        <f>1/3</f>
        <v>0.33333333333333331</v>
      </c>
      <c r="E21" s="122"/>
      <c r="F21" s="123">
        <f>1/3</f>
        <v>0.33333333333333331</v>
      </c>
      <c r="G21" s="7"/>
      <c r="H21" s="7"/>
      <c r="I21" s="7"/>
      <c r="J21" s="7"/>
      <c r="K21" s="7"/>
      <c r="L21" s="7"/>
      <c r="M21" s="7"/>
      <c r="N21" s="24"/>
      <c r="O21" s="7"/>
      <c r="P21" s="7"/>
    </row>
    <row r="22" spans="1:16" ht="15" thickBot="1" x14ac:dyDescent="0.35">
      <c r="A22" s="7"/>
      <c r="B22" s="7"/>
      <c r="C22" s="134" t="s">
        <v>143</v>
      </c>
      <c r="D22" s="127">
        <f>D21*D20</f>
        <v>67.666666666666657</v>
      </c>
      <c r="E22" s="127"/>
      <c r="F22" s="176">
        <f>F21*F20</f>
        <v>25.5</v>
      </c>
      <c r="G22" s="7"/>
      <c r="H22" s="7"/>
      <c r="I22" s="7"/>
      <c r="J22" s="7"/>
      <c r="K22" s="7"/>
      <c r="L22" s="7"/>
      <c r="M22" s="7"/>
      <c r="N22" s="24"/>
      <c r="O22" s="7"/>
      <c r="P22" s="7"/>
    </row>
    <row r="23" spans="1:16" ht="15" thickBot="1" x14ac:dyDescent="0.35">
      <c r="A23" s="7"/>
      <c r="B23" s="7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7"/>
      <c r="P23" s="7"/>
    </row>
    <row r="24" spans="1:16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7A02-0E10-4C97-A41F-78052FEC4571}">
  <dimension ref="B1:R39"/>
  <sheetViews>
    <sheetView workbookViewId="0">
      <selection activeCell="H22" sqref="H22"/>
    </sheetView>
  </sheetViews>
  <sheetFormatPr defaultRowHeight="14.4" x14ac:dyDescent="0.3"/>
  <cols>
    <col min="8" max="8" width="11.88671875" customWidth="1"/>
    <col min="9" max="10" width="9" customWidth="1"/>
  </cols>
  <sheetData>
    <row r="1" spans="2:18" ht="15" thickBot="1" x14ac:dyDescent="0.35"/>
    <row r="2" spans="2:18" x14ac:dyDescent="0.3">
      <c r="B2" s="7"/>
      <c r="C2" s="209" t="s">
        <v>123</v>
      </c>
      <c r="D2" s="210"/>
      <c r="E2" s="210"/>
      <c r="F2" s="210"/>
      <c r="G2" s="57"/>
      <c r="H2" s="57" t="s">
        <v>300</v>
      </c>
      <c r="I2" s="58">
        <f>0.267</f>
        <v>0.26700000000000002</v>
      </c>
      <c r="J2" s="30"/>
      <c r="K2" s="30"/>
      <c r="L2" s="30"/>
      <c r="M2" s="30"/>
      <c r="N2" s="30"/>
      <c r="O2" s="30"/>
      <c r="P2" s="30"/>
      <c r="Q2" s="23"/>
      <c r="R2" s="7"/>
    </row>
    <row r="3" spans="2:18" x14ac:dyDescent="0.3">
      <c r="B3" s="7"/>
      <c r="C3" s="59"/>
      <c r="D3" s="60"/>
      <c r="E3" s="60"/>
      <c r="F3" s="60"/>
      <c r="G3" s="60"/>
      <c r="H3" s="60" t="s">
        <v>125</v>
      </c>
      <c r="I3" s="61">
        <f>0.21</f>
        <v>0.21</v>
      </c>
      <c r="J3" s="7"/>
      <c r="K3" s="7"/>
      <c r="L3" s="7"/>
      <c r="M3" s="7"/>
      <c r="N3" s="7"/>
      <c r="O3" s="7"/>
      <c r="P3" s="7"/>
      <c r="Q3" s="24"/>
      <c r="R3" s="7"/>
    </row>
    <row r="4" spans="2:18" ht="15" thickBot="1" x14ac:dyDescent="0.35">
      <c r="B4" s="7"/>
      <c r="C4" s="62"/>
      <c r="D4" s="63"/>
      <c r="E4" s="63"/>
      <c r="F4" s="63"/>
      <c r="G4" s="63"/>
      <c r="H4" s="64" t="s">
        <v>46</v>
      </c>
      <c r="I4" s="65">
        <f>I3/I2</f>
        <v>0.78651685393258419</v>
      </c>
      <c r="J4" s="7"/>
      <c r="K4" s="7"/>
      <c r="L4" s="7"/>
      <c r="M4" s="7"/>
      <c r="N4" s="7"/>
      <c r="O4" s="7"/>
      <c r="P4" s="7"/>
      <c r="Q4" s="24"/>
      <c r="R4" s="7"/>
    </row>
    <row r="5" spans="2:18" x14ac:dyDescent="0.3">
      <c r="B5" s="7"/>
      <c r="C5" s="2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4"/>
      <c r="R5" s="7"/>
    </row>
    <row r="6" spans="2:18" ht="15" thickBot="1" x14ac:dyDescent="0.35">
      <c r="B6" s="7"/>
      <c r="C6" s="25"/>
      <c r="D6" s="7"/>
      <c r="E6" s="13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4"/>
      <c r="R6" s="7"/>
    </row>
    <row r="7" spans="2:18" x14ac:dyDescent="0.3">
      <c r="B7" s="7"/>
      <c r="C7" s="32" t="s">
        <v>110</v>
      </c>
      <c r="D7" s="33"/>
      <c r="E7" s="66"/>
      <c r="F7" s="7"/>
      <c r="G7" s="32" t="s">
        <v>113</v>
      </c>
      <c r="H7" s="33"/>
      <c r="I7" s="66"/>
      <c r="J7" s="7"/>
      <c r="K7" s="32" t="s">
        <v>114</v>
      </c>
      <c r="L7" s="33"/>
      <c r="M7" s="66"/>
      <c r="N7" s="7"/>
      <c r="O7" s="32" t="s">
        <v>115</v>
      </c>
      <c r="P7" s="33"/>
      <c r="Q7" s="66"/>
      <c r="R7" s="7"/>
    </row>
    <row r="8" spans="2:18" x14ac:dyDescent="0.3">
      <c r="B8" s="7"/>
      <c r="C8" s="34"/>
      <c r="D8" s="35" t="s">
        <v>300</v>
      </c>
      <c r="E8" s="36" t="s">
        <v>124</v>
      </c>
      <c r="F8" s="7"/>
      <c r="G8" s="34"/>
      <c r="H8" s="35" t="s">
        <v>300</v>
      </c>
      <c r="I8" s="36" t="s">
        <v>124</v>
      </c>
      <c r="J8" s="7"/>
      <c r="K8" s="34"/>
      <c r="L8" s="35" t="s">
        <v>300</v>
      </c>
      <c r="M8" s="36" t="s">
        <v>124</v>
      </c>
      <c r="N8" s="7"/>
      <c r="O8" s="34"/>
      <c r="P8" s="35" t="s">
        <v>300</v>
      </c>
      <c r="Q8" s="36" t="s">
        <v>124</v>
      </c>
      <c r="R8" s="7"/>
    </row>
    <row r="9" spans="2:18" ht="15" thickBot="1" x14ac:dyDescent="0.35">
      <c r="B9" s="7"/>
      <c r="C9" s="37">
        <v>2050</v>
      </c>
      <c r="D9" s="38">
        <v>0.17</v>
      </c>
      <c r="E9" s="67">
        <f>D9*I4</f>
        <v>0.13370786516853933</v>
      </c>
      <c r="F9" s="7"/>
      <c r="G9" s="37">
        <v>2050</v>
      </c>
      <c r="H9" s="38">
        <f>0.17+0.0005*34</f>
        <v>0.187</v>
      </c>
      <c r="I9" s="67">
        <f>H9*I4</f>
        <v>0.14707865168539325</v>
      </c>
      <c r="J9" s="7"/>
      <c r="K9" s="37">
        <v>2050</v>
      </c>
      <c r="L9" s="38">
        <f>0.17+0.001*34</f>
        <v>0.20400000000000001</v>
      </c>
      <c r="M9" s="67">
        <f>L9*I4</f>
        <v>0.16044943820224719</v>
      </c>
      <c r="N9" s="7"/>
      <c r="O9" s="37">
        <v>2050</v>
      </c>
      <c r="P9" s="38">
        <f>0.17+0.0015*34</f>
        <v>0.22100000000000003</v>
      </c>
      <c r="Q9" s="67">
        <f>P9*I4</f>
        <v>0.17382022471910114</v>
      </c>
      <c r="R9" s="7"/>
    </row>
    <row r="10" spans="2:18" ht="15" thickBot="1" x14ac:dyDescent="0.35">
      <c r="B10" s="7"/>
      <c r="C10" s="2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4"/>
      <c r="R10" s="7"/>
    </row>
    <row r="11" spans="2:18" x14ac:dyDescent="0.3">
      <c r="B11" s="7"/>
      <c r="C11" s="32" t="s">
        <v>116</v>
      </c>
      <c r="D11" s="33"/>
      <c r="E11" s="66"/>
      <c r="F11" s="7"/>
      <c r="G11" s="32" t="s">
        <v>117</v>
      </c>
      <c r="H11" s="33"/>
      <c r="I11" s="66"/>
      <c r="J11" s="7"/>
      <c r="K11" s="32" t="s">
        <v>117</v>
      </c>
      <c r="L11" s="33"/>
      <c r="M11" s="66"/>
      <c r="N11" s="7"/>
      <c r="O11" s="32" t="s">
        <v>254</v>
      </c>
      <c r="P11" s="33"/>
      <c r="Q11" s="66"/>
      <c r="R11" s="7"/>
    </row>
    <row r="12" spans="2:18" x14ac:dyDescent="0.3">
      <c r="B12" s="7"/>
      <c r="C12" s="34"/>
      <c r="D12" s="35" t="s">
        <v>300</v>
      </c>
      <c r="E12" s="36" t="s">
        <v>124</v>
      </c>
      <c r="F12" s="7"/>
      <c r="G12" s="34"/>
      <c r="H12" s="35" t="s">
        <v>300</v>
      </c>
      <c r="I12" s="36" t="s">
        <v>124</v>
      </c>
      <c r="J12" s="7"/>
      <c r="K12" s="34"/>
      <c r="L12" s="35" t="s">
        <v>300</v>
      </c>
      <c r="M12" s="36" t="s">
        <v>124</v>
      </c>
      <c r="N12" s="7"/>
      <c r="O12" s="34"/>
      <c r="P12" s="35" t="s">
        <v>300</v>
      </c>
      <c r="Q12" s="36" t="s">
        <v>124</v>
      </c>
      <c r="R12" s="7"/>
    </row>
    <row r="13" spans="2:18" ht="15" thickBot="1" x14ac:dyDescent="0.35">
      <c r="B13" s="7"/>
      <c r="C13" s="37"/>
      <c r="D13" s="38">
        <f>0.17+0.002*34</f>
        <v>0.23800000000000002</v>
      </c>
      <c r="E13" s="67">
        <f>D13*I4</f>
        <v>0.18719101123595505</v>
      </c>
      <c r="F13" s="27"/>
      <c r="G13" s="37"/>
      <c r="H13" s="38">
        <f>0.17+0.0025*34</f>
        <v>0.255</v>
      </c>
      <c r="I13" s="67">
        <f>H13*I4</f>
        <v>0.20056179775280897</v>
      </c>
      <c r="J13" s="27"/>
      <c r="K13" s="37"/>
      <c r="L13" s="38">
        <f>0.17+0.003*34</f>
        <v>0.27200000000000002</v>
      </c>
      <c r="M13" s="67">
        <f>L13*I4</f>
        <v>0.21393258426966291</v>
      </c>
      <c r="N13" s="27"/>
      <c r="O13" s="37">
        <v>2050</v>
      </c>
      <c r="P13" s="38">
        <f>0.17+0.0017*34</f>
        <v>0.2278</v>
      </c>
      <c r="Q13" s="67">
        <f>P13*I4</f>
        <v>0.17916853932584267</v>
      </c>
      <c r="R13" s="7"/>
    </row>
    <row r="14" spans="2:18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2:18" x14ac:dyDescent="0.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x14ac:dyDescent="0.3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2:18" x14ac:dyDescent="0.3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2:18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39" spans="2:3" x14ac:dyDescent="0.3">
      <c r="B39" s="1"/>
      <c r="C39" s="1"/>
    </row>
  </sheetData>
  <mergeCells count="1">
    <mergeCell ref="C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6229-DE2F-4911-BA36-CB54D087A020}">
  <dimension ref="A1:D12"/>
  <sheetViews>
    <sheetView workbookViewId="0">
      <selection activeCell="F7" sqref="F7"/>
    </sheetView>
  </sheetViews>
  <sheetFormatPr defaultRowHeight="14.4" x14ac:dyDescent="0.3"/>
  <cols>
    <col min="2" max="2" width="16.109375" customWidth="1"/>
  </cols>
  <sheetData>
    <row r="1" spans="1:4" ht="15" thickBot="1" x14ac:dyDescent="0.35"/>
    <row r="2" spans="1:4" x14ac:dyDescent="0.3">
      <c r="A2" s="7"/>
      <c r="B2" s="179" t="s">
        <v>135</v>
      </c>
      <c r="C2" s="126"/>
      <c r="D2" s="7"/>
    </row>
    <row r="3" spans="1:4" x14ac:dyDescent="0.3">
      <c r="A3" s="7"/>
      <c r="B3" s="132" t="s">
        <v>136</v>
      </c>
      <c r="C3" s="123">
        <v>1</v>
      </c>
      <c r="D3" s="7"/>
    </row>
    <row r="4" spans="1:4" x14ac:dyDescent="0.3">
      <c r="A4" s="7"/>
      <c r="B4" s="132" t="s">
        <v>133</v>
      </c>
      <c r="C4" s="123">
        <v>0.8</v>
      </c>
      <c r="D4" s="7"/>
    </row>
    <row r="5" spans="1:4" x14ac:dyDescent="0.3">
      <c r="A5" s="7"/>
      <c r="B5" s="132" t="s">
        <v>134</v>
      </c>
      <c r="C5" s="123">
        <v>0.52</v>
      </c>
      <c r="D5" s="7"/>
    </row>
    <row r="6" spans="1:4" x14ac:dyDescent="0.3">
      <c r="A6" s="7"/>
      <c r="B6" s="132" t="s">
        <v>243</v>
      </c>
      <c r="C6" s="123">
        <v>0.92</v>
      </c>
      <c r="D6" s="7"/>
    </row>
    <row r="7" spans="1:4" ht="15" thickBot="1" x14ac:dyDescent="0.35">
      <c r="A7" s="7"/>
      <c r="B7" s="134" t="s">
        <v>137</v>
      </c>
      <c r="C7" s="180">
        <f>PRODUCT(C3:C6)</f>
        <v>0.38272000000000006</v>
      </c>
      <c r="D7" s="7"/>
    </row>
    <row r="8" spans="1:4" ht="15" thickBot="1" x14ac:dyDescent="0.35">
      <c r="A8" s="7"/>
      <c r="B8" s="25"/>
      <c r="C8" s="24"/>
      <c r="D8" s="7"/>
    </row>
    <row r="9" spans="1:4" x14ac:dyDescent="0.3">
      <c r="A9" s="7"/>
      <c r="B9" s="133" t="s">
        <v>272</v>
      </c>
      <c r="C9" s="126"/>
      <c r="D9" s="7"/>
    </row>
    <row r="10" spans="1:4" ht="15" thickBot="1" x14ac:dyDescent="0.35">
      <c r="A10" s="7"/>
      <c r="B10" s="134"/>
      <c r="C10" s="128">
        <f>C4*C6</f>
        <v>0.7360000000000001</v>
      </c>
      <c r="D10" s="7"/>
    </row>
    <row r="11" spans="1:4" x14ac:dyDescent="0.3">
      <c r="A11" s="7"/>
      <c r="B11" s="7"/>
      <c r="C11" s="7"/>
      <c r="D11" s="7"/>
    </row>
    <row r="12" spans="1:4" x14ac:dyDescent="0.3">
      <c r="A12" s="7"/>
      <c r="B12" s="7"/>
      <c r="C12" s="7"/>
      <c r="D12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B718-9430-492B-AB25-D3BC775C78FF}">
  <dimension ref="A1:W43"/>
  <sheetViews>
    <sheetView topLeftCell="D1" workbookViewId="0">
      <selection activeCell="R7" sqref="R7"/>
    </sheetView>
  </sheetViews>
  <sheetFormatPr defaultRowHeight="14.4" x14ac:dyDescent="0.3"/>
  <cols>
    <col min="3" max="3" width="22.109375" customWidth="1"/>
    <col min="4" max="7" width="16.88671875" customWidth="1"/>
    <col min="8" max="8" width="8.77734375" customWidth="1"/>
    <col min="11" max="12" width="23.44140625" customWidth="1"/>
    <col min="14" max="14" width="9.5546875" bestFit="1" customWidth="1"/>
  </cols>
  <sheetData>
    <row r="1" spans="1:23" ht="15" thickBot="1" x14ac:dyDescent="0.35">
      <c r="A1" s="7"/>
      <c r="B1" s="7"/>
      <c r="C1" s="29"/>
      <c r="D1" s="30"/>
      <c r="E1" s="30"/>
      <c r="F1" s="30"/>
      <c r="G1" s="30"/>
      <c r="H1" s="30"/>
      <c r="I1" s="30"/>
      <c r="J1" s="30"/>
      <c r="K1" s="211" t="s">
        <v>118</v>
      </c>
      <c r="L1" s="212"/>
      <c r="M1" s="30"/>
      <c r="N1" s="30"/>
      <c r="O1" s="23"/>
      <c r="P1" s="7"/>
      <c r="Q1" s="7"/>
      <c r="R1" s="7"/>
      <c r="S1" s="7"/>
      <c r="T1" s="7"/>
      <c r="U1" s="7"/>
      <c r="V1" s="7"/>
      <c r="W1" s="7"/>
    </row>
    <row r="2" spans="1:23" x14ac:dyDescent="0.3">
      <c r="A2" s="7"/>
      <c r="B2" s="7"/>
      <c r="C2" s="193" t="s">
        <v>98</v>
      </c>
      <c r="D2" s="194"/>
      <c r="E2" s="194"/>
      <c r="F2" s="33"/>
      <c r="G2" s="66"/>
      <c r="H2" s="7"/>
      <c r="I2" s="7"/>
      <c r="J2" s="7"/>
      <c r="K2" s="68" t="s">
        <v>122</v>
      </c>
      <c r="L2" s="69">
        <f>Cases!F40</f>
        <v>0.27200000000000002</v>
      </c>
      <c r="M2" s="7"/>
      <c r="N2" s="7"/>
      <c r="O2" s="24"/>
      <c r="P2" s="7"/>
      <c r="Q2" s="7"/>
      <c r="R2" s="7"/>
      <c r="S2" s="7"/>
      <c r="T2" s="7"/>
      <c r="U2" s="7"/>
      <c r="V2" s="7"/>
      <c r="W2" s="7"/>
    </row>
    <row r="3" spans="1:23" ht="15" thickBot="1" x14ac:dyDescent="0.35">
      <c r="A3" s="7"/>
      <c r="B3" s="7"/>
      <c r="C3" s="21"/>
      <c r="D3" s="18" t="s">
        <v>247</v>
      </c>
      <c r="E3" s="18" t="s">
        <v>244</v>
      </c>
      <c r="F3" s="18" t="s">
        <v>248</v>
      </c>
      <c r="G3" s="22" t="s">
        <v>249</v>
      </c>
      <c r="H3" s="7"/>
      <c r="I3" s="7"/>
      <c r="J3" s="7"/>
      <c r="K3" s="70" t="s">
        <v>121</v>
      </c>
      <c r="L3" s="44">
        <f>L2*'PV efficiency'!I4</f>
        <v>0.21393258426966291</v>
      </c>
      <c r="M3" s="7"/>
      <c r="N3" s="7"/>
      <c r="O3" s="24"/>
      <c r="P3" s="7"/>
      <c r="Q3" s="7"/>
      <c r="R3" s="7"/>
      <c r="S3" s="7"/>
      <c r="T3" s="7"/>
      <c r="U3" s="7"/>
      <c r="V3" s="7"/>
      <c r="W3" s="7"/>
    </row>
    <row r="4" spans="1:23" x14ac:dyDescent="0.3">
      <c r="A4" s="7"/>
      <c r="B4" s="7"/>
      <c r="C4" s="12" t="s">
        <v>21</v>
      </c>
      <c r="D4" s="13">
        <f t="shared" ref="D4:D15" si="0">$K31*L$20+$L31*L$26</f>
        <v>366.86010400318264</v>
      </c>
      <c r="E4" s="13">
        <f t="shared" ref="E4:E15" si="1">$K31*M$20+$L31*M$26</f>
        <v>990.52228080859322</v>
      </c>
      <c r="F4" s="13">
        <f t="shared" ref="F4:F15" si="2">$K31*N$20+$L31*L$26</f>
        <v>366.86010400318264</v>
      </c>
      <c r="G4" s="14">
        <f t="shared" ref="G4:G15" si="3">$K31*O$20+$L31*M$26</f>
        <v>990.52228080859322</v>
      </c>
      <c r="H4" s="7"/>
      <c r="I4" s="7"/>
      <c r="J4" s="7"/>
      <c r="K4" s="70" t="s">
        <v>109</v>
      </c>
      <c r="L4" s="44">
        <v>0.9</v>
      </c>
      <c r="M4" s="7"/>
      <c r="N4" s="7"/>
      <c r="O4" s="24"/>
      <c r="P4" s="7"/>
      <c r="Q4" s="7"/>
      <c r="R4" s="7"/>
      <c r="S4" s="7"/>
      <c r="T4" s="7"/>
      <c r="U4" s="7"/>
      <c r="V4" s="7"/>
      <c r="W4" s="7"/>
    </row>
    <row r="5" spans="1:23" x14ac:dyDescent="0.3">
      <c r="A5" s="7"/>
      <c r="B5" s="7"/>
      <c r="C5" s="12" t="s">
        <v>1</v>
      </c>
      <c r="D5" s="13">
        <f t="shared" si="0"/>
        <v>537.97248389766025</v>
      </c>
      <c r="E5" s="13">
        <f t="shared" si="1"/>
        <v>1452.5257065236826</v>
      </c>
      <c r="F5" s="13">
        <f t="shared" si="2"/>
        <v>537.97248389766025</v>
      </c>
      <c r="G5" s="14">
        <f t="shared" si="3"/>
        <v>1452.5257065236826</v>
      </c>
      <c r="H5" s="7"/>
      <c r="I5" s="7"/>
      <c r="J5" s="7"/>
      <c r="K5" s="70" t="s">
        <v>146</v>
      </c>
      <c r="L5" s="44">
        <v>0.92</v>
      </c>
      <c r="M5" s="7"/>
      <c r="N5" s="7"/>
      <c r="O5" s="24"/>
      <c r="P5" s="7"/>
      <c r="Q5" s="7"/>
      <c r="R5" s="7"/>
      <c r="S5" s="7"/>
      <c r="T5" s="7"/>
      <c r="U5" s="7"/>
      <c r="V5" s="7"/>
      <c r="W5" s="7"/>
    </row>
    <row r="6" spans="1:23" x14ac:dyDescent="0.3">
      <c r="A6" s="7"/>
      <c r="B6" s="7"/>
      <c r="C6" s="12" t="s">
        <v>2</v>
      </c>
      <c r="D6" s="13">
        <f t="shared" si="0"/>
        <v>884.3611958071441</v>
      </c>
      <c r="E6" s="13">
        <f t="shared" si="1"/>
        <v>2387.7752286792893</v>
      </c>
      <c r="F6" s="13">
        <f t="shared" si="2"/>
        <v>884.3611958071441</v>
      </c>
      <c r="G6" s="14">
        <f t="shared" si="3"/>
        <v>2387.7752286792893</v>
      </c>
      <c r="H6" s="7"/>
      <c r="I6" s="7"/>
      <c r="J6" s="7"/>
      <c r="K6" s="70" t="s">
        <v>132</v>
      </c>
      <c r="L6" s="44">
        <v>0.99</v>
      </c>
      <c r="M6" s="7"/>
      <c r="N6" s="7"/>
      <c r="O6" s="24"/>
      <c r="P6" s="7"/>
      <c r="Q6" s="7"/>
      <c r="R6" s="7"/>
      <c r="S6" s="7"/>
      <c r="T6" s="7"/>
      <c r="U6" s="7"/>
      <c r="V6" s="7"/>
      <c r="W6" s="7"/>
    </row>
    <row r="7" spans="1:23" x14ac:dyDescent="0.3">
      <c r="A7" s="7"/>
      <c r="B7" s="7"/>
      <c r="C7" s="12" t="s">
        <v>3</v>
      </c>
      <c r="D7" s="13">
        <f t="shared" si="0"/>
        <v>1088.9146125594712</v>
      </c>
      <c r="E7" s="13">
        <f t="shared" si="1"/>
        <v>2940.0694539105721</v>
      </c>
      <c r="F7" s="13">
        <f t="shared" si="2"/>
        <v>1088.9146125594712</v>
      </c>
      <c r="G7" s="14">
        <f t="shared" si="3"/>
        <v>2940.0694539105721</v>
      </c>
      <c r="H7" s="7"/>
      <c r="I7" s="7"/>
      <c r="J7" s="7"/>
      <c r="K7" s="70" t="s">
        <v>129</v>
      </c>
      <c r="L7" s="44">
        <v>1000</v>
      </c>
      <c r="M7" s="7"/>
      <c r="N7" s="7"/>
      <c r="O7" s="24"/>
      <c r="P7" s="7"/>
      <c r="Q7" s="7"/>
      <c r="R7" s="7"/>
      <c r="S7" s="7"/>
      <c r="T7" s="7"/>
      <c r="U7" s="7"/>
      <c r="V7" s="7"/>
      <c r="W7" s="7"/>
    </row>
    <row r="8" spans="1:23" x14ac:dyDescent="0.3">
      <c r="A8" s="7"/>
      <c r="B8" s="7"/>
      <c r="C8" s="12" t="s">
        <v>4</v>
      </c>
      <c r="D8" s="13">
        <f t="shared" si="0"/>
        <v>1292.1852271559267</v>
      </c>
      <c r="E8" s="13">
        <f t="shared" si="1"/>
        <v>3488.9001133210018</v>
      </c>
      <c r="F8" s="13">
        <f t="shared" si="2"/>
        <v>1292.1852271559267</v>
      </c>
      <c r="G8" s="14">
        <f t="shared" si="3"/>
        <v>3488.9001133210018</v>
      </c>
      <c r="H8" s="7"/>
      <c r="I8" s="7"/>
      <c r="J8" s="7"/>
      <c r="K8" s="70" t="s">
        <v>128</v>
      </c>
      <c r="L8" s="44">
        <v>800</v>
      </c>
      <c r="M8" s="7"/>
      <c r="N8" s="7"/>
      <c r="O8" s="24"/>
      <c r="P8" s="7"/>
      <c r="Q8" s="7"/>
      <c r="R8" s="7"/>
      <c r="S8" s="7"/>
      <c r="T8" s="7"/>
      <c r="U8" s="7"/>
      <c r="V8" s="7"/>
      <c r="W8" s="7"/>
    </row>
    <row r="9" spans="1:23" x14ac:dyDescent="0.3">
      <c r="A9" s="7"/>
      <c r="B9" s="7"/>
      <c r="C9" s="12" t="s">
        <v>5</v>
      </c>
      <c r="D9" s="13">
        <f t="shared" si="0"/>
        <v>1341.4945517507122</v>
      </c>
      <c r="E9" s="13">
        <f t="shared" si="1"/>
        <v>3622.0352897269227</v>
      </c>
      <c r="F9" s="13">
        <f t="shared" si="2"/>
        <v>1341.4945517507122</v>
      </c>
      <c r="G9" s="14">
        <f t="shared" si="3"/>
        <v>3622.0352897269227</v>
      </c>
      <c r="H9" s="7"/>
      <c r="I9" s="7"/>
      <c r="J9" s="7"/>
      <c r="K9" s="70" t="s">
        <v>127</v>
      </c>
      <c r="L9" s="44">
        <f>L7*L4*L2*L6*L5</f>
        <v>222.96384</v>
      </c>
      <c r="M9" s="7"/>
      <c r="N9" s="7"/>
      <c r="O9" s="24"/>
      <c r="P9" s="7"/>
      <c r="Q9" s="7"/>
      <c r="R9" s="7"/>
      <c r="S9" s="7"/>
      <c r="T9" s="7"/>
      <c r="U9" s="7"/>
      <c r="V9" s="7"/>
      <c r="W9" s="7"/>
    </row>
    <row r="10" spans="1:23" ht="15" thickBot="1" x14ac:dyDescent="0.35">
      <c r="A10" s="7"/>
      <c r="B10" s="7"/>
      <c r="C10" s="12" t="s">
        <v>6</v>
      </c>
      <c r="D10" s="13">
        <f t="shared" si="0"/>
        <v>1427.9736062169345</v>
      </c>
      <c r="E10" s="13">
        <f t="shared" si="1"/>
        <v>3855.5287367857231</v>
      </c>
      <c r="F10" s="13">
        <f t="shared" si="2"/>
        <v>1427.9736062169345</v>
      </c>
      <c r="G10" s="14">
        <f t="shared" si="3"/>
        <v>3855.5287367857231</v>
      </c>
      <c r="H10" s="7"/>
      <c r="I10" s="7"/>
      <c r="J10" s="7"/>
      <c r="K10" s="71" t="s">
        <v>126</v>
      </c>
      <c r="L10" s="72">
        <f>L3*L4*L8*L6*L5</f>
        <v>140.29185438202248</v>
      </c>
      <c r="M10" s="7"/>
      <c r="N10" s="7"/>
      <c r="O10" s="24"/>
      <c r="P10" s="7"/>
      <c r="Q10" s="7"/>
      <c r="R10" s="7"/>
      <c r="S10" s="7"/>
      <c r="T10" s="7"/>
      <c r="U10" s="7"/>
      <c r="V10" s="7"/>
      <c r="W10" s="7"/>
    </row>
    <row r="11" spans="1:23" ht="15" thickBot="1" x14ac:dyDescent="0.35">
      <c r="A11" s="7"/>
      <c r="B11" s="7"/>
      <c r="C11" s="12" t="s">
        <v>7</v>
      </c>
      <c r="D11" s="13">
        <f t="shared" si="0"/>
        <v>1265.2275745169184</v>
      </c>
      <c r="E11" s="13">
        <f t="shared" si="1"/>
        <v>3416.1144511956795</v>
      </c>
      <c r="F11" s="13">
        <f t="shared" si="2"/>
        <v>1265.2275745169184</v>
      </c>
      <c r="G11" s="14">
        <f t="shared" si="3"/>
        <v>3416.1144511956795</v>
      </c>
      <c r="H11" s="7"/>
      <c r="I11" s="7"/>
      <c r="J11" s="7"/>
      <c r="K11" s="7"/>
      <c r="L11" s="7"/>
      <c r="M11" s="7"/>
      <c r="N11" s="7"/>
      <c r="O11" s="24"/>
      <c r="P11" s="7"/>
      <c r="Q11" s="7"/>
      <c r="R11" s="7"/>
      <c r="S11" s="7"/>
      <c r="T11" s="7"/>
      <c r="U11" s="7"/>
      <c r="V11" s="7"/>
      <c r="W11" s="7"/>
    </row>
    <row r="12" spans="1:23" x14ac:dyDescent="0.3">
      <c r="A12" s="7"/>
      <c r="B12" s="7"/>
      <c r="C12" s="12" t="s">
        <v>8</v>
      </c>
      <c r="D12" s="13">
        <f t="shared" si="0"/>
        <v>933.87627393507591</v>
      </c>
      <c r="E12" s="13">
        <f t="shared" si="1"/>
        <v>2521.4659396247048</v>
      </c>
      <c r="F12" s="13">
        <f t="shared" si="2"/>
        <v>933.87627393507591</v>
      </c>
      <c r="G12" s="14">
        <f t="shared" si="3"/>
        <v>2521.4659396247048</v>
      </c>
      <c r="H12" s="7"/>
      <c r="I12" s="7"/>
      <c r="J12" s="7"/>
      <c r="K12" s="133"/>
      <c r="L12" s="185" t="s">
        <v>247</v>
      </c>
      <c r="M12" s="185" t="s">
        <v>244</v>
      </c>
      <c r="N12" s="125" t="s">
        <v>245</v>
      </c>
      <c r="O12" s="126" t="s">
        <v>246</v>
      </c>
      <c r="P12" s="7"/>
      <c r="Q12" s="7"/>
      <c r="R12" s="7"/>
      <c r="S12" s="7"/>
      <c r="T12" s="7"/>
      <c r="U12" s="7"/>
      <c r="V12" s="7"/>
      <c r="W12" s="7"/>
    </row>
    <row r="13" spans="1:23" x14ac:dyDescent="0.3">
      <c r="A13" s="7"/>
      <c r="B13" s="7"/>
      <c r="C13" s="12" t="s">
        <v>9</v>
      </c>
      <c r="D13" s="13">
        <f t="shared" si="0"/>
        <v>621.85746825897229</v>
      </c>
      <c r="E13" s="13">
        <f t="shared" si="1"/>
        <v>1679.0151642992253</v>
      </c>
      <c r="F13" s="13">
        <f t="shared" si="2"/>
        <v>621.85746825897229</v>
      </c>
      <c r="G13" s="14">
        <f t="shared" si="3"/>
        <v>1679.0151642992253</v>
      </c>
      <c r="H13" s="7"/>
      <c r="I13" s="7"/>
      <c r="J13" s="7"/>
      <c r="K13" s="59" t="s">
        <v>42</v>
      </c>
      <c r="L13" s="122"/>
      <c r="M13" s="122"/>
      <c r="N13" s="122"/>
      <c r="O13" s="123"/>
      <c r="P13" s="7"/>
      <c r="Q13" s="7"/>
      <c r="R13" s="7"/>
      <c r="S13" s="7"/>
      <c r="T13" s="7"/>
      <c r="U13" s="7"/>
      <c r="V13" s="7"/>
      <c r="W13" s="7"/>
    </row>
    <row r="14" spans="1:23" x14ac:dyDescent="0.3">
      <c r="A14" s="7"/>
      <c r="B14" s="7"/>
      <c r="C14" s="12" t="s">
        <v>10</v>
      </c>
      <c r="D14" s="13">
        <f t="shared" si="0"/>
        <v>368.88549620045865</v>
      </c>
      <c r="E14" s="13">
        <f t="shared" si="1"/>
        <v>995.99083974123835</v>
      </c>
      <c r="F14" s="13">
        <f t="shared" si="2"/>
        <v>368.88549620045865</v>
      </c>
      <c r="G14" s="14">
        <f t="shared" si="3"/>
        <v>995.99083974123835</v>
      </c>
      <c r="H14" s="7"/>
      <c r="I14" s="7"/>
      <c r="J14" s="7"/>
      <c r="K14" s="132" t="s">
        <v>43</v>
      </c>
      <c r="L14" s="122">
        <f>L9</f>
        <v>222.96384</v>
      </c>
      <c r="M14" s="122">
        <f>L9</f>
        <v>222.96384</v>
      </c>
      <c r="N14" s="122"/>
      <c r="O14" s="123"/>
      <c r="P14" s="7"/>
      <c r="Q14" s="7"/>
      <c r="R14" s="7"/>
      <c r="S14" s="7"/>
      <c r="T14" s="7"/>
      <c r="U14" s="7"/>
      <c r="V14" s="7"/>
      <c r="W14" s="7"/>
    </row>
    <row r="15" spans="1:23" x14ac:dyDescent="0.3">
      <c r="A15" s="7"/>
      <c r="B15" s="7"/>
      <c r="C15" s="12" t="s">
        <v>11</v>
      </c>
      <c r="D15" s="13">
        <f t="shared" si="0"/>
        <v>285.03718113173051</v>
      </c>
      <c r="E15" s="13">
        <f t="shared" si="1"/>
        <v>769.60038905567251</v>
      </c>
      <c r="F15" s="13">
        <f t="shared" si="2"/>
        <v>285.03718113173051</v>
      </c>
      <c r="G15" s="14">
        <f t="shared" si="3"/>
        <v>769.60038905567251</v>
      </c>
      <c r="H15" s="7"/>
      <c r="I15" s="7"/>
      <c r="J15" s="7"/>
      <c r="K15" s="132" t="s">
        <v>50</v>
      </c>
      <c r="L15" s="55">
        <v>0</v>
      </c>
      <c r="M15" s="55">
        <v>0</v>
      </c>
      <c r="N15" s="55">
        <v>0.3</v>
      </c>
      <c r="O15" s="73">
        <f>N15</f>
        <v>0.3</v>
      </c>
      <c r="P15" s="7"/>
      <c r="Q15" s="7"/>
      <c r="R15" s="7"/>
      <c r="S15" s="7"/>
      <c r="T15" s="7"/>
      <c r="U15" s="7"/>
      <c r="V15" s="7"/>
      <c r="W15" s="7"/>
    </row>
    <row r="16" spans="1:23" ht="15" thickBot="1" x14ac:dyDescent="0.35">
      <c r="A16" s="7"/>
      <c r="B16" s="7"/>
      <c r="C16" s="15" t="s">
        <v>23</v>
      </c>
      <c r="D16" s="16">
        <f>SUM(D4:D15)</f>
        <v>10414.645775434186</v>
      </c>
      <c r="E16" s="16">
        <f>SUM(E4:E15)</f>
        <v>28119.543593672304</v>
      </c>
      <c r="F16" s="16">
        <f>SUM(F4:F15)</f>
        <v>10414.645775434186</v>
      </c>
      <c r="G16" s="17">
        <f>SUM(G4:G15)</f>
        <v>28119.543593672304</v>
      </c>
      <c r="H16" s="7"/>
      <c r="I16" s="7"/>
      <c r="J16" s="7"/>
      <c r="K16" s="132" t="s">
        <v>51</v>
      </c>
      <c r="L16" s="122">
        <f>'rooftopfacade area'!F13</f>
        <v>81.384972584108169</v>
      </c>
      <c r="M16" s="122">
        <f>'rooftopfacade area'!D13</f>
        <v>219.73942597709205</v>
      </c>
      <c r="N16" s="122">
        <f>'rooftopfacade area'!F13</f>
        <v>81.384972584108169</v>
      </c>
      <c r="O16" s="123">
        <f>'rooftopfacade area'!D13</f>
        <v>219.73942597709205</v>
      </c>
      <c r="P16" s="7"/>
      <c r="Q16" s="7"/>
      <c r="R16" s="7"/>
      <c r="S16" s="7"/>
      <c r="T16" s="7"/>
      <c r="U16" s="7"/>
      <c r="V16" s="7"/>
      <c r="W16" s="7"/>
    </row>
    <row r="17" spans="1:23" x14ac:dyDescent="0.3">
      <c r="A17" s="7"/>
      <c r="B17" s="7"/>
      <c r="C17" s="4"/>
      <c r="H17" s="7"/>
      <c r="I17" s="7"/>
      <c r="J17" s="7"/>
      <c r="K17" s="132" t="s">
        <v>52</v>
      </c>
      <c r="L17" s="122">
        <f>L16*Cases!$C$39</f>
        <v>46.710021568673135</v>
      </c>
      <c r="M17" s="122">
        <f>M16*Cases!$C$39</f>
        <v>126.11705823541747</v>
      </c>
      <c r="N17" s="122">
        <f>N16*Cases!$C$39</f>
        <v>46.710021568673135</v>
      </c>
      <c r="O17" s="123">
        <f>O16*Cases!$C$39</f>
        <v>126.11705823541747</v>
      </c>
      <c r="P17" s="7">
        <v>56.969480808875701</v>
      </c>
      <c r="Q17" s="7">
        <v>153.81759818396444</v>
      </c>
      <c r="R17" s="7"/>
      <c r="S17" s="7"/>
      <c r="T17" s="7"/>
      <c r="U17" s="7"/>
      <c r="V17" s="7"/>
      <c r="W17" s="7"/>
    </row>
    <row r="18" spans="1:23" x14ac:dyDescent="0.3">
      <c r="A18" s="7"/>
      <c r="B18" s="7"/>
      <c r="C18" s="4"/>
      <c r="H18" s="7"/>
      <c r="I18" s="7"/>
      <c r="J18" s="7"/>
      <c r="K18" s="132" t="s">
        <v>298</v>
      </c>
      <c r="L18" s="122">
        <v>0</v>
      </c>
      <c r="M18" s="122">
        <v>0</v>
      </c>
      <c r="N18" s="122">
        <f t="shared" ref="N18" si="4">L18</f>
        <v>0</v>
      </c>
      <c r="O18" s="123">
        <f t="shared" ref="O18" si="5">M18</f>
        <v>0</v>
      </c>
      <c r="P18" s="7"/>
      <c r="Q18" s="7"/>
      <c r="R18" s="7"/>
      <c r="S18" s="7"/>
      <c r="T18" s="7"/>
      <c r="U18" s="7"/>
      <c r="V18" s="7"/>
      <c r="W18" s="7"/>
    </row>
    <row r="19" spans="1:23" x14ac:dyDescent="0.3">
      <c r="A19" s="7"/>
      <c r="B19" s="7"/>
      <c r="C19" s="4"/>
      <c r="H19" s="7"/>
      <c r="I19" s="7"/>
      <c r="J19" s="7"/>
      <c r="K19" s="132" t="s">
        <v>49</v>
      </c>
      <c r="L19" s="122">
        <f>L17-L18</f>
        <v>46.710021568673135</v>
      </c>
      <c r="M19" s="122">
        <f>M17-M18</f>
        <v>126.11705823541747</v>
      </c>
      <c r="N19" s="122">
        <f>N17-N18</f>
        <v>46.710021568673135</v>
      </c>
      <c r="O19" s="123">
        <f>O17-O18</f>
        <v>126.11705823541747</v>
      </c>
      <c r="P19" s="7"/>
      <c r="Q19" s="7"/>
      <c r="R19" s="7"/>
      <c r="S19" s="7"/>
      <c r="T19" s="7"/>
      <c r="U19" s="7"/>
      <c r="V19" s="7"/>
      <c r="W19" s="7"/>
    </row>
    <row r="20" spans="1:23" ht="15" thickBot="1" x14ac:dyDescent="0.35">
      <c r="A20" s="7"/>
      <c r="B20" s="7"/>
      <c r="C20" s="4"/>
      <c r="H20" s="7"/>
      <c r="I20" s="7"/>
      <c r="J20" s="7"/>
      <c r="K20" s="134" t="s">
        <v>44</v>
      </c>
      <c r="L20" s="127">
        <f>L14*L19</f>
        <v>10414.645775434186</v>
      </c>
      <c r="M20" s="127">
        <f>M14*M19</f>
        <v>28119.543593672304</v>
      </c>
      <c r="N20" s="127">
        <f>N19*L14</f>
        <v>10414.645775434186</v>
      </c>
      <c r="O20" s="128">
        <f>O19*M14</f>
        <v>28119.543593672304</v>
      </c>
      <c r="P20" s="7"/>
      <c r="Q20" s="7"/>
      <c r="R20" s="7"/>
      <c r="S20" s="7"/>
      <c r="T20" s="7"/>
      <c r="U20" s="7"/>
      <c r="V20" s="7"/>
      <c r="W20" s="7"/>
    </row>
    <row r="21" spans="1:23" ht="15" thickBot="1" x14ac:dyDescent="0.35">
      <c r="A21" s="7"/>
      <c r="B21" s="7"/>
      <c r="C21" s="4"/>
      <c r="H21" s="7"/>
      <c r="I21" s="7"/>
      <c r="J21" s="7"/>
      <c r="K21" s="7"/>
      <c r="L21" s="7"/>
      <c r="M21" s="7"/>
      <c r="N21" s="7"/>
      <c r="O21" s="24"/>
      <c r="P21" s="7"/>
      <c r="Q21" s="7"/>
      <c r="R21" s="7"/>
      <c r="S21" s="7"/>
      <c r="T21" s="7"/>
      <c r="U21" s="7"/>
      <c r="V21" s="7"/>
      <c r="W21" s="7"/>
    </row>
    <row r="22" spans="1:23" x14ac:dyDescent="0.3">
      <c r="A22" s="7"/>
      <c r="B22" s="7"/>
      <c r="C22" s="4"/>
      <c r="H22" s="7"/>
      <c r="I22" s="7"/>
      <c r="J22" s="7"/>
      <c r="K22" s="74" t="s">
        <v>45</v>
      </c>
      <c r="L22" s="125"/>
      <c r="M22" s="126"/>
      <c r="N22" s="7"/>
      <c r="O22" s="24"/>
      <c r="P22" s="7"/>
      <c r="Q22" s="7"/>
      <c r="R22" s="7"/>
      <c r="S22" s="7"/>
      <c r="T22" s="7"/>
      <c r="U22" s="7"/>
      <c r="V22" s="7"/>
      <c r="W22" s="7"/>
    </row>
    <row r="23" spans="1:23" x14ac:dyDescent="0.3">
      <c r="A23" s="7"/>
      <c r="B23" s="7"/>
      <c r="C23" s="4"/>
      <c r="H23" s="7"/>
      <c r="I23" s="7"/>
      <c r="J23" s="7"/>
      <c r="K23" s="132" t="s">
        <v>43</v>
      </c>
      <c r="L23" s="122">
        <f>L10</f>
        <v>140.29185438202248</v>
      </c>
      <c r="M23" s="123">
        <f>L10</f>
        <v>140.29185438202248</v>
      </c>
      <c r="N23" s="7"/>
      <c r="O23" s="24"/>
      <c r="P23" s="7"/>
      <c r="Q23" s="7"/>
      <c r="R23" s="7"/>
      <c r="S23" s="7"/>
      <c r="T23" s="7"/>
      <c r="U23" s="7"/>
      <c r="V23" s="7"/>
      <c r="W23" s="7"/>
    </row>
    <row r="24" spans="1:23" x14ac:dyDescent="0.3">
      <c r="A24" s="7"/>
      <c r="B24" s="7"/>
      <c r="C24" s="4"/>
      <c r="H24" s="7"/>
      <c r="I24" s="7"/>
      <c r="J24" s="7"/>
      <c r="K24" s="132"/>
      <c r="L24" s="122"/>
      <c r="M24" s="123"/>
      <c r="N24" s="7"/>
      <c r="O24" s="24"/>
      <c r="P24" s="7"/>
      <c r="Q24" s="7"/>
      <c r="R24" s="7"/>
      <c r="S24" s="7"/>
      <c r="T24" s="7"/>
      <c r="U24" s="7"/>
      <c r="V24" s="7"/>
      <c r="W24" s="7"/>
    </row>
    <row r="25" spans="1:23" x14ac:dyDescent="0.3">
      <c r="A25" s="7"/>
      <c r="B25" s="7"/>
      <c r="C25" s="4"/>
      <c r="H25" s="7"/>
      <c r="I25" s="7"/>
      <c r="J25" s="7"/>
      <c r="K25" s="132" t="s">
        <v>47</v>
      </c>
      <c r="L25" s="122">
        <f>'rooftopfacade area'!F22*Cases!$C$40</f>
        <v>0</v>
      </c>
      <c r="M25" s="123">
        <f>'rooftopfacade area'!D22*Cases!$C$40</f>
        <v>0</v>
      </c>
      <c r="N25" s="7"/>
      <c r="O25" s="24"/>
      <c r="P25" s="7"/>
      <c r="Q25" s="7"/>
      <c r="R25" s="7"/>
      <c r="S25" s="7"/>
      <c r="T25" s="7"/>
      <c r="U25" s="7"/>
      <c r="V25" s="7"/>
      <c r="W25" s="7"/>
    </row>
    <row r="26" spans="1:23" x14ac:dyDescent="0.3">
      <c r="A26" s="7"/>
      <c r="B26" s="7"/>
      <c r="C26" s="4"/>
      <c r="H26" s="7"/>
      <c r="I26" s="7"/>
      <c r="J26" s="7"/>
      <c r="K26" s="181" t="s">
        <v>44</v>
      </c>
      <c r="L26" s="182">
        <f>L25*L23</f>
        <v>0</v>
      </c>
      <c r="M26" s="183">
        <f>M25*M23</f>
        <v>0</v>
      </c>
      <c r="N26" s="7"/>
      <c r="O26" s="24"/>
      <c r="P26" s="7"/>
      <c r="Q26" s="7"/>
      <c r="R26" s="7"/>
      <c r="S26" s="7"/>
      <c r="T26" s="7"/>
      <c r="U26" s="7"/>
      <c r="V26" s="7"/>
      <c r="W26" s="7"/>
    </row>
    <row r="27" spans="1:23" x14ac:dyDescent="0.3">
      <c r="A27" s="7"/>
      <c r="B27" s="7"/>
      <c r="C27" s="4"/>
      <c r="H27" s="7"/>
      <c r="I27" s="7"/>
      <c r="J27" s="7"/>
      <c r="K27" s="132"/>
      <c r="L27" s="122"/>
      <c r="M27" s="123"/>
      <c r="N27" s="7"/>
      <c r="O27" s="24"/>
      <c r="P27" s="7"/>
      <c r="Q27" s="7"/>
      <c r="R27" s="7"/>
      <c r="S27" s="7"/>
      <c r="T27" s="7"/>
      <c r="U27" s="7"/>
      <c r="V27" s="7"/>
      <c r="W27" s="7"/>
    </row>
    <row r="28" spans="1:23" ht="15" thickBot="1" x14ac:dyDescent="0.35">
      <c r="A28" s="7"/>
      <c r="B28" s="7"/>
      <c r="C28" s="25"/>
      <c r="D28" s="7"/>
      <c r="E28" s="7"/>
      <c r="F28" s="7"/>
      <c r="G28" s="7"/>
      <c r="H28" s="7"/>
      <c r="I28" s="7"/>
      <c r="J28" s="7"/>
      <c r="K28" s="134" t="s">
        <v>48</v>
      </c>
      <c r="L28" s="127">
        <f>L26+L20</f>
        <v>10414.645775434186</v>
      </c>
      <c r="M28" s="128">
        <f>M26+M20</f>
        <v>28119.543593672304</v>
      </c>
      <c r="N28" s="7"/>
      <c r="O28" s="24"/>
      <c r="P28" s="7"/>
      <c r="Q28" s="7"/>
      <c r="R28" s="7"/>
      <c r="S28" s="7"/>
      <c r="T28" s="7"/>
      <c r="U28" s="7"/>
      <c r="V28" s="7"/>
      <c r="W28" s="7"/>
    </row>
    <row r="29" spans="1:23" ht="15" thickBot="1" x14ac:dyDescent="0.35">
      <c r="A29" s="7"/>
      <c r="B29" s="7"/>
      <c r="C29" s="4"/>
      <c r="H29" s="7"/>
      <c r="I29" s="7"/>
      <c r="J29" s="7"/>
      <c r="K29" s="7"/>
      <c r="L29" s="7"/>
      <c r="M29" s="7"/>
      <c r="N29" s="7"/>
      <c r="O29" s="24"/>
      <c r="P29" s="7"/>
      <c r="Q29" s="7"/>
      <c r="R29" s="7"/>
      <c r="S29" s="7"/>
      <c r="T29" s="7"/>
      <c r="U29" s="7"/>
      <c r="V29" s="7"/>
      <c r="W29" s="7"/>
    </row>
    <row r="30" spans="1:23" x14ac:dyDescent="0.3">
      <c r="A30" s="7"/>
      <c r="B30" s="7"/>
      <c r="C30" s="4"/>
      <c r="H30" s="7"/>
      <c r="I30" s="7"/>
      <c r="J30" s="7"/>
      <c r="K30" s="133" t="s">
        <v>120</v>
      </c>
      <c r="L30" s="126" t="s">
        <v>119</v>
      </c>
      <c r="M30" s="7"/>
      <c r="N30" s="7"/>
      <c r="O30" s="24"/>
      <c r="P30" s="7"/>
      <c r="Q30" s="7"/>
      <c r="R30" s="7"/>
      <c r="S30" s="7"/>
      <c r="T30" s="7"/>
      <c r="U30" s="7"/>
      <c r="V30" s="7"/>
      <c r="W30" s="7"/>
    </row>
    <row r="31" spans="1:23" x14ac:dyDescent="0.3">
      <c r="A31" s="7"/>
      <c r="B31" s="7"/>
      <c r="C31" s="4"/>
      <c r="H31" s="7"/>
      <c r="I31" s="7"/>
      <c r="J31" s="7"/>
      <c r="K31" s="132">
        <v>3.5225403908457777E-2</v>
      </c>
      <c r="L31" s="123">
        <v>4.9032492596330232E-2</v>
      </c>
      <c r="M31" s="7"/>
      <c r="N31" s="7"/>
      <c r="O31" s="24"/>
      <c r="P31" s="7"/>
      <c r="Q31" s="7"/>
      <c r="R31" s="7"/>
      <c r="S31" s="7"/>
      <c r="T31" s="7"/>
      <c r="U31" s="7"/>
      <c r="V31" s="7"/>
      <c r="W31" s="7"/>
    </row>
    <row r="32" spans="1:23" x14ac:dyDescent="0.3">
      <c r="A32" s="7"/>
      <c r="B32" s="7"/>
      <c r="C32" s="4"/>
      <c r="H32" s="7"/>
      <c r="I32" s="7"/>
      <c r="J32" s="7"/>
      <c r="K32" s="132">
        <v>5.1655379884990103E-2</v>
      </c>
      <c r="L32" s="123">
        <v>6.5054958431501136E-2</v>
      </c>
      <c r="M32" s="7"/>
      <c r="N32" s="7"/>
      <c r="O32" s="24"/>
      <c r="P32" s="7"/>
      <c r="Q32" s="7"/>
      <c r="R32" s="7"/>
      <c r="S32" s="7"/>
      <c r="T32" s="7"/>
      <c r="U32" s="7"/>
      <c r="V32" s="7"/>
      <c r="W32" s="7"/>
    </row>
    <row r="33" spans="1:23" x14ac:dyDescent="0.3">
      <c r="A33" s="7"/>
      <c r="B33" s="7"/>
      <c r="C33" s="4"/>
      <c r="H33" s="7"/>
      <c r="I33" s="7"/>
      <c r="J33" s="7"/>
      <c r="K33" s="132">
        <v>8.4915148808340057E-2</v>
      </c>
      <c r="L33" s="123">
        <v>9.0049992417098573E-2</v>
      </c>
      <c r="M33" s="7"/>
      <c r="N33" s="7"/>
      <c r="O33" s="24"/>
      <c r="P33" s="7"/>
      <c r="Q33" s="7"/>
      <c r="R33" s="7"/>
      <c r="S33" s="7"/>
      <c r="T33" s="7"/>
      <c r="U33" s="7"/>
      <c r="V33" s="7"/>
      <c r="W33" s="7"/>
    </row>
    <row r="34" spans="1:23" x14ac:dyDescent="0.3">
      <c r="A34" s="7"/>
      <c r="B34" s="7"/>
      <c r="C34" s="4"/>
      <c r="H34" s="7"/>
      <c r="I34" s="7"/>
      <c r="J34" s="7"/>
      <c r="K34" s="132">
        <v>0.10455608726779517</v>
      </c>
      <c r="L34" s="123">
        <v>9.8118262464966133E-2</v>
      </c>
      <c r="M34" s="7"/>
      <c r="N34" s="7"/>
      <c r="O34" s="24"/>
      <c r="P34" s="7"/>
      <c r="Q34" s="7"/>
      <c r="R34" s="7"/>
      <c r="S34" s="7"/>
      <c r="T34" s="7"/>
      <c r="U34" s="7"/>
      <c r="V34" s="7"/>
      <c r="W34" s="7"/>
    </row>
    <row r="35" spans="1:23" x14ac:dyDescent="0.3">
      <c r="A35" s="7"/>
      <c r="B35" s="7"/>
      <c r="C35" s="4"/>
      <c r="H35" s="7"/>
      <c r="I35" s="7"/>
      <c r="J35" s="7"/>
      <c r="K35" s="132">
        <v>0.12407385282405876</v>
      </c>
      <c r="L35" s="123">
        <v>0.11019747060948848</v>
      </c>
      <c r="M35" s="7"/>
      <c r="N35" s="7"/>
      <c r="O35" s="24"/>
      <c r="P35" s="7"/>
      <c r="Q35" s="7"/>
      <c r="R35" s="7"/>
      <c r="S35" s="7"/>
      <c r="T35" s="7"/>
      <c r="U35" s="7"/>
      <c r="V35" s="7"/>
      <c r="W35" s="7"/>
    </row>
    <row r="36" spans="1:23" x14ac:dyDescent="0.3">
      <c r="A36" s="7"/>
      <c r="B36" s="7"/>
      <c r="C36" s="4"/>
      <c r="H36" s="7"/>
      <c r="I36" s="7"/>
      <c r="J36" s="7"/>
      <c r="K36" s="132">
        <v>0.12880846652653294</v>
      </c>
      <c r="L36" s="123">
        <v>0.11330534038757738</v>
      </c>
      <c r="M36" s="7"/>
      <c r="N36" s="7"/>
      <c r="O36" s="24"/>
      <c r="P36" s="7"/>
      <c r="Q36" s="7"/>
      <c r="R36" s="7"/>
      <c r="S36" s="7"/>
      <c r="T36" s="7"/>
      <c r="U36" s="7"/>
      <c r="V36" s="7"/>
      <c r="W36" s="7"/>
    </row>
    <row r="37" spans="1:23" x14ac:dyDescent="0.3">
      <c r="A37" s="7"/>
      <c r="B37" s="7"/>
      <c r="C37" s="4"/>
      <c r="H37" s="7"/>
      <c r="I37" s="7"/>
      <c r="J37" s="7"/>
      <c r="K37" s="132">
        <v>0.13711206669987797</v>
      </c>
      <c r="L37" s="123">
        <v>0.12175224871835696</v>
      </c>
      <c r="M37" s="7"/>
      <c r="N37" s="7"/>
      <c r="O37" s="24"/>
      <c r="P37" s="7"/>
      <c r="Q37" s="7"/>
      <c r="R37" s="7"/>
      <c r="S37" s="7"/>
      <c r="T37" s="7"/>
      <c r="U37" s="7"/>
      <c r="V37" s="7"/>
      <c r="W37" s="7"/>
    </row>
    <row r="38" spans="1:23" x14ac:dyDescent="0.3">
      <c r="A38" s="7"/>
      <c r="B38" s="7"/>
      <c r="C38" s="4"/>
      <c r="H38" s="7"/>
      <c r="I38" s="7"/>
      <c r="J38" s="7"/>
      <c r="K38" s="132">
        <v>0.12148541599958267</v>
      </c>
      <c r="L38" s="123">
        <v>0.11313553712523332</v>
      </c>
      <c r="M38" s="7"/>
      <c r="N38" s="7"/>
      <c r="O38" s="24"/>
      <c r="P38" s="7"/>
      <c r="Q38" s="7"/>
      <c r="R38" s="7"/>
      <c r="S38" s="7"/>
      <c r="T38" s="7"/>
      <c r="U38" s="7"/>
      <c r="V38" s="7"/>
      <c r="W38" s="7"/>
    </row>
    <row r="39" spans="1:23" x14ac:dyDescent="0.3">
      <c r="A39" s="7"/>
      <c r="B39" s="7"/>
      <c r="C39" s="4"/>
      <c r="H39" s="7"/>
      <c r="I39" s="7"/>
      <c r="J39" s="7"/>
      <c r="K39" s="132">
        <v>8.9669518682803456E-2</v>
      </c>
      <c r="L39" s="123">
        <v>9.075995054427459E-2</v>
      </c>
      <c r="M39" s="7"/>
      <c r="N39" s="7"/>
      <c r="O39" s="24"/>
      <c r="P39" s="7"/>
      <c r="Q39" s="7"/>
      <c r="R39" s="7"/>
      <c r="S39" s="7"/>
      <c r="T39" s="7"/>
      <c r="U39" s="7"/>
      <c r="V39" s="7"/>
      <c r="W39" s="7"/>
    </row>
    <row r="40" spans="1:23" x14ac:dyDescent="0.3">
      <c r="A40" s="7"/>
      <c r="B40" s="7"/>
      <c r="C40" s="4"/>
      <c r="H40" s="7"/>
      <c r="I40" s="7"/>
      <c r="J40" s="7"/>
      <c r="K40" s="132">
        <v>5.9709901005543041E-2</v>
      </c>
      <c r="L40" s="123">
        <v>6.6910517125776309E-2</v>
      </c>
      <c r="M40" s="7"/>
      <c r="N40" s="7"/>
      <c r="O40" s="24"/>
      <c r="P40" s="7"/>
      <c r="Q40" s="7"/>
      <c r="R40" s="7"/>
      <c r="S40" s="7"/>
      <c r="T40" s="7"/>
      <c r="U40" s="7"/>
      <c r="V40" s="7"/>
      <c r="W40" s="7"/>
    </row>
    <row r="41" spans="1:23" x14ac:dyDescent="0.3">
      <c r="A41" s="7"/>
      <c r="B41" s="7"/>
      <c r="C41" s="4"/>
      <c r="H41" s="7"/>
      <c r="I41" s="7"/>
      <c r="J41" s="7"/>
      <c r="K41" s="132">
        <v>3.5419879288700995E-2</v>
      </c>
      <c r="L41" s="123">
        <v>4.4189534071100475E-2</v>
      </c>
      <c r="M41" s="7"/>
      <c r="N41" s="7"/>
      <c r="O41" s="24"/>
      <c r="P41" s="7"/>
      <c r="Q41" s="7"/>
      <c r="R41" s="7"/>
      <c r="S41" s="7"/>
      <c r="T41" s="7"/>
      <c r="U41" s="7"/>
      <c r="V41" s="7"/>
      <c r="W41" s="7"/>
    </row>
    <row r="42" spans="1:23" x14ac:dyDescent="0.3">
      <c r="A42" s="7"/>
      <c r="B42" s="7"/>
      <c r="C42" s="4"/>
      <c r="H42" s="7"/>
      <c r="I42" s="7"/>
      <c r="J42" s="7"/>
      <c r="K42" s="132">
        <v>2.7368879103317111E-2</v>
      </c>
      <c r="L42" s="123">
        <v>3.7493695508296392E-2</v>
      </c>
      <c r="M42" s="7"/>
      <c r="N42" s="7"/>
      <c r="O42" s="24"/>
      <c r="P42" s="7"/>
      <c r="Q42" s="7"/>
      <c r="R42" s="7"/>
      <c r="S42" s="7"/>
      <c r="T42" s="7"/>
      <c r="U42" s="7"/>
      <c r="V42" s="7"/>
      <c r="W42" s="7"/>
    </row>
    <row r="43" spans="1:23" ht="15" thickBot="1" x14ac:dyDescent="0.35">
      <c r="A43" s="7"/>
      <c r="B43" s="7"/>
      <c r="C43" s="5"/>
      <c r="D43" s="6"/>
      <c r="E43" s="6"/>
      <c r="F43" s="6"/>
      <c r="G43" s="6"/>
      <c r="H43" s="27"/>
      <c r="I43" s="27"/>
      <c r="J43" s="27"/>
      <c r="K43" s="184">
        <f>SUM(K31:K42)</f>
        <v>1</v>
      </c>
      <c r="L43" s="128">
        <v>1</v>
      </c>
      <c r="M43" s="27"/>
      <c r="N43" s="27"/>
      <c r="O43" s="28"/>
      <c r="P43" s="7"/>
      <c r="Q43" s="7"/>
      <c r="R43" s="7"/>
      <c r="S43" s="7"/>
      <c r="T43" s="7"/>
      <c r="U43" s="7"/>
      <c r="V43" s="7"/>
      <c r="W43" s="7"/>
    </row>
  </sheetData>
  <mergeCells count="2">
    <mergeCell ref="C2:E2"/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2F50-5262-41D9-BE89-E6A3EBA9F729}">
  <dimension ref="A1:CG57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F37" sqref="AF37"/>
    </sheetView>
  </sheetViews>
  <sheetFormatPr defaultRowHeight="14.4" x14ac:dyDescent="0.3"/>
  <cols>
    <col min="1" max="2" width="9" bestFit="1" customWidth="1"/>
    <col min="4" max="4" width="9" bestFit="1" customWidth="1"/>
    <col min="5" max="7" width="9.21875" bestFit="1" customWidth="1"/>
    <col min="8" max="8" width="9" bestFit="1" customWidth="1"/>
    <col min="9" max="11" width="9.21875" bestFit="1" customWidth="1"/>
    <col min="13" max="20" width="9" bestFit="1" customWidth="1"/>
    <col min="22" max="22" width="9.21875" bestFit="1" customWidth="1"/>
    <col min="23" max="29" width="9" bestFit="1" customWidth="1"/>
    <col min="31" max="38" width="9" bestFit="1" customWidth="1"/>
    <col min="40" max="40" width="8.88671875" style="20"/>
    <col min="41" max="48" width="9" bestFit="1" customWidth="1"/>
    <col min="50" max="57" width="9" bestFit="1" customWidth="1"/>
    <col min="58" max="58" width="8.88671875" style="20"/>
    <col min="59" max="66" width="9" bestFit="1" customWidth="1"/>
    <col min="68" max="75" width="9" bestFit="1" customWidth="1"/>
  </cols>
  <sheetData>
    <row r="1" spans="1:85" x14ac:dyDescent="0.3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147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147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23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85" ht="15" thickBot="1" x14ac:dyDescent="0.35">
      <c r="A2" s="25"/>
      <c r="B2" s="7"/>
      <c r="C2" s="7"/>
      <c r="D2" s="191" t="s">
        <v>162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7"/>
      <c r="V2" s="191" t="s">
        <v>282</v>
      </c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7"/>
      <c r="AN2" s="77"/>
      <c r="AO2" s="191" t="s">
        <v>47</v>
      </c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77"/>
      <c r="BG2" s="191" t="s">
        <v>283</v>
      </c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215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5" ht="15" thickBot="1" x14ac:dyDescent="0.35">
      <c r="A3" s="25"/>
      <c r="B3" s="7"/>
      <c r="C3" s="7"/>
      <c r="D3" s="213" t="s">
        <v>25</v>
      </c>
      <c r="E3" s="202"/>
      <c r="F3" s="202"/>
      <c r="G3" s="202"/>
      <c r="H3" s="202"/>
      <c r="I3" s="202"/>
      <c r="J3" s="202"/>
      <c r="K3" s="203"/>
      <c r="L3" s="7"/>
      <c r="M3" s="213" t="s">
        <v>90</v>
      </c>
      <c r="N3" s="202"/>
      <c r="O3" s="202"/>
      <c r="P3" s="202"/>
      <c r="Q3" s="202"/>
      <c r="R3" s="202"/>
      <c r="S3" s="202"/>
      <c r="T3" s="203"/>
      <c r="U3" s="77"/>
      <c r="V3" s="213" t="s">
        <v>25</v>
      </c>
      <c r="W3" s="202"/>
      <c r="X3" s="202"/>
      <c r="Y3" s="202"/>
      <c r="Z3" s="202"/>
      <c r="AA3" s="202"/>
      <c r="AB3" s="202"/>
      <c r="AC3" s="203"/>
      <c r="AD3" s="7"/>
      <c r="AE3" s="213" t="s">
        <v>90</v>
      </c>
      <c r="AF3" s="202"/>
      <c r="AG3" s="202"/>
      <c r="AH3" s="202"/>
      <c r="AI3" s="202"/>
      <c r="AJ3" s="202"/>
      <c r="AK3" s="202"/>
      <c r="AL3" s="203"/>
      <c r="AM3" s="7"/>
      <c r="AN3" s="77"/>
      <c r="AO3" s="213" t="s">
        <v>25</v>
      </c>
      <c r="AP3" s="202"/>
      <c r="AQ3" s="202"/>
      <c r="AR3" s="202"/>
      <c r="AS3" s="202"/>
      <c r="AT3" s="202"/>
      <c r="AU3" s="202"/>
      <c r="AV3" s="203"/>
      <c r="AW3" s="7"/>
      <c r="AX3" s="213" t="s">
        <v>90</v>
      </c>
      <c r="AY3" s="202"/>
      <c r="AZ3" s="202"/>
      <c r="BA3" s="202"/>
      <c r="BB3" s="202"/>
      <c r="BC3" s="202"/>
      <c r="BD3" s="202"/>
      <c r="BE3" s="203"/>
      <c r="BF3" s="77"/>
      <c r="BG3" s="213" t="s">
        <v>25</v>
      </c>
      <c r="BH3" s="202"/>
      <c r="BI3" s="202"/>
      <c r="BJ3" s="202"/>
      <c r="BK3" s="202"/>
      <c r="BL3" s="202"/>
      <c r="BM3" s="202"/>
      <c r="BN3" s="203"/>
      <c r="BO3" s="7"/>
      <c r="BP3" s="213" t="s">
        <v>90</v>
      </c>
      <c r="BQ3" s="202"/>
      <c r="BR3" s="202"/>
      <c r="BS3" s="202"/>
      <c r="BT3" s="202"/>
      <c r="BU3" s="202"/>
      <c r="BV3" s="202"/>
      <c r="BW3" s="203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ht="15" thickBot="1" x14ac:dyDescent="0.35">
      <c r="A4" s="25"/>
      <c r="B4" s="7"/>
      <c r="C4" s="7"/>
      <c r="D4" s="213" t="s">
        <v>85</v>
      </c>
      <c r="E4" s="202"/>
      <c r="F4" s="202"/>
      <c r="G4" s="203"/>
      <c r="H4" s="213" t="s">
        <v>86</v>
      </c>
      <c r="I4" s="202"/>
      <c r="J4" s="202"/>
      <c r="K4" s="203"/>
      <c r="L4" s="7"/>
      <c r="M4" s="213" t="s">
        <v>85</v>
      </c>
      <c r="N4" s="202"/>
      <c r="O4" s="202"/>
      <c r="P4" s="203"/>
      <c r="Q4" s="213" t="s">
        <v>86</v>
      </c>
      <c r="R4" s="202"/>
      <c r="S4" s="202"/>
      <c r="T4" s="203"/>
      <c r="U4" s="77"/>
      <c r="V4" s="213" t="s">
        <v>85</v>
      </c>
      <c r="W4" s="202"/>
      <c r="X4" s="202"/>
      <c r="Y4" s="203"/>
      <c r="Z4" s="213" t="s">
        <v>86</v>
      </c>
      <c r="AA4" s="202"/>
      <c r="AB4" s="202"/>
      <c r="AC4" s="203"/>
      <c r="AD4" s="7"/>
      <c r="AE4" s="213" t="s">
        <v>85</v>
      </c>
      <c r="AF4" s="202"/>
      <c r="AG4" s="202"/>
      <c r="AH4" s="203"/>
      <c r="AI4" s="213" t="s">
        <v>86</v>
      </c>
      <c r="AJ4" s="202"/>
      <c r="AK4" s="202"/>
      <c r="AL4" s="203"/>
      <c r="AM4" s="7"/>
      <c r="AN4" s="77"/>
      <c r="AO4" s="213" t="s">
        <v>85</v>
      </c>
      <c r="AP4" s="202"/>
      <c r="AQ4" s="202"/>
      <c r="AR4" s="203"/>
      <c r="AS4" s="213" t="s">
        <v>86</v>
      </c>
      <c r="AT4" s="202"/>
      <c r="AU4" s="202"/>
      <c r="AV4" s="203"/>
      <c r="AW4" s="7"/>
      <c r="AX4" s="213" t="s">
        <v>85</v>
      </c>
      <c r="AY4" s="202"/>
      <c r="AZ4" s="202"/>
      <c r="BA4" s="203"/>
      <c r="BB4" s="213" t="s">
        <v>86</v>
      </c>
      <c r="BC4" s="202"/>
      <c r="BD4" s="202"/>
      <c r="BE4" s="203"/>
      <c r="BF4" s="77"/>
      <c r="BG4" s="213" t="s">
        <v>85</v>
      </c>
      <c r="BH4" s="202"/>
      <c r="BI4" s="202"/>
      <c r="BJ4" s="203"/>
      <c r="BK4" s="213" t="s">
        <v>86</v>
      </c>
      <c r="BL4" s="202"/>
      <c r="BM4" s="202"/>
      <c r="BN4" s="203"/>
      <c r="BO4" s="7"/>
      <c r="BP4" s="213" t="s">
        <v>85</v>
      </c>
      <c r="BQ4" s="202"/>
      <c r="BR4" s="202"/>
      <c r="BS4" s="203"/>
      <c r="BT4" s="213" t="s">
        <v>86</v>
      </c>
      <c r="BU4" s="202"/>
      <c r="BV4" s="202"/>
      <c r="BW4" s="203"/>
      <c r="BX4" s="7"/>
      <c r="BY4" s="7"/>
      <c r="BZ4" s="7"/>
      <c r="CA4" s="7"/>
      <c r="CB4" s="7"/>
      <c r="CC4" s="7"/>
      <c r="CD4" s="7"/>
      <c r="CE4" s="7"/>
      <c r="CF4" s="7"/>
      <c r="CG4" s="7"/>
    </row>
    <row r="5" spans="1:85" ht="15" thickBot="1" x14ac:dyDescent="0.35">
      <c r="A5" s="25"/>
      <c r="B5" s="7"/>
      <c r="C5" s="7"/>
      <c r="D5" s="213" t="s">
        <v>87</v>
      </c>
      <c r="E5" s="203"/>
      <c r="F5" s="213" t="s">
        <v>88</v>
      </c>
      <c r="G5" s="203"/>
      <c r="H5" s="213" t="s">
        <v>87</v>
      </c>
      <c r="I5" s="203"/>
      <c r="J5" s="213" t="s">
        <v>88</v>
      </c>
      <c r="K5" s="203"/>
      <c r="L5" s="7"/>
      <c r="M5" s="213" t="s">
        <v>87</v>
      </c>
      <c r="N5" s="203"/>
      <c r="O5" s="213" t="s">
        <v>88</v>
      </c>
      <c r="P5" s="203"/>
      <c r="Q5" s="213" t="s">
        <v>87</v>
      </c>
      <c r="R5" s="203"/>
      <c r="S5" s="213" t="s">
        <v>88</v>
      </c>
      <c r="T5" s="203"/>
      <c r="U5" s="77"/>
      <c r="V5" s="213" t="s">
        <v>87</v>
      </c>
      <c r="W5" s="203"/>
      <c r="X5" s="213" t="s">
        <v>88</v>
      </c>
      <c r="Y5" s="203"/>
      <c r="Z5" s="213" t="s">
        <v>87</v>
      </c>
      <c r="AA5" s="203"/>
      <c r="AB5" s="213" t="s">
        <v>88</v>
      </c>
      <c r="AC5" s="203"/>
      <c r="AD5" s="7"/>
      <c r="AE5" s="213" t="s">
        <v>87</v>
      </c>
      <c r="AF5" s="203"/>
      <c r="AG5" s="213" t="s">
        <v>88</v>
      </c>
      <c r="AH5" s="203"/>
      <c r="AI5" s="213" t="s">
        <v>87</v>
      </c>
      <c r="AJ5" s="203"/>
      <c r="AK5" s="213" t="s">
        <v>88</v>
      </c>
      <c r="AL5" s="203"/>
      <c r="AM5" s="7"/>
      <c r="AN5" s="77"/>
      <c r="AO5" s="213" t="s">
        <v>87</v>
      </c>
      <c r="AP5" s="203"/>
      <c r="AQ5" s="213" t="s">
        <v>88</v>
      </c>
      <c r="AR5" s="203"/>
      <c r="AS5" s="213" t="s">
        <v>87</v>
      </c>
      <c r="AT5" s="203"/>
      <c r="AU5" s="213" t="s">
        <v>88</v>
      </c>
      <c r="AV5" s="203"/>
      <c r="AW5" s="7"/>
      <c r="AX5" s="213" t="s">
        <v>87</v>
      </c>
      <c r="AY5" s="203"/>
      <c r="AZ5" s="213" t="s">
        <v>88</v>
      </c>
      <c r="BA5" s="203"/>
      <c r="BB5" s="213" t="s">
        <v>87</v>
      </c>
      <c r="BC5" s="203"/>
      <c r="BD5" s="213" t="s">
        <v>88</v>
      </c>
      <c r="BE5" s="203"/>
      <c r="BF5" s="77"/>
      <c r="BG5" s="213" t="s">
        <v>87</v>
      </c>
      <c r="BH5" s="203"/>
      <c r="BI5" s="213" t="s">
        <v>88</v>
      </c>
      <c r="BJ5" s="203"/>
      <c r="BK5" s="213" t="s">
        <v>87</v>
      </c>
      <c r="BL5" s="203"/>
      <c r="BM5" s="213" t="s">
        <v>88</v>
      </c>
      <c r="BN5" s="203"/>
      <c r="BO5" s="7"/>
      <c r="BP5" s="213" t="s">
        <v>87</v>
      </c>
      <c r="BQ5" s="203"/>
      <c r="BR5" s="213" t="s">
        <v>88</v>
      </c>
      <c r="BS5" s="203"/>
      <c r="BT5" s="213" t="s">
        <v>87</v>
      </c>
      <c r="BU5" s="203"/>
      <c r="BV5" s="213" t="s">
        <v>88</v>
      </c>
      <c r="BW5" s="203"/>
      <c r="BX5" s="7"/>
      <c r="BY5" s="7"/>
      <c r="BZ5" s="7"/>
      <c r="CA5" s="7"/>
      <c r="CB5" s="7"/>
      <c r="CC5" s="7"/>
      <c r="CD5" s="7"/>
      <c r="CE5" s="7"/>
      <c r="CF5" s="7"/>
      <c r="CG5" s="7"/>
    </row>
    <row r="6" spans="1:85" ht="15" thickBot="1" x14ac:dyDescent="0.35">
      <c r="A6" s="25"/>
      <c r="B6" s="7"/>
      <c r="C6" s="7"/>
      <c r="D6" s="76" t="s">
        <v>89</v>
      </c>
      <c r="E6" s="76" t="s">
        <v>60</v>
      </c>
      <c r="F6" s="76" t="s">
        <v>89</v>
      </c>
      <c r="G6" s="76" t="s">
        <v>60</v>
      </c>
      <c r="H6" s="76" t="s">
        <v>89</v>
      </c>
      <c r="I6" s="76" t="s">
        <v>60</v>
      </c>
      <c r="J6" s="76" t="s">
        <v>89</v>
      </c>
      <c r="K6" s="76" t="s">
        <v>60</v>
      </c>
      <c r="L6" s="7"/>
      <c r="M6" s="76" t="s">
        <v>89</v>
      </c>
      <c r="N6" s="76" t="s">
        <v>60</v>
      </c>
      <c r="O6" s="76" t="s">
        <v>89</v>
      </c>
      <c r="P6" s="76" t="s">
        <v>60</v>
      </c>
      <c r="Q6" s="76" t="s">
        <v>89</v>
      </c>
      <c r="R6" s="76" t="s">
        <v>60</v>
      </c>
      <c r="S6" s="76" t="s">
        <v>89</v>
      </c>
      <c r="T6" s="76" t="s">
        <v>60</v>
      </c>
      <c r="U6" s="77"/>
      <c r="V6" s="76" t="s">
        <v>89</v>
      </c>
      <c r="W6" s="76" t="s">
        <v>60</v>
      </c>
      <c r="X6" s="76" t="s">
        <v>89</v>
      </c>
      <c r="Y6" s="76" t="s">
        <v>60</v>
      </c>
      <c r="Z6" s="76" t="s">
        <v>89</v>
      </c>
      <c r="AA6" s="76" t="s">
        <v>60</v>
      </c>
      <c r="AB6" s="76" t="s">
        <v>89</v>
      </c>
      <c r="AC6" s="76" t="s">
        <v>60</v>
      </c>
      <c r="AD6" s="7"/>
      <c r="AE6" s="76" t="s">
        <v>89</v>
      </c>
      <c r="AF6" s="76" t="s">
        <v>60</v>
      </c>
      <c r="AG6" s="76" t="s">
        <v>89</v>
      </c>
      <c r="AH6" s="76" t="s">
        <v>60</v>
      </c>
      <c r="AI6" s="76" t="s">
        <v>89</v>
      </c>
      <c r="AJ6" s="76" t="s">
        <v>60</v>
      </c>
      <c r="AK6" s="76" t="s">
        <v>89</v>
      </c>
      <c r="AL6" s="76" t="s">
        <v>60</v>
      </c>
      <c r="AM6" s="7"/>
      <c r="AN6" s="77"/>
      <c r="AO6" s="76" t="s">
        <v>89</v>
      </c>
      <c r="AP6" s="76" t="s">
        <v>60</v>
      </c>
      <c r="AQ6" s="76" t="s">
        <v>89</v>
      </c>
      <c r="AR6" s="76" t="s">
        <v>60</v>
      </c>
      <c r="AS6" s="76" t="s">
        <v>89</v>
      </c>
      <c r="AT6" s="76" t="s">
        <v>60</v>
      </c>
      <c r="AU6" s="76" t="s">
        <v>89</v>
      </c>
      <c r="AV6" s="76" t="s">
        <v>60</v>
      </c>
      <c r="AW6" s="7"/>
      <c r="AX6" s="76" t="s">
        <v>89</v>
      </c>
      <c r="AY6" s="76" t="s">
        <v>60</v>
      </c>
      <c r="AZ6" s="76" t="s">
        <v>89</v>
      </c>
      <c r="BA6" s="76" t="s">
        <v>60</v>
      </c>
      <c r="BB6" s="76" t="s">
        <v>89</v>
      </c>
      <c r="BC6" s="76" t="s">
        <v>60</v>
      </c>
      <c r="BD6" s="76" t="s">
        <v>89</v>
      </c>
      <c r="BE6" s="76" t="s">
        <v>60</v>
      </c>
      <c r="BF6" s="77"/>
      <c r="BG6" s="76" t="s">
        <v>89</v>
      </c>
      <c r="BH6" s="76" t="s">
        <v>60</v>
      </c>
      <c r="BI6" s="76" t="s">
        <v>89</v>
      </c>
      <c r="BJ6" s="76" t="s">
        <v>60</v>
      </c>
      <c r="BK6" s="76" t="s">
        <v>89</v>
      </c>
      <c r="BL6" s="76" t="s">
        <v>60</v>
      </c>
      <c r="BM6" s="76" t="s">
        <v>89</v>
      </c>
      <c r="BN6" s="76" t="s">
        <v>60</v>
      </c>
      <c r="BO6" s="7"/>
      <c r="BP6" s="76" t="s">
        <v>89</v>
      </c>
      <c r="BQ6" s="76" t="s">
        <v>60</v>
      </c>
      <c r="BR6" s="76" t="s">
        <v>89</v>
      </c>
      <c r="BS6" s="76" t="s">
        <v>60</v>
      </c>
      <c r="BT6" s="76" t="s">
        <v>89</v>
      </c>
      <c r="BU6" s="76" t="s">
        <v>60</v>
      </c>
      <c r="BV6" s="76" t="s">
        <v>89</v>
      </c>
      <c r="BW6" s="76" t="s">
        <v>60</v>
      </c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x14ac:dyDescent="0.3">
      <c r="A7" s="150">
        <v>0.221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24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5" thickBot="1" x14ac:dyDescent="0.35">
      <c r="A8" s="2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24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x14ac:dyDescent="0.3">
      <c r="A9" s="29" t="s">
        <v>277</v>
      </c>
      <c r="B9" s="30"/>
      <c r="C9" s="30"/>
      <c r="D9" s="7">
        <v>0.97628184900609949</v>
      </c>
      <c r="E9" s="7">
        <v>0.87551434884593227</v>
      </c>
      <c r="F9" s="7">
        <v>0.88376805925407798</v>
      </c>
      <c r="G9" s="7">
        <v>0.8075469170793782</v>
      </c>
      <c r="H9" s="7">
        <v>0.95875769640678532</v>
      </c>
      <c r="I9" s="7">
        <v>0.8806172763244724</v>
      </c>
      <c r="J9" s="7">
        <v>0.8869392546097743</v>
      </c>
      <c r="K9" s="7">
        <v>0.82607304267096149</v>
      </c>
      <c r="L9" s="7"/>
      <c r="M9" s="7">
        <v>0.69345884217108911</v>
      </c>
      <c r="N9" s="7">
        <v>0.65198241272815483</v>
      </c>
      <c r="O9" s="7">
        <v>0.65811933326011118</v>
      </c>
      <c r="P9" s="7">
        <v>0.62507009399351277</v>
      </c>
      <c r="Q9" s="7">
        <v>0.71378298801487605</v>
      </c>
      <c r="R9" s="7">
        <v>0.66922368332028115</v>
      </c>
      <c r="S9" s="7">
        <v>0.67586558318263468</v>
      </c>
      <c r="T9" s="7">
        <v>0.64041405557880493</v>
      </c>
      <c r="U9" s="147"/>
      <c r="V9" s="7">
        <v>138181.59606380994</v>
      </c>
      <c r="W9" s="7">
        <v>146265.18014982741</v>
      </c>
      <c r="X9" s="7">
        <v>145256.30849692889</v>
      </c>
      <c r="Y9" s="7">
        <v>153339.89435689535</v>
      </c>
      <c r="Z9" s="7">
        <v>139400.50433504331</v>
      </c>
      <c r="AA9" s="7">
        <v>148337.07467440408</v>
      </c>
      <c r="AB9" s="7">
        <v>147237.90965474394</v>
      </c>
      <c r="AC9" s="7">
        <v>156174.48482812286</v>
      </c>
      <c r="AD9" s="7"/>
      <c r="AE9" s="7">
        <v>415969.28714689257</v>
      </c>
      <c r="AF9" s="7">
        <v>452469.26642392285</v>
      </c>
      <c r="AG9" s="7">
        <v>444982.76806320809</v>
      </c>
      <c r="AH9" s="7">
        <v>481482.74129543104</v>
      </c>
      <c r="AI9" s="7">
        <v>424541.17100991757</v>
      </c>
      <c r="AJ9" s="7">
        <v>461041.13377882785</v>
      </c>
      <c r="AK9" s="7">
        <v>453554.64607012371</v>
      </c>
      <c r="AL9" s="7">
        <v>490054.61954027665</v>
      </c>
      <c r="AM9" s="125"/>
      <c r="AN9" s="147"/>
      <c r="AO9" s="125">
        <v>0</v>
      </c>
      <c r="AP9" s="125">
        <v>0</v>
      </c>
      <c r="AQ9" s="125">
        <v>0</v>
      </c>
      <c r="AR9" s="125">
        <v>0</v>
      </c>
      <c r="AS9" s="125">
        <v>0.13006971855139063</v>
      </c>
      <c r="AT9" s="125">
        <v>0.71357319505019823</v>
      </c>
      <c r="AU9" s="125">
        <v>0.65180516638484032</v>
      </c>
      <c r="AV9" s="125">
        <v>1.2353054695723107</v>
      </c>
      <c r="AW9" s="125"/>
      <c r="AX9" s="125">
        <v>0.56140501791147068</v>
      </c>
      <c r="AY9" s="125">
        <v>1.4595146730777673</v>
      </c>
      <c r="AZ9" s="125">
        <v>1.2892573184390073</v>
      </c>
      <c r="BA9" s="125">
        <v>2.1873630881562862</v>
      </c>
      <c r="BB9" s="125">
        <v>2.0613392106522834</v>
      </c>
      <c r="BC9" s="125">
        <v>2.9594443501484493</v>
      </c>
      <c r="BD9" s="125">
        <v>2.7891865327746737</v>
      </c>
      <c r="BE9" s="125">
        <v>3.6872936676787056</v>
      </c>
      <c r="BF9" s="147"/>
      <c r="BG9" s="125">
        <v>0.70638730138432504</v>
      </c>
      <c r="BH9" s="125">
        <v>0.83376880521772734</v>
      </c>
      <c r="BI9" s="125">
        <v>0.82028477344818884</v>
      </c>
      <c r="BJ9" s="125">
        <v>0.94766640280338388</v>
      </c>
      <c r="BK9" s="125">
        <v>0.7</v>
      </c>
      <c r="BL9" s="125">
        <v>0.7</v>
      </c>
      <c r="BM9" s="125">
        <v>0.7</v>
      </c>
      <c r="BN9" s="125">
        <v>0.7</v>
      </c>
      <c r="BO9" s="125"/>
      <c r="BP9" s="125">
        <v>1</v>
      </c>
      <c r="BQ9" s="125">
        <v>1</v>
      </c>
      <c r="BR9" s="125">
        <v>1</v>
      </c>
      <c r="BS9" s="125">
        <v>1</v>
      </c>
      <c r="BT9" s="125">
        <v>0.7</v>
      </c>
      <c r="BU9" s="125">
        <v>0.7</v>
      </c>
      <c r="BV9" s="125">
        <v>0.7</v>
      </c>
      <c r="BW9" s="126">
        <v>0.7</v>
      </c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x14ac:dyDescent="0.3">
      <c r="A10" s="132" t="s">
        <v>284</v>
      </c>
      <c r="B10" s="122"/>
      <c r="C10" s="122"/>
      <c r="D10" s="7">
        <v>1.0168992485744432</v>
      </c>
      <c r="E10" s="7">
        <v>0.91613175461440033</v>
      </c>
      <c r="F10" s="7">
        <v>0.92438546394362853</v>
      </c>
      <c r="G10" s="7">
        <v>0.84816433479647013</v>
      </c>
      <c r="H10" s="7">
        <v>1.0002215785487611</v>
      </c>
      <c r="I10" s="7">
        <v>0.9252399774588359</v>
      </c>
      <c r="J10" s="7">
        <v>0.93126908413669285</v>
      </c>
      <c r="K10" s="7">
        <v>0.87286815702011367</v>
      </c>
      <c r="L10" s="7"/>
      <c r="M10" s="7">
        <v>0.73642484876149172</v>
      </c>
      <c r="N10" s="7">
        <v>0.6978764349211406</v>
      </c>
      <c r="O10" s="7">
        <v>0.70352087264240326</v>
      </c>
      <c r="P10" s="7">
        <v>0.67281213774664972</v>
      </c>
      <c r="Q10" s="7">
        <v>0.76309591031093216</v>
      </c>
      <c r="R10" s="7">
        <v>0.72061915379130881</v>
      </c>
      <c r="S10" s="7">
        <v>0.72691114827477243</v>
      </c>
      <c r="T10" s="7">
        <v>0.69312137616177671</v>
      </c>
      <c r="U10" s="77"/>
      <c r="V10" s="7">
        <v>143930.52717955643</v>
      </c>
      <c r="W10" s="7">
        <v>153050.80528524032</v>
      </c>
      <c r="X10" s="7">
        <v>151932.19387675315</v>
      </c>
      <c r="Y10" s="7">
        <v>161052.47477799869</v>
      </c>
      <c r="Z10" s="7">
        <v>145429.13740460243</v>
      </c>
      <c r="AA10" s="7">
        <v>155853.62877348391</v>
      </c>
      <c r="AB10" s="7">
        <v>154596.96090991286</v>
      </c>
      <c r="AC10" s="7">
        <v>165021.44909628725</v>
      </c>
      <c r="AD10" s="7"/>
      <c r="AE10" s="7">
        <v>441742.02179735299</v>
      </c>
      <c r="AF10" s="7">
        <v>484319.25830945827</v>
      </c>
      <c r="AG10" s="7">
        <v>475680.68804075004</v>
      </c>
      <c r="AH10" s="7">
        <v>518257.8209872134</v>
      </c>
      <c r="AI10" s="7">
        <v>453871.32615372777</v>
      </c>
      <c r="AJ10" s="7">
        <v>496448.46703322878</v>
      </c>
      <c r="AK10" s="7">
        <v>487809.90892844537</v>
      </c>
      <c r="AL10" s="7">
        <v>530387.06650996569</v>
      </c>
      <c r="AM10" s="122"/>
      <c r="AN10" s="77"/>
      <c r="AO10" s="122">
        <f>AO$9</f>
        <v>0</v>
      </c>
      <c r="AP10" s="122">
        <f t="shared" ref="AP10:BE17" si="0">AP$9</f>
        <v>0</v>
      </c>
      <c r="AQ10" s="122">
        <f t="shared" si="0"/>
        <v>0</v>
      </c>
      <c r="AR10" s="122">
        <f t="shared" si="0"/>
        <v>0</v>
      </c>
      <c r="AS10" s="122">
        <f t="shared" si="0"/>
        <v>0.13006971855139063</v>
      </c>
      <c r="AT10" s="122">
        <f t="shared" si="0"/>
        <v>0.71357319505019823</v>
      </c>
      <c r="AU10" s="122">
        <f t="shared" si="0"/>
        <v>0.65180516638484032</v>
      </c>
      <c r="AV10" s="122">
        <f t="shared" si="0"/>
        <v>1.2353054695723107</v>
      </c>
      <c r="AW10" s="122"/>
      <c r="AX10" s="122">
        <f t="shared" si="0"/>
        <v>0.56140501791147068</v>
      </c>
      <c r="AY10" s="122">
        <f t="shared" si="0"/>
        <v>1.4595146730777673</v>
      </c>
      <c r="AZ10" s="122">
        <f t="shared" si="0"/>
        <v>1.2892573184390073</v>
      </c>
      <c r="BA10" s="122">
        <f t="shared" si="0"/>
        <v>2.1873630881562862</v>
      </c>
      <c r="BB10" s="122">
        <f t="shared" si="0"/>
        <v>2.0613392106522834</v>
      </c>
      <c r="BC10" s="122">
        <f t="shared" si="0"/>
        <v>2.9594443501484493</v>
      </c>
      <c r="BD10" s="122">
        <f t="shared" si="0"/>
        <v>2.7891865327746737</v>
      </c>
      <c r="BE10" s="122">
        <f t="shared" si="0"/>
        <v>3.6872936676787056</v>
      </c>
      <c r="BF10" s="77"/>
      <c r="BG10" s="122">
        <f>BG$9</f>
        <v>0.70638730138432504</v>
      </c>
      <c r="BH10" s="122">
        <f t="shared" ref="BH10:BW17" si="1">BH$9</f>
        <v>0.83376880521772734</v>
      </c>
      <c r="BI10" s="122">
        <f t="shared" si="1"/>
        <v>0.82028477344818884</v>
      </c>
      <c r="BJ10" s="122">
        <f t="shared" si="1"/>
        <v>0.94766640280338388</v>
      </c>
      <c r="BK10" s="122">
        <f t="shared" si="1"/>
        <v>0.7</v>
      </c>
      <c r="BL10" s="122">
        <f t="shared" si="1"/>
        <v>0.7</v>
      </c>
      <c r="BM10" s="122">
        <f t="shared" si="1"/>
        <v>0.7</v>
      </c>
      <c r="BN10" s="122">
        <f t="shared" si="1"/>
        <v>0.7</v>
      </c>
      <c r="BO10" s="122"/>
      <c r="BP10" s="122">
        <f t="shared" si="1"/>
        <v>1</v>
      </c>
      <c r="BQ10" s="122">
        <f t="shared" si="1"/>
        <v>1</v>
      </c>
      <c r="BR10" s="122">
        <f t="shared" si="1"/>
        <v>1</v>
      </c>
      <c r="BS10" s="122">
        <f t="shared" si="1"/>
        <v>1</v>
      </c>
      <c r="BT10" s="122">
        <f t="shared" si="1"/>
        <v>0.7</v>
      </c>
      <c r="BU10" s="122">
        <f t="shared" si="1"/>
        <v>0.7</v>
      </c>
      <c r="BV10" s="122">
        <f t="shared" si="1"/>
        <v>0.7</v>
      </c>
      <c r="BW10" s="123">
        <f t="shared" si="1"/>
        <v>0.7</v>
      </c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x14ac:dyDescent="0.3">
      <c r="A11" s="132" t="s">
        <v>285</v>
      </c>
      <c r="B11" s="122"/>
      <c r="C11" s="122"/>
      <c r="D11" s="7">
        <v>1.1073197446129071</v>
      </c>
      <c r="E11" s="7">
        <v>0.98653255798264017</v>
      </c>
      <c r="F11" s="7">
        <v>0.99661120851974161</v>
      </c>
      <c r="G11" s="7">
        <v>0.90522216075729434</v>
      </c>
      <c r="H11" s="7">
        <v>1.0863182683705535</v>
      </c>
      <c r="I11" s="7">
        <v>0.9907231392485204</v>
      </c>
      <c r="J11" s="7">
        <v>0.99866315438266762</v>
      </c>
      <c r="K11" s="7">
        <v>0.92417530014574711</v>
      </c>
      <c r="L11" s="7"/>
      <c r="M11" s="7">
        <v>0.74452326342094932</v>
      </c>
      <c r="N11" s="7">
        <v>0.69611952063124116</v>
      </c>
      <c r="O11" s="7">
        <v>0.70342151102987693</v>
      </c>
      <c r="P11" s="7">
        <v>0.66483549870761982</v>
      </c>
      <c r="Q11" s="7">
        <v>0.76528258019519868</v>
      </c>
      <c r="R11" s="7">
        <v>0.71368568776824615</v>
      </c>
      <c r="S11" s="7">
        <v>0.72151003179708206</v>
      </c>
      <c r="T11" s="7">
        <v>0.68044296684958716</v>
      </c>
      <c r="U11" s="77"/>
      <c r="V11" s="7">
        <v>156728.52037282957</v>
      </c>
      <c r="W11" s="7">
        <v>164812.10445860226</v>
      </c>
      <c r="X11" s="7">
        <v>163803.23280570374</v>
      </c>
      <c r="Y11" s="7">
        <v>171886.81866567017</v>
      </c>
      <c r="Z11" s="7">
        <v>157947.41579263724</v>
      </c>
      <c r="AA11" s="7">
        <v>166884.00539645753</v>
      </c>
      <c r="AB11" s="7">
        <v>165784.8336826326</v>
      </c>
      <c r="AC11" s="7">
        <v>174721.40096128298</v>
      </c>
      <c r="AD11" s="7"/>
      <c r="AE11" s="7">
        <v>446600.00906930666</v>
      </c>
      <c r="AF11" s="7">
        <v>483099.99639310519</v>
      </c>
      <c r="AG11" s="7">
        <v>475613.50538555201</v>
      </c>
      <c r="AH11" s="7">
        <v>512113.47575937939</v>
      </c>
      <c r="AI11" s="7">
        <v>455171.90547386598</v>
      </c>
      <c r="AJ11" s="7">
        <v>491671.86824277631</v>
      </c>
      <c r="AK11" s="7">
        <v>484185.37847957411</v>
      </c>
      <c r="AL11" s="7">
        <v>520685.35400422505</v>
      </c>
      <c r="AM11" s="122"/>
      <c r="AN11" s="77"/>
      <c r="AO11" s="122">
        <f t="shared" ref="AO11:BD17" si="2">AO$9</f>
        <v>0</v>
      </c>
      <c r="AP11" s="122">
        <f t="shared" si="2"/>
        <v>0</v>
      </c>
      <c r="AQ11" s="122">
        <f t="shared" si="2"/>
        <v>0</v>
      </c>
      <c r="AR11" s="122">
        <f t="shared" si="2"/>
        <v>0</v>
      </c>
      <c r="AS11" s="122">
        <f t="shared" si="2"/>
        <v>0.13006971855139063</v>
      </c>
      <c r="AT11" s="122">
        <f t="shared" si="2"/>
        <v>0.71357319505019823</v>
      </c>
      <c r="AU11" s="122">
        <f t="shared" si="2"/>
        <v>0.65180516638484032</v>
      </c>
      <c r="AV11" s="122">
        <f t="shared" si="2"/>
        <v>1.2353054695723107</v>
      </c>
      <c r="AW11" s="122"/>
      <c r="AX11" s="122">
        <f t="shared" si="2"/>
        <v>0.56140501791147068</v>
      </c>
      <c r="AY11" s="122">
        <f t="shared" si="2"/>
        <v>1.4595146730777673</v>
      </c>
      <c r="AZ11" s="122">
        <f t="shared" si="2"/>
        <v>1.2892573184390073</v>
      </c>
      <c r="BA11" s="122">
        <f t="shared" si="2"/>
        <v>2.1873630881562862</v>
      </c>
      <c r="BB11" s="122">
        <f t="shared" si="2"/>
        <v>2.0613392106522834</v>
      </c>
      <c r="BC11" s="122">
        <f t="shared" si="2"/>
        <v>2.9594443501484493</v>
      </c>
      <c r="BD11" s="122">
        <f t="shared" si="2"/>
        <v>2.7891865327746737</v>
      </c>
      <c r="BE11" s="122">
        <f t="shared" si="0"/>
        <v>3.6872936676787056</v>
      </c>
      <c r="BF11" s="77"/>
      <c r="BG11" s="122">
        <f t="shared" ref="BG11:BG17" si="3">BG$9</f>
        <v>0.70638730138432504</v>
      </c>
      <c r="BH11" s="122">
        <f t="shared" si="1"/>
        <v>0.83376880521772734</v>
      </c>
      <c r="BI11" s="122">
        <f t="shared" si="1"/>
        <v>0.82028477344818884</v>
      </c>
      <c r="BJ11" s="122">
        <f t="shared" si="1"/>
        <v>0.94766640280338388</v>
      </c>
      <c r="BK11" s="122">
        <f t="shared" si="1"/>
        <v>0.7</v>
      </c>
      <c r="BL11" s="122">
        <f t="shared" si="1"/>
        <v>0.7</v>
      </c>
      <c r="BM11" s="122">
        <f t="shared" si="1"/>
        <v>0.7</v>
      </c>
      <c r="BN11" s="122">
        <f t="shared" si="1"/>
        <v>0.7</v>
      </c>
      <c r="BO11" s="122"/>
      <c r="BP11" s="122">
        <f t="shared" si="1"/>
        <v>1</v>
      </c>
      <c r="BQ11" s="122">
        <f t="shared" si="1"/>
        <v>1</v>
      </c>
      <c r="BR11" s="122">
        <f t="shared" si="1"/>
        <v>1</v>
      </c>
      <c r="BS11" s="122">
        <f t="shared" si="1"/>
        <v>1</v>
      </c>
      <c r="BT11" s="122">
        <f t="shared" si="1"/>
        <v>0.7</v>
      </c>
      <c r="BU11" s="122">
        <f t="shared" si="1"/>
        <v>0.7</v>
      </c>
      <c r="BV11" s="122">
        <f t="shared" si="1"/>
        <v>0.7</v>
      </c>
      <c r="BW11" s="123">
        <f t="shared" si="1"/>
        <v>0.7</v>
      </c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x14ac:dyDescent="0.3">
      <c r="A12" s="132" t="s">
        <v>286</v>
      </c>
      <c r="B12" s="122"/>
      <c r="C12" s="122"/>
      <c r="D12" s="7">
        <v>1.1438952487843841</v>
      </c>
      <c r="E12" s="7">
        <v>1.0175201356832455</v>
      </c>
      <c r="F12" s="7">
        <v>1.0281082858220216</v>
      </c>
      <c r="G12" s="7">
        <v>0.93248542888629027</v>
      </c>
      <c r="H12" s="7">
        <v>1.1219238673389758</v>
      </c>
      <c r="I12" s="7">
        <v>1.0214557196017227</v>
      </c>
      <c r="J12" s="7">
        <v>1.029847720863021</v>
      </c>
      <c r="K12" s="7">
        <v>0.95155782968907454</v>
      </c>
      <c r="L12" s="7"/>
      <c r="M12" s="7">
        <v>0.76342564366260801</v>
      </c>
      <c r="N12" s="7">
        <v>0.71245773710826876</v>
      </c>
      <c r="O12" s="7">
        <v>0.7201908789465018</v>
      </c>
      <c r="P12" s="7">
        <v>0.67955540166561035</v>
      </c>
      <c r="Q12" s="7">
        <v>0.78434606668733187</v>
      </c>
      <c r="R12" s="7">
        <v>0.73014412432879761</v>
      </c>
      <c r="S12" s="7">
        <v>0.73840617780941242</v>
      </c>
      <c r="T12" s="7">
        <v>0.69526041165257912</v>
      </c>
      <c r="U12" s="77"/>
      <c r="V12" s="7">
        <v>161905.36714953886</v>
      </c>
      <c r="W12" s="7">
        <v>169988.95123531157</v>
      </c>
      <c r="X12" s="7">
        <v>168980.08181486826</v>
      </c>
      <c r="Y12" s="7">
        <v>177063.66544237951</v>
      </c>
      <c r="Z12" s="7">
        <v>163124.27542052747</v>
      </c>
      <c r="AA12" s="7">
        <v>172060.84575988818</v>
      </c>
      <c r="AB12" s="7">
        <v>170961.6807402283</v>
      </c>
      <c r="AC12" s="7">
        <v>179898.24773799232</v>
      </c>
      <c r="AD12" s="7"/>
      <c r="AE12" s="7">
        <v>457938.54421267839</v>
      </c>
      <c r="AF12" s="7">
        <v>494438.53603124287</v>
      </c>
      <c r="AG12" s="7">
        <v>486952.03215460689</v>
      </c>
      <c r="AH12" s="7">
        <v>523452.01090275095</v>
      </c>
      <c r="AI12" s="7">
        <v>466510.43609362911</v>
      </c>
      <c r="AJ12" s="7">
        <v>503010.40338614787</v>
      </c>
      <c r="AK12" s="7">
        <v>495523.91362294561</v>
      </c>
      <c r="AL12" s="7">
        <v>532023.88914759643</v>
      </c>
      <c r="AM12" s="122"/>
      <c r="AN12" s="77"/>
      <c r="AO12" s="122">
        <f t="shared" si="2"/>
        <v>0</v>
      </c>
      <c r="AP12" s="122">
        <f t="shared" si="0"/>
        <v>0</v>
      </c>
      <c r="AQ12" s="122">
        <f t="shared" si="0"/>
        <v>0</v>
      </c>
      <c r="AR12" s="122">
        <f t="shared" si="0"/>
        <v>0</v>
      </c>
      <c r="AS12" s="122">
        <f t="shared" si="0"/>
        <v>0.13006971855139063</v>
      </c>
      <c r="AT12" s="122">
        <f t="shared" si="0"/>
        <v>0.71357319505019823</v>
      </c>
      <c r="AU12" s="122">
        <f t="shared" si="0"/>
        <v>0.65180516638484032</v>
      </c>
      <c r="AV12" s="122">
        <f t="shared" si="0"/>
        <v>1.2353054695723107</v>
      </c>
      <c r="AW12" s="122"/>
      <c r="AX12" s="122">
        <f t="shared" si="0"/>
        <v>0.56140501791147068</v>
      </c>
      <c r="AY12" s="122">
        <f t="shared" si="0"/>
        <v>1.4595146730777673</v>
      </c>
      <c r="AZ12" s="122">
        <f t="shared" si="0"/>
        <v>1.2892573184390073</v>
      </c>
      <c r="BA12" s="122">
        <f t="shared" si="0"/>
        <v>2.1873630881562862</v>
      </c>
      <c r="BB12" s="122">
        <f t="shared" si="0"/>
        <v>2.0613392106522834</v>
      </c>
      <c r="BC12" s="122">
        <f t="shared" si="0"/>
        <v>2.9594443501484493</v>
      </c>
      <c r="BD12" s="122">
        <f t="shared" si="0"/>
        <v>2.7891865327746737</v>
      </c>
      <c r="BE12" s="122">
        <f t="shared" si="0"/>
        <v>3.6872936676787056</v>
      </c>
      <c r="BF12" s="77"/>
      <c r="BG12" s="122">
        <f t="shared" si="3"/>
        <v>0.70638730138432504</v>
      </c>
      <c r="BH12" s="122">
        <f t="shared" si="1"/>
        <v>0.83376880521772734</v>
      </c>
      <c r="BI12" s="122">
        <f t="shared" si="1"/>
        <v>0.82028477344818884</v>
      </c>
      <c r="BJ12" s="122">
        <f t="shared" si="1"/>
        <v>0.94766640280338388</v>
      </c>
      <c r="BK12" s="122">
        <f t="shared" si="1"/>
        <v>0.7</v>
      </c>
      <c r="BL12" s="122">
        <f t="shared" si="1"/>
        <v>0.7</v>
      </c>
      <c r="BM12" s="122">
        <f t="shared" si="1"/>
        <v>0.7</v>
      </c>
      <c r="BN12" s="122">
        <f t="shared" si="1"/>
        <v>0.7</v>
      </c>
      <c r="BO12" s="122"/>
      <c r="BP12" s="122">
        <f t="shared" si="1"/>
        <v>1</v>
      </c>
      <c r="BQ12" s="122">
        <f t="shared" si="1"/>
        <v>1</v>
      </c>
      <c r="BR12" s="122">
        <f t="shared" si="1"/>
        <v>1</v>
      </c>
      <c r="BS12" s="122">
        <f t="shared" si="1"/>
        <v>1</v>
      </c>
      <c r="BT12" s="122">
        <f t="shared" si="1"/>
        <v>0.7</v>
      </c>
      <c r="BU12" s="122">
        <f t="shared" si="1"/>
        <v>0.7</v>
      </c>
      <c r="BV12" s="122">
        <f t="shared" si="1"/>
        <v>0.7</v>
      </c>
      <c r="BW12" s="123">
        <f t="shared" si="1"/>
        <v>0.7</v>
      </c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x14ac:dyDescent="0.3">
      <c r="A13" s="132" t="s">
        <v>287</v>
      </c>
      <c r="B13" s="122"/>
      <c r="C13" s="122"/>
      <c r="D13" s="7">
        <v>1.1308815523617655</v>
      </c>
      <c r="E13" s="7">
        <v>1.0309331659501586</v>
      </c>
      <c r="F13" s="7">
        <v>1.0384204693772008</v>
      </c>
      <c r="G13" s="7">
        <v>0.96291281602278156</v>
      </c>
      <c r="H13" s="7">
        <v>1.1122280719624915</v>
      </c>
      <c r="I13" s="7">
        <v>1.0373251678553945</v>
      </c>
      <c r="J13" s="7">
        <v>1.0426617302556913</v>
      </c>
      <c r="K13" s="7">
        <v>0.98440494565182179</v>
      </c>
      <c r="L13" s="7"/>
      <c r="M13" s="7">
        <v>0.84686817223033328</v>
      </c>
      <c r="N13" s="7">
        <v>0.80860903820900798</v>
      </c>
      <c r="O13" s="7">
        <v>0.81358224142161573</v>
      </c>
      <c r="P13" s="7">
        <v>0.78318084193824433</v>
      </c>
      <c r="Q13" s="7">
        <v>0.87044529432865536</v>
      </c>
      <c r="R13" s="7">
        <v>0.82868265503894234</v>
      </c>
      <c r="S13" s="7">
        <v>0.83422735778645962</v>
      </c>
      <c r="T13" s="7">
        <v>0.80108456349530943</v>
      </c>
      <c r="U13" s="77"/>
      <c r="V13" s="7">
        <v>160063.42637692753</v>
      </c>
      <c r="W13" s="7">
        <v>172229.75892844782</v>
      </c>
      <c r="X13" s="7">
        <v>170674.9943497389</v>
      </c>
      <c r="Y13" s="7">
        <v>182841.32644310538</v>
      </c>
      <c r="Z13" s="7">
        <v>161714.62347034653</v>
      </c>
      <c r="AA13" s="7">
        <v>174733.96154002205</v>
      </c>
      <c r="AB13" s="7">
        <v>173088.89466793145</v>
      </c>
      <c r="AC13" s="7">
        <v>186108.21041243713</v>
      </c>
      <c r="AD13" s="7"/>
      <c r="AE13" s="7">
        <v>507991.2905081858</v>
      </c>
      <c r="AF13" s="7">
        <v>561166.59835651866</v>
      </c>
      <c r="AG13" s="7">
        <v>550097.93938368454</v>
      </c>
      <c r="AH13" s="7">
        <v>603273.23660185083</v>
      </c>
      <c r="AI13" s="7">
        <v>517720.21445577411</v>
      </c>
      <c r="AJ13" s="7">
        <v>570895.50227282709</v>
      </c>
      <c r="AK13" s="7">
        <v>559826.85086414835</v>
      </c>
      <c r="AL13" s="7">
        <v>613002.14691333368</v>
      </c>
      <c r="AM13" s="122"/>
      <c r="AN13" s="77"/>
      <c r="AO13" s="122">
        <f t="shared" si="2"/>
        <v>0</v>
      </c>
      <c r="AP13" s="122">
        <f t="shared" si="0"/>
        <v>0</v>
      </c>
      <c r="AQ13" s="122">
        <f t="shared" si="0"/>
        <v>0</v>
      </c>
      <c r="AR13" s="122">
        <f t="shared" si="0"/>
        <v>0</v>
      </c>
      <c r="AS13" s="122">
        <f t="shared" si="0"/>
        <v>0.13006971855139063</v>
      </c>
      <c r="AT13" s="122">
        <f t="shared" si="0"/>
        <v>0.71357319505019823</v>
      </c>
      <c r="AU13" s="122">
        <f t="shared" si="0"/>
        <v>0.65180516638484032</v>
      </c>
      <c r="AV13" s="122">
        <f t="shared" si="0"/>
        <v>1.2353054695723107</v>
      </c>
      <c r="AW13" s="122"/>
      <c r="AX13" s="122">
        <f t="shared" si="0"/>
        <v>0.56140501791147068</v>
      </c>
      <c r="AY13" s="122">
        <f t="shared" si="0"/>
        <v>1.4595146730777673</v>
      </c>
      <c r="AZ13" s="122">
        <f t="shared" si="0"/>
        <v>1.2892573184390073</v>
      </c>
      <c r="BA13" s="122">
        <f t="shared" si="0"/>
        <v>2.1873630881562862</v>
      </c>
      <c r="BB13" s="122">
        <f t="shared" si="0"/>
        <v>2.0613392106522834</v>
      </c>
      <c r="BC13" s="122">
        <f t="shared" si="0"/>
        <v>2.9594443501484493</v>
      </c>
      <c r="BD13" s="122">
        <f t="shared" si="0"/>
        <v>2.7891865327746737</v>
      </c>
      <c r="BE13" s="122">
        <f t="shared" si="0"/>
        <v>3.6872936676787056</v>
      </c>
      <c r="BF13" s="77"/>
      <c r="BG13" s="122">
        <f t="shared" si="3"/>
        <v>0.70638730138432504</v>
      </c>
      <c r="BH13" s="122">
        <f t="shared" si="1"/>
        <v>0.83376880521772734</v>
      </c>
      <c r="BI13" s="122">
        <f t="shared" si="1"/>
        <v>0.82028477344818884</v>
      </c>
      <c r="BJ13" s="122">
        <f t="shared" si="1"/>
        <v>0.94766640280338388</v>
      </c>
      <c r="BK13" s="122">
        <f t="shared" si="1"/>
        <v>0.7</v>
      </c>
      <c r="BL13" s="122">
        <f t="shared" si="1"/>
        <v>0.7</v>
      </c>
      <c r="BM13" s="122">
        <f t="shared" si="1"/>
        <v>0.7</v>
      </c>
      <c r="BN13" s="122">
        <f t="shared" si="1"/>
        <v>0.7</v>
      </c>
      <c r="BO13" s="122"/>
      <c r="BP13" s="122">
        <f t="shared" si="1"/>
        <v>1</v>
      </c>
      <c r="BQ13" s="122">
        <f t="shared" si="1"/>
        <v>1</v>
      </c>
      <c r="BR13" s="122">
        <f t="shared" si="1"/>
        <v>1</v>
      </c>
      <c r="BS13" s="122">
        <f t="shared" si="1"/>
        <v>1</v>
      </c>
      <c r="BT13" s="122">
        <f t="shared" si="1"/>
        <v>0.7</v>
      </c>
      <c r="BU13" s="122">
        <f t="shared" si="1"/>
        <v>0.7</v>
      </c>
      <c r="BV13" s="122">
        <f t="shared" si="1"/>
        <v>0.7</v>
      </c>
      <c r="BW13" s="123">
        <f t="shared" si="1"/>
        <v>0.7</v>
      </c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x14ac:dyDescent="0.3">
      <c r="A14" s="132" t="s">
        <v>288</v>
      </c>
      <c r="B14" s="122"/>
      <c r="C14" s="122"/>
      <c r="D14" s="7">
        <v>1.0013214024277843</v>
      </c>
      <c r="E14" s="7">
        <v>0.90068656902124966</v>
      </c>
      <c r="F14" s="7">
        <v>0.90881623688809721</v>
      </c>
      <c r="G14" s="7">
        <v>0.8327105664289719</v>
      </c>
      <c r="H14" s="7">
        <v>0.98361495619380523</v>
      </c>
      <c r="I14" s="7">
        <v>0.90599848248885928</v>
      </c>
      <c r="J14" s="7">
        <v>0.91216064741356673</v>
      </c>
      <c r="K14" s="7">
        <v>0.85171685914288109</v>
      </c>
      <c r="L14" s="7"/>
      <c r="M14" s="7">
        <v>0.71830597124663864</v>
      </c>
      <c r="N14" s="7">
        <v>0.67735022719445082</v>
      </c>
      <c r="O14" s="7">
        <v>0.68329867314586601</v>
      </c>
      <c r="P14" s="7">
        <v>0.65067830948185879</v>
      </c>
      <c r="Q14" s="7">
        <v>0.73915657439748506</v>
      </c>
      <c r="R14" s="7">
        <v>0.69505026223665511</v>
      </c>
      <c r="S14" s="7">
        <v>0.70151444279844921</v>
      </c>
      <c r="T14" s="7">
        <v>0.66643685948576092</v>
      </c>
      <c r="U14" s="77"/>
      <c r="V14" s="7">
        <v>141725.6601660384</v>
      </c>
      <c r="W14" s="7">
        <v>150470.50165434318</v>
      </c>
      <c r="X14" s="7">
        <v>149373.21698681123</v>
      </c>
      <c r="Y14" s="7">
        <v>158118.05801685443</v>
      </c>
      <c r="Z14" s="7">
        <v>143014.58565319018</v>
      </c>
      <c r="AA14" s="7">
        <v>152612.41980836165</v>
      </c>
      <c r="AB14" s="7">
        <v>151424.83284744804</v>
      </c>
      <c r="AC14" s="7">
        <v>161022.65752863046</v>
      </c>
      <c r="AD14" s="7"/>
      <c r="AE14" s="7">
        <v>430873.47275318293</v>
      </c>
      <c r="AF14" s="7">
        <v>470074.29416399344</v>
      </c>
      <c r="AG14" s="7">
        <v>462007.61637120956</v>
      </c>
      <c r="AH14" s="7">
        <v>501208.39112493792</v>
      </c>
      <c r="AI14" s="7">
        <v>439632.79795613856</v>
      </c>
      <c r="AJ14" s="7">
        <v>478833.5633087536</v>
      </c>
      <c r="AK14" s="7">
        <v>470766.89308012521</v>
      </c>
      <c r="AL14" s="7">
        <v>509967.6666648729</v>
      </c>
      <c r="AM14" s="122"/>
      <c r="AN14" s="77"/>
      <c r="AO14" s="122">
        <f t="shared" si="2"/>
        <v>0</v>
      </c>
      <c r="AP14" s="122">
        <f t="shared" si="0"/>
        <v>0</v>
      </c>
      <c r="AQ14" s="122">
        <f t="shared" si="0"/>
        <v>0</v>
      </c>
      <c r="AR14" s="122">
        <f t="shared" si="0"/>
        <v>0</v>
      </c>
      <c r="AS14" s="122">
        <f t="shared" si="0"/>
        <v>0.13006971855139063</v>
      </c>
      <c r="AT14" s="122">
        <f t="shared" si="0"/>
        <v>0.71357319505019823</v>
      </c>
      <c r="AU14" s="122">
        <f t="shared" si="0"/>
        <v>0.65180516638484032</v>
      </c>
      <c r="AV14" s="122">
        <f t="shared" si="0"/>
        <v>1.2353054695723107</v>
      </c>
      <c r="AW14" s="122"/>
      <c r="AX14" s="122">
        <f t="shared" si="0"/>
        <v>0.56140501791147068</v>
      </c>
      <c r="AY14" s="122">
        <f t="shared" si="0"/>
        <v>1.4595146730777673</v>
      </c>
      <c r="AZ14" s="122">
        <f t="shared" si="0"/>
        <v>1.2892573184390073</v>
      </c>
      <c r="BA14" s="122">
        <f t="shared" si="0"/>
        <v>2.1873630881562862</v>
      </c>
      <c r="BB14" s="122">
        <f t="shared" si="0"/>
        <v>2.0613392106522834</v>
      </c>
      <c r="BC14" s="122">
        <f t="shared" si="0"/>
        <v>2.9594443501484493</v>
      </c>
      <c r="BD14" s="122">
        <f t="shared" si="0"/>
        <v>2.7891865327746737</v>
      </c>
      <c r="BE14" s="122">
        <f t="shared" si="0"/>
        <v>3.6872936676787056</v>
      </c>
      <c r="BF14" s="77"/>
      <c r="BG14" s="122">
        <f t="shared" si="3"/>
        <v>0.70638730138432504</v>
      </c>
      <c r="BH14" s="122">
        <f t="shared" si="1"/>
        <v>0.83376880521772734</v>
      </c>
      <c r="BI14" s="122">
        <f t="shared" si="1"/>
        <v>0.82028477344818884</v>
      </c>
      <c r="BJ14" s="122">
        <f t="shared" si="1"/>
        <v>0.94766640280338388</v>
      </c>
      <c r="BK14" s="122">
        <f t="shared" si="1"/>
        <v>0.7</v>
      </c>
      <c r="BL14" s="122">
        <f t="shared" si="1"/>
        <v>0.7</v>
      </c>
      <c r="BM14" s="122">
        <f t="shared" si="1"/>
        <v>0.7</v>
      </c>
      <c r="BN14" s="122">
        <f t="shared" si="1"/>
        <v>0.7</v>
      </c>
      <c r="BO14" s="122"/>
      <c r="BP14" s="122">
        <f t="shared" si="1"/>
        <v>1</v>
      </c>
      <c r="BQ14" s="122">
        <f t="shared" si="1"/>
        <v>1</v>
      </c>
      <c r="BR14" s="122">
        <f t="shared" si="1"/>
        <v>1</v>
      </c>
      <c r="BS14" s="122">
        <f t="shared" si="1"/>
        <v>1</v>
      </c>
      <c r="BT14" s="122">
        <f t="shared" si="1"/>
        <v>0.7</v>
      </c>
      <c r="BU14" s="122">
        <f t="shared" si="1"/>
        <v>0.7</v>
      </c>
      <c r="BV14" s="122">
        <f t="shared" si="1"/>
        <v>0.7</v>
      </c>
      <c r="BW14" s="123">
        <f t="shared" si="1"/>
        <v>0.7</v>
      </c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x14ac:dyDescent="0.3">
      <c r="A15" s="132" t="s">
        <v>289</v>
      </c>
      <c r="B15" s="122"/>
      <c r="C15" s="122"/>
      <c r="D15" s="7">
        <v>1.4545724011268284</v>
      </c>
      <c r="E15" s="7">
        <v>1.3091293820994974</v>
      </c>
      <c r="F15" s="7">
        <v>1.3206518253174808</v>
      </c>
      <c r="G15" s="7">
        <v>1.2106902208554713</v>
      </c>
      <c r="H15" s="7">
        <v>1.4278107672072833</v>
      </c>
      <c r="I15" s="7">
        <v>1.3136498873180358</v>
      </c>
      <c r="J15" s="7">
        <v>1.3225155245231146</v>
      </c>
      <c r="K15" s="7">
        <v>1.2336365874548738</v>
      </c>
      <c r="L15" s="7"/>
      <c r="M15" s="7">
        <v>0.99274578015481596</v>
      </c>
      <c r="N15" s="7">
        <v>0.93858934684232376</v>
      </c>
      <c r="O15" s="7">
        <v>0.9461353485713051</v>
      </c>
      <c r="P15" s="7">
        <v>0.90303976981279499</v>
      </c>
      <c r="Q15" s="7">
        <v>1.0178816303600204</v>
      </c>
      <c r="R15" s="7">
        <v>0.95989167941179798</v>
      </c>
      <c r="S15" s="7">
        <v>0.96806130754190289</v>
      </c>
      <c r="T15" s="7">
        <v>0.92198253353927262</v>
      </c>
      <c r="U15" s="77"/>
      <c r="V15" s="7">
        <v>205878.18587317021</v>
      </c>
      <c r="W15" s="7">
        <v>218705.77582722262</v>
      </c>
      <c r="X15" s="7">
        <v>217062.59600142497</v>
      </c>
      <c r="Y15" s="7">
        <v>229890.18549729118</v>
      </c>
      <c r="Z15" s="7">
        <v>207599.4001827524</v>
      </c>
      <c r="AA15" s="7">
        <v>221279.98924168135</v>
      </c>
      <c r="AB15" s="7">
        <v>219546.51381666705</v>
      </c>
      <c r="AC15" s="7">
        <v>233227.08668281836</v>
      </c>
      <c r="AD15" s="7"/>
      <c r="AE15" s="7">
        <v>595495.52875419462</v>
      </c>
      <c r="AF15" s="7">
        <v>651371.63466262375</v>
      </c>
      <c r="AG15" s="7">
        <v>639722.79522436357</v>
      </c>
      <c r="AH15" s="7">
        <v>695598.89050262596</v>
      </c>
      <c r="AI15" s="7">
        <v>605411.84999687178</v>
      </c>
      <c r="AJ15" s="7">
        <v>661287.93587402138</v>
      </c>
      <c r="AK15" s="7">
        <v>649639.10399991646</v>
      </c>
      <c r="AL15" s="7">
        <v>705515.1863777173</v>
      </c>
      <c r="AM15" s="122"/>
      <c r="AN15" s="77"/>
      <c r="AO15" s="122">
        <f t="shared" si="2"/>
        <v>0</v>
      </c>
      <c r="AP15" s="122">
        <f t="shared" si="0"/>
        <v>0</v>
      </c>
      <c r="AQ15" s="122">
        <f t="shared" si="0"/>
        <v>0</v>
      </c>
      <c r="AR15" s="122">
        <f t="shared" si="0"/>
        <v>0</v>
      </c>
      <c r="AS15" s="122">
        <f t="shared" si="0"/>
        <v>0.13006971855139063</v>
      </c>
      <c r="AT15" s="122">
        <f t="shared" si="0"/>
        <v>0.71357319505019823</v>
      </c>
      <c r="AU15" s="122">
        <f t="shared" si="0"/>
        <v>0.65180516638484032</v>
      </c>
      <c r="AV15" s="122">
        <f t="shared" si="0"/>
        <v>1.2353054695723107</v>
      </c>
      <c r="AW15" s="122"/>
      <c r="AX15" s="122">
        <f t="shared" si="0"/>
        <v>0.56140501791147068</v>
      </c>
      <c r="AY15" s="122">
        <f t="shared" si="0"/>
        <v>1.4595146730777673</v>
      </c>
      <c r="AZ15" s="122">
        <f t="shared" si="0"/>
        <v>1.2892573184390073</v>
      </c>
      <c r="BA15" s="122">
        <f t="shared" si="0"/>
        <v>2.1873630881562862</v>
      </c>
      <c r="BB15" s="122">
        <f t="shared" si="0"/>
        <v>2.0613392106522834</v>
      </c>
      <c r="BC15" s="122">
        <f t="shared" si="0"/>
        <v>2.9594443501484493</v>
      </c>
      <c r="BD15" s="122">
        <f t="shared" si="0"/>
        <v>2.7891865327746737</v>
      </c>
      <c r="BE15" s="122">
        <f t="shared" si="0"/>
        <v>3.6872936676787056</v>
      </c>
      <c r="BF15" s="77"/>
      <c r="BG15" s="122">
        <f t="shared" si="3"/>
        <v>0.70638730138432504</v>
      </c>
      <c r="BH15" s="122">
        <f t="shared" si="1"/>
        <v>0.83376880521772734</v>
      </c>
      <c r="BI15" s="122">
        <f t="shared" si="1"/>
        <v>0.82028477344818884</v>
      </c>
      <c r="BJ15" s="122">
        <f t="shared" si="1"/>
        <v>0.94766640280338388</v>
      </c>
      <c r="BK15" s="122">
        <f t="shared" si="1"/>
        <v>0.7</v>
      </c>
      <c r="BL15" s="122">
        <f t="shared" si="1"/>
        <v>0.7</v>
      </c>
      <c r="BM15" s="122">
        <f t="shared" si="1"/>
        <v>0.7</v>
      </c>
      <c r="BN15" s="122">
        <f t="shared" si="1"/>
        <v>0.7</v>
      </c>
      <c r="BO15" s="122"/>
      <c r="BP15" s="122">
        <f t="shared" si="1"/>
        <v>1</v>
      </c>
      <c r="BQ15" s="122">
        <f t="shared" si="1"/>
        <v>1</v>
      </c>
      <c r="BR15" s="122">
        <f t="shared" si="1"/>
        <v>1</v>
      </c>
      <c r="BS15" s="122">
        <f t="shared" si="1"/>
        <v>1</v>
      </c>
      <c r="BT15" s="122">
        <f t="shared" si="1"/>
        <v>0.7</v>
      </c>
      <c r="BU15" s="122">
        <f t="shared" si="1"/>
        <v>0.7</v>
      </c>
      <c r="BV15" s="122">
        <f t="shared" si="1"/>
        <v>0.7</v>
      </c>
      <c r="BW15" s="123">
        <f t="shared" si="1"/>
        <v>0.7</v>
      </c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x14ac:dyDescent="0.3">
      <c r="A16" s="132" t="s">
        <v>290</v>
      </c>
      <c r="B16" s="122"/>
      <c r="C16" s="122"/>
      <c r="D16" s="7">
        <v>0.7665402057007823</v>
      </c>
      <c r="E16" s="7">
        <v>0.68990985338221977</v>
      </c>
      <c r="F16" s="7">
        <v>0.69607460518193121</v>
      </c>
      <c r="G16" s="7">
        <v>0.63812592171937677</v>
      </c>
      <c r="H16" s="7">
        <v>0.75287133581933929</v>
      </c>
      <c r="I16" s="7">
        <v>0.69334458317874148</v>
      </c>
      <c r="J16" s="7">
        <v>0.69805090485783416</v>
      </c>
      <c r="K16" s="7">
        <v>0.65169703982104255</v>
      </c>
      <c r="L16" s="7"/>
      <c r="M16" s="7">
        <v>0.53905444335400465</v>
      </c>
      <c r="N16" s="7">
        <v>0.50904746048720084</v>
      </c>
      <c r="O16" s="7">
        <v>0.5133554832921251</v>
      </c>
      <c r="P16" s="7">
        <v>0.48946152167829038</v>
      </c>
      <c r="Q16" s="7">
        <v>0.55391572215864482</v>
      </c>
      <c r="R16" s="7">
        <v>0.52165692363150284</v>
      </c>
      <c r="S16" s="7">
        <v>0.52633290501229346</v>
      </c>
      <c r="T16" s="7">
        <v>0.50068402210356389</v>
      </c>
      <c r="U16" s="77"/>
      <c r="V16" s="7">
        <v>159665.11519879059</v>
      </c>
      <c r="W16" s="7">
        <v>169617.29774316525</v>
      </c>
      <c r="X16" s="7">
        <v>168365.28761952693</v>
      </c>
      <c r="Y16" s="7">
        <v>178317.46973839647</v>
      </c>
      <c r="Z16" s="7">
        <v>161092.78178009015</v>
      </c>
      <c r="AA16" s="7">
        <v>171874.61793029436</v>
      </c>
      <c r="AB16" s="7">
        <v>170534.78226096329</v>
      </c>
      <c r="AC16" s="7">
        <v>181316.61533418842</v>
      </c>
      <c r="AD16" s="7"/>
      <c r="AE16" s="7">
        <v>475853.48482322297</v>
      </c>
      <c r="AF16" s="7">
        <v>519890.15089914674</v>
      </c>
      <c r="AG16" s="7">
        <v>510807.04811591038</v>
      </c>
      <c r="AH16" s="7">
        <v>554843.71344036038</v>
      </c>
      <c r="AI16" s="7">
        <v>484838.86154991289</v>
      </c>
      <c r="AJ16" s="7">
        <v>528875.51181087445</v>
      </c>
      <c r="AK16" s="7">
        <v>519792.42233225313</v>
      </c>
      <c r="AL16" s="7">
        <v>563829.08461794385</v>
      </c>
      <c r="AM16" s="122"/>
      <c r="AN16" s="77"/>
      <c r="AO16" s="122">
        <f t="shared" si="2"/>
        <v>0</v>
      </c>
      <c r="AP16" s="122">
        <f t="shared" si="0"/>
        <v>0</v>
      </c>
      <c r="AQ16" s="122">
        <f t="shared" si="0"/>
        <v>0</v>
      </c>
      <c r="AR16" s="122">
        <f t="shared" si="0"/>
        <v>0</v>
      </c>
      <c r="AS16" s="122">
        <f t="shared" si="0"/>
        <v>0.13006971855139063</v>
      </c>
      <c r="AT16" s="122">
        <f t="shared" si="0"/>
        <v>0.71357319505019823</v>
      </c>
      <c r="AU16" s="122">
        <f t="shared" si="0"/>
        <v>0.65180516638484032</v>
      </c>
      <c r="AV16" s="122">
        <f t="shared" si="0"/>
        <v>1.2353054695723107</v>
      </c>
      <c r="AW16" s="122"/>
      <c r="AX16" s="122">
        <f t="shared" si="0"/>
        <v>0.56140501791147068</v>
      </c>
      <c r="AY16" s="122">
        <f t="shared" si="0"/>
        <v>1.4595146730777673</v>
      </c>
      <c r="AZ16" s="122">
        <f t="shared" si="0"/>
        <v>1.2892573184390073</v>
      </c>
      <c r="BA16" s="122">
        <f t="shared" si="0"/>
        <v>2.1873630881562862</v>
      </c>
      <c r="BB16" s="122">
        <f t="shared" si="0"/>
        <v>2.0613392106522834</v>
      </c>
      <c r="BC16" s="122">
        <f t="shared" si="0"/>
        <v>2.9594443501484493</v>
      </c>
      <c r="BD16" s="122">
        <f t="shared" si="0"/>
        <v>2.7891865327746737</v>
      </c>
      <c r="BE16" s="122">
        <f t="shared" si="0"/>
        <v>3.6872936676787056</v>
      </c>
      <c r="BF16" s="77"/>
      <c r="BG16" s="122">
        <f t="shared" si="3"/>
        <v>0.70638730138432504</v>
      </c>
      <c r="BH16" s="122">
        <f t="shared" si="1"/>
        <v>0.83376880521772734</v>
      </c>
      <c r="BI16" s="122">
        <f t="shared" si="1"/>
        <v>0.82028477344818884</v>
      </c>
      <c r="BJ16" s="122">
        <f t="shared" si="1"/>
        <v>0.94766640280338388</v>
      </c>
      <c r="BK16" s="122">
        <f t="shared" si="1"/>
        <v>0.7</v>
      </c>
      <c r="BL16" s="122">
        <f t="shared" si="1"/>
        <v>0.7</v>
      </c>
      <c r="BM16" s="122">
        <f t="shared" si="1"/>
        <v>0.7</v>
      </c>
      <c r="BN16" s="122">
        <f t="shared" si="1"/>
        <v>0.7</v>
      </c>
      <c r="BO16" s="122"/>
      <c r="BP16" s="122">
        <f t="shared" si="1"/>
        <v>1</v>
      </c>
      <c r="BQ16" s="122">
        <f t="shared" si="1"/>
        <v>1</v>
      </c>
      <c r="BR16" s="122">
        <f t="shared" si="1"/>
        <v>1</v>
      </c>
      <c r="BS16" s="122">
        <f t="shared" si="1"/>
        <v>1</v>
      </c>
      <c r="BT16" s="122">
        <f t="shared" si="1"/>
        <v>0.7</v>
      </c>
      <c r="BU16" s="122">
        <f t="shared" si="1"/>
        <v>0.7</v>
      </c>
      <c r="BV16" s="122">
        <f t="shared" si="1"/>
        <v>0.7</v>
      </c>
      <c r="BW16" s="123">
        <f t="shared" si="1"/>
        <v>0.7</v>
      </c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ht="15" thickBot="1" x14ac:dyDescent="0.35">
      <c r="A17" s="134" t="s">
        <v>291</v>
      </c>
      <c r="B17" s="127"/>
      <c r="C17" s="127"/>
      <c r="D17" s="7">
        <v>1.0987807578779232</v>
      </c>
      <c r="E17" s="7">
        <v>0.98404759140213971</v>
      </c>
      <c r="F17" s="7">
        <v>0.99350486957727135</v>
      </c>
      <c r="G17" s="7">
        <v>0.90671199388200208</v>
      </c>
      <c r="H17" s="7">
        <v>1.0790164994547113</v>
      </c>
      <c r="I17" s="7">
        <v>0.99012051503475274</v>
      </c>
      <c r="J17" s="7">
        <v>0.99737080666641476</v>
      </c>
      <c r="K17" s="7">
        <v>0.92811986687139247</v>
      </c>
      <c r="L17" s="7"/>
      <c r="M17" s="7">
        <v>0.78378419604430893</v>
      </c>
      <c r="N17" s="7">
        <v>0.73570613848591215</v>
      </c>
      <c r="O17" s="7">
        <v>0.74289070955088721</v>
      </c>
      <c r="P17" s="7">
        <v>0.70457269647295528</v>
      </c>
      <c r="Q17" s="7">
        <v>0.80728498187382269</v>
      </c>
      <c r="R17" s="7">
        <v>0.75564153661948874</v>
      </c>
      <c r="S17" s="7">
        <v>0.76341069364138237</v>
      </c>
      <c r="T17" s="7">
        <v>0.72231420586544437</v>
      </c>
      <c r="U17" s="148"/>
      <c r="V17" s="7">
        <v>131255.22004229715</v>
      </c>
      <c r="W17" s="7">
        <v>138747.23409790022</v>
      </c>
      <c r="X17" s="7">
        <v>137815.24165679381</v>
      </c>
      <c r="Y17" s="7">
        <v>145307.25752855497</v>
      </c>
      <c r="Z17" s="7">
        <v>132407.8834719325</v>
      </c>
      <c r="AA17" s="7">
        <v>140760.60253071337</v>
      </c>
      <c r="AB17" s="7">
        <v>139737.49964915711</v>
      </c>
      <c r="AC17" s="7">
        <v>148090.21530298982</v>
      </c>
      <c r="AD17" s="7"/>
      <c r="AE17" s="7">
        <v>396796.20228276844</v>
      </c>
      <c r="AF17" s="7">
        <v>430911.54882651998</v>
      </c>
      <c r="AG17" s="7">
        <v>423929.89377414191</v>
      </c>
      <c r="AH17" s="7">
        <v>458045.22741500015</v>
      </c>
      <c r="AI17" s="7">
        <v>405238.83972983318</v>
      </c>
      <c r="AJ17" s="7">
        <v>439354.16169788549</v>
      </c>
      <c r="AK17" s="7">
        <v>432372.52102650929</v>
      </c>
      <c r="AL17" s="7">
        <v>466487.85138276196</v>
      </c>
      <c r="AM17" s="127"/>
      <c r="AN17" s="148"/>
      <c r="AO17" s="127">
        <f t="shared" si="2"/>
        <v>0</v>
      </c>
      <c r="AP17" s="127">
        <f t="shared" si="0"/>
        <v>0</v>
      </c>
      <c r="AQ17" s="127">
        <f t="shared" si="0"/>
        <v>0</v>
      </c>
      <c r="AR17" s="127">
        <f t="shared" si="0"/>
        <v>0</v>
      </c>
      <c r="AS17" s="127">
        <f t="shared" si="0"/>
        <v>0.13006971855139063</v>
      </c>
      <c r="AT17" s="127">
        <f t="shared" si="0"/>
        <v>0.71357319505019823</v>
      </c>
      <c r="AU17" s="127">
        <f t="shared" si="0"/>
        <v>0.65180516638484032</v>
      </c>
      <c r="AV17" s="127">
        <f t="shared" si="0"/>
        <v>1.2353054695723107</v>
      </c>
      <c r="AW17" s="127"/>
      <c r="AX17" s="127">
        <f t="shared" si="0"/>
        <v>0.56140501791147068</v>
      </c>
      <c r="AY17" s="127">
        <f t="shared" si="0"/>
        <v>1.4595146730777673</v>
      </c>
      <c r="AZ17" s="127">
        <f t="shared" si="0"/>
        <v>1.2892573184390073</v>
      </c>
      <c r="BA17" s="127">
        <f t="shared" si="0"/>
        <v>2.1873630881562862</v>
      </c>
      <c r="BB17" s="127">
        <f t="shared" si="0"/>
        <v>2.0613392106522834</v>
      </c>
      <c r="BC17" s="127">
        <f t="shared" si="0"/>
        <v>2.9594443501484493</v>
      </c>
      <c r="BD17" s="127">
        <f t="shared" si="0"/>
        <v>2.7891865327746737</v>
      </c>
      <c r="BE17" s="127">
        <f t="shared" si="0"/>
        <v>3.6872936676787056</v>
      </c>
      <c r="BF17" s="148"/>
      <c r="BG17" s="127">
        <f t="shared" si="3"/>
        <v>0.70638730138432504</v>
      </c>
      <c r="BH17" s="127">
        <f t="shared" si="1"/>
        <v>0.83376880521772734</v>
      </c>
      <c r="BI17" s="127">
        <f t="shared" si="1"/>
        <v>0.82028477344818884</v>
      </c>
      <c r="BJ17" s="127">
        <f t="shared" si="1"/>
        <v>0.94766640280338388</v>
      </c>
      <c r="BK17" s="127">
        <f t="shared" si="1"/>
        <v>0.7</v>
      </c>
      <c r="BL17" s="127">
        <f t="shared" si="1"/>
        <v>0.7</v>
      </c>
      <c r="BM17" s="127">
        <f t="shared" si="1"/>
        <v>0.7</v>
      </c>
      <c r="BN17" s="127">
        <f t="shared" si="1"/>
        <v>0.7</v>
      </c>
      <c r="BO17" s="127"/>
      <c r="BP17" s="127">
        <f t="shared" si="1"/>
        <v>1</v>
      </c>
      <c r="BQ17" s="127">
        <f t="shared" si="1"/>
        <v>1</v>
      </c>
      <c r="BR17" s="127">
        <f t="shared" si="1"/>
        <v>1</v>
      </c>
      <c r="BS17" s="127">
        <f t="shared" si="1"/>
        <v>1</v>
      </c>
      <c r="BT17" s="127">
        <f t="shared" si="1"/>
        <v>0.7</v>
      </c>
      <c r="BU17" s="127">
        <f t="shared" si="1"/>
        <v>0.7</v>
      </c>
      <c r="BV17" s="127">
        <f t="shared" si="1"/>
        <v>0.7</v>
      </c>
      <c r="BW17" s="128">
        <f t="shared" si="1"/>
        <v>0.7</v>
      </c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x14ac:dyDescent="0.3">
      <c r="A18" s="132" t="s">
        <v>330</v>
      </c>
      <c r="B18" s="122"/>
      <c r="C18" s="122"/>
      <c r="D18" s="7">
        <v>0.88980369148236904</v>
      </c>
      <c r="E18" s="7">
        <v>0.80224813730538025</v>
      </c>
      <c r="F18" s="7">
        <v>0.80929757958209025</v>
      </c>
      <c r="G18" s="7">
        <v>0.74308636487600999</v>
      </c>
      <c r="H18" s="7">
        <v>0.87457452548853876</v>
      </c>
      <c r="I18" s="7">
        <v>0.80795334193132995</v>
      </c>
      <c r="J18" s="7">
        <v>0.81320731626672826</v>
      </c>
      <c r="K18" s="7">
        <v>0.76133049491471105</v>
      </c>
      <c r="L18" s="7"/>
      <c r="M18" s="7">
        <v>0.61591923465716014</v>
      </c>
      <c r="N18" s="7">
        <v>0.58496127288260302</v>
      </c>
      <c r="O18" s="7">
        <v>0.58932911203520544</v>
      </c>
      <c r="P18" s="7">
        <v>0.56468732693190515</v>
      </c>
      <c r="Q18" s="7">
        <v>0.63558211539584519</v>
      </c>
      <c r="R18" s="7">
        <v>0.60170924767010936</v>
      </c>
      <c r="S18" s="7">
        <v>0.60655559643024581</v>
      </c>
      <c r="T18" s="7">
        <v>0.5796311604373926</v>
      </c>
      <c r="U18" s="77"/>
      <c r="V18" s="7">
        <v>125941.59606388245</v>
      </c>
      <c r="W18" s="7">
        <v>134025.18014982741</v>
      </c>
      <c r="X18" s="7">
        <v>133016.3107293841</v>
      </c>
      <c r="Y18" s="7">
        <v>141099.89435689533</v>
      </c>
      <c r="Z18" s="7">
        <v>127160.49459025892</v>
      </c>
      <c r="AA18" s="7">
        <v>136097.07467440405</v>
      </c>
      <c r="AB18" s="7">
        <v>134997.90965474414</v>
      </c>
      <c r="AC18" s="7">
        <v>143934.48482812289</v>
      </c>
      <c r="AD18" s="7"/>
      <c r="AE18" s="7">
        <v>369457.27460533427</v>
      </c>
      <c r="AF18" s="7">
        <v>405957.26642392279</v>
      </c>
      <c r="AG18" s="7">
        <v>398470.76254728681</v>
      </c>
      <c r="AH18" s="7">
        <v>434970.74129543104</v>
      </c>
      <c r="AI18" s="7">
        <v>378029.16648630908</v>
      </c>
      <c r="AJ18" s="7">
        <v>414529.13377882785</v>
      </c>
      <c r="AK18" s="7">
        <v>407042.64401562558</v>
      </c>
      <c r="AL18" s="7">
        <v>443542.61954027665</v>
      </c>
      <c r="AM18" s="122"/>
      <c r="AN18" s="77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77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3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x14ac:dyDescent="0.3">
      <c r="A19" s="25"/>
      <c r="B19" s="7"/>
      <c r="C19" s="7"/>
      <c r="D19" s="7">
        <f>IF((AND(Cases!$C$38&lt;1,Cases!$C$38&gt;-1)),'1Price SNPU'!$J$5,"not valid")</f>
        <v>0.96104979111497724</v>
      </c>
      <c r="E19" s="7" t="str">
        <f>IF((AND(Cases!$D$38&lt;1,Cases!$D$38&gt;-1)),'2Price SNPR'!$J$5,"not valid")</f>
        <v>not valid</v>
      </c>
      <c r="F19" s="7" t="str">
        <f>IF((AND(Cases!$E$38&lt;1,Cases!$E$38&gt;-1)),'3Price SNCU'!$J$5,"not valid")</f>
        <v>not valid</v>
      </c>
      <c r="G19" s="7" t="str">
        <f>IF((AND(Cases!$F$38&lt;1,Cases!$F$38&gt;-1)),'4Price SNCR'!$J$5,"not valid")</f>
        <v>not valid</v>
      </c>
      <c r="H19" s="7" t="str">
        <f>IF((AND(Cases!$G$38&lt;1,Cases!$G$38&gt;-1)),'5Price SRPU'!$J$5,"not valid")</f>
        <v>not valid</v>
      </c>
      <c r="I19" s="7" t="str">
        <f>IF((AND(Cases!$H$38&lt;1,Cases!$H$38&gt;-1)),'6Price SRPR'!$J$5,"not valid")</f>
        <v>not valid</v>
      </c>
      <c r="J19" s="7" t="str">
        <f>IF((AND(Cases!$I$38&lt;1,Cases!$I$38&gt;-1)),'7Price SRCU'!$J$5,"not valid")</f>
        <v>not valid</v>
      </c>
      <c r="K19" s="7" t="str">
        <f>IF((AND(Cases!$J$38&lt;1,Cases!$J$38&gt;-1)),'8Price SRCR'!$J$5,"not valid")</f>
        <v>not valid</v>
      </c>
      <c r="L19" s="7"/>
      <c r="M19" s="7" t="str">
        <f>IF((AND(Cases!$L$38&lt;1,Cases!$L$38&gt;-1)),'1Price MNPU'!$J$5,"not valid")</f>
        <v>not valid</v>
      </c>
      <c r="N19" s="7" t="str">
        <f>IF((AND(Cases!$M$38&lt;1,Cases!$M$38&gt;-1)),'2Price MNPR'!$J$5,"not valid")</f>
        <v>not valid</v>
      </c>
      <c r="O19" s="7" t="str">
        <f>IF((AND(Cases!$N$38&lt;1,Cases!$N$38&gt;-1)),'3Price MNCU'!$J$5,"not valid")</f>
        <v>not valid</v>
      </c>
      <c r="P19" s="7" t="str">
        <f>IF((AND(Cases!$O$38&lt;1,Cases!$O$38&gt;-1)),'4Price MNCR'!$J$5,"not valid")</f>
        <v>not valid</v>
      </c>
      <c r="Q19" s="7" t="str">
        <f>IF((AND(Cases!$P$38&lt;1,Cases!$P$38&gt;-1)),'5Price MRPU'!$J$5,"not valid")</f>
        <v>not valid</v>
      </c>
      <c r="R19" s="7" t="str">
        <f>IF((AND(Cases!$Q$38&lt;1,Cases!$Q$38&gt;-1)),'6Price MRPR'!$J$5,"not valid")</f>
        <v>not valid</v>
      </c>
      <c r="S19" s="7" t="str">
        <f>IF((AND(Cases!$R$38&lt;1,Cases!$R$38&gt;-1)),'7Price MRCU'!$J$5,"not valid")</f>
        <v>not valid</v>
      </c>
      <c r="T19" s="7" t="str">
        <f>IF((AND(Cases!$S$38&lt;1,Cases!$S$38&gt;-1)),'8Price MRCR'!$J$5,"not valid")</f>
        <v>not valid</v>
      </c>
      <c r="U19" s="77"/>
      <c r="V19" s="7">
        <f>IF((AND(Cases!$C$38&lt;1,Cases!$C$38&gt;-1)),'1Price SNPU'!$J$6,"not valid")</f>
        <v>136025.73956393986</v>
      </c>
      <c r="W19" s="7" t="str">
        <f>IF((AND(Cases!$D$38&lt;1,Cases!$D$38&gt;-1)),'2Price SNPR'!$J$6,"not valid")</f>
        <v>not valid</v>
      </c>
      <c r="X19" s="7" t="str">
        <f>IF((AND(Cases!$E$38&lt;1,Cases!$E$38&gt;-1)),'3Price SNCU'!$J$6,"not valid")</f>
        <v>not valid</v>
      </c>
      <c r="Y19" s="7" t="str">
        <f>IF((AND(Cases!$F$38&lt;1,Cases!$F$38&gt;-1)),'4Price SNCR'!$J$6,"not valid")</f>
        <v>not valid</v>
      </c>
      <c r="Z19" s="7" t="str">
        <f>IF((AND(Cases!$G$38&lt;1,Cases!$G$38&gt;-1)),'5Price SRPU'!$J$6,"not valid")</f>
        <v>not valid</v>
      </c>
      <c r="AA19" s="7" t="str">
        <f>IF((AND(Cases!$H$38&lt;1,Cases!$H$38&gt;-1)),'6Price SRPR'!$J$6,"not valid")</f>
        <v>not valid</v>
      </c>
      <c r="AB19" s="7" t="str">
        <f>IF((AND(Cases!$I$38&lt;1,Cases!$I$38&gt;-1)),'7Price SRCU'!$J$6,"not valid")</f>
        <v>not valid</v>
      </c>
      <c r="AC19" s="7" t="str">
        <f>IF((AND(Cases!$J$38&lt;1,Cases!$J$38&gt;-1)),'8Price SRCR'!$J$6,"not valid")</f>
        <v>not valid</v>
      </c>
      <c r="AD19" s="7"/>
      <c r="AE19" s="7" t="str">
        <f>IF((AND(Cases!$L$38&lt;1,Cases!$L$38&gt;-1)),'1Price MNPU'!$J$6,"not valid")</f>
        <v>not valid</v>
      </c>
      <c r="AF19" s="7" t="str">
        <f>IF((AND(Cases!$M$38&lt;1,Cases!$M$38&gt;-1)),'2Price MNPR'!$J$6,"not valid")</f>
        <v>not valid</v>
      </c>
      <c r="AG19" s="7" t="str">
        <f>IF((AND(Cases!$N$38&lt;1,Cases!$N$38&gt;-1)),'3Price MNCU'!$J$6,"not valid")</f>
        <v>not valid</v>
      </c>
      <c r="AH19" s="7" t="str">
        <f>IF((AND(Cases!$O$38&lt;1,Cases!$O$38&gt;-1)),'4Price MNCR'!$J$6,"not valid")</f>
        <v>not valid</v>
      </c>
      <c r="AI19" s="7" t="str">
        <f>IF((AND(Cases!$P$38&lt;1,Cases!$P$38&gt;-1)),'5Price MRPU'!$J$6,"not valid")</f>
        <v>not valid</v>
      </c>
      <c r="AJ19" s="7" t="str">
        <f>IF((AND(Cases!$Q$38&lt;1,Cases!$Q$38&gt;-1)),'6Price MRPR'!$J$6,"not valid")</f>
        <v>not valid</v>
      </c>
      <c r="AK19" s="7" t="str">
        <f>IF((AND(Cases!$R$38&lt;1,Cases!$R$38&gt;-1)),'7Price MRCU'!$J$6,"not valid")</f>
        <v>not valid</v>
      </c>
      <c r="AL19" s="7" t="str">
        <f>IF((AND(Cases!$S$38&lt;1,Cases!$S$38&gt;-1)),'8Price MRCR'!$J$6,"not valid")</f>
        <v>not valid</v>
      </c>
      <c r="AM19" s="7"/>
      <c r="AN19" s="77"/>
      <c r="AO19" s="7">
        <f>IF((AND(Cases!$C$38&lt;1,Cases!$C$38&gt;-1)),Cases!$C$40,"not valid")</f>
        <v>0</v>
      </c>
      <c r="AP19" s="7" t="str">
        <f>IF((AND(Cases!$D$38&lt;1,Cases!$D$38&gt;-1)),Cases!$C$40,"not valid")</f>
        <v>not valid</v>
      </c>
      <c r="AQ19" s="7" t="str">
        <f>IF((AND(Cases!$E$38&lt;1,Cases!$E$38&gt;-1)),Cases!$C$40,"not valid")</f>
        <v>not valid</v>
      </c>
      <c r="AR19" s="7" t="str">
        <f>IF((AND(Cases!$F$38&lt;1,Cases!$F$38&gt;-1)),Cases!$C$40,"not valid")</f>
        <v>not valid</v>
      </c>
      <c r="AS19" s="7" t="str">
        <f>IF((AND(Cases!$G$38&lt;1,Cases!$G$38&gt;-1)),Cases!$C$40,"not valid")</f>
        <v>not valid</v>
      </c>
      <c r="AT19" s="7" t="str">
        <f>IF((AND(Cases!$H$38&lt;1,Cases!$H$38&gt;-1)),Cases!$C$40,"not valid")</f>
        <v>not valid</v>
      </c>
      <c r="AU19" s="7" t="str">
        <f>IF((AND(Cases!$I$38&lt;1,Cases!$I$38&gt;-1)),Cases!$C$40,"not valid")</f>
        <v>not valid</v>
      </c>
      <c r="AV19" s="7" t="str">
        <f>IF((AND(Cases!$J$38&lt;1,Cases!$J$38&gt;-1)),Cases!$C$40,"not valid")</f>
        <v>not valid</v>
      </c>
      <c r="AW19" s="7"/>
      <c r="AX19" s="7" t="str">
        <f>IF((AND(Cases!$L$38&lt;1,Cases!$L$38&gt;-1)),Cases!$C$40,"not valid")</f>
        <v>not valid</v>
      </c>
      <c r="AY19" s="7" t="str">
        <f>IF((AND(Cases!$M$38&lt;1,Cases!$M$38&gt;-1)),Cases!$C$40,"not valid")</f>
        <v>not valid</v>
      </c>
      <c r="AZ19" s="7" t="str">
        <f>IF((AND(Cases!$N$38&lt;1,Cases!$N$38&gt;-1)),Cases!$C$40,"not valid")</f>
        <v>not valid</v>
      </c>
      <c r="BA19" s="7" t="str">
        <f>IF((AND(Cases!$O$38&lt;1,Cases!$O$38&gt;-1)),Cases!$C$40,"not valid")</f>
        <v>not valid</v>
      </c>
      <c r="BB19" s="7" t="str">
        <f>IF((AND(Cases!$P$38&lt;1,Cases!$P$38&gt;-1)),Cases!$C$40,"not valid")</f>
        <v>not valid</v>
      </c>
      <c r="BC19" s="7" t="str">
        <f>IF((AND(Cases!$Q$38&lt;1,Cases!$Q$38&gt;-1)),Cases!$C$40,"not valid")</f>
        <v>not valid</v>
      </c>
      <c r="BD19" s="7" t="str">
        <f>IF((AND(Cases!$R$38&lt;1,Cases!$R$38&gt;-1)),Cases!$C$40,"not valid")</f>
        <v>not valid</v>
      </c>
      <c r="BE19" s="7" t="str">
        <f>IF((AND(Cases!$S$38&lt;1,Cases!$S$38&gt;-1)),Cases!$C$40,"not valid")</f>
        <v>not valid</v>
      </c>
      <c r="BF19" s="77"/>
      <c r="BG19" s="7">
        <f>IF((AND(Cases!$C$38&lt;1,Cases!$C$38&gt;-1)),Cases!$D$39,"not valid")</f>
        <v>0.57393914485134423</v>
      </c>
      <c r="BH19" s="7" t="str">
        <f>IF((AND(Cases!$D$38&lt;1,Cases!$D$38&gt;-1)),Cases!$D$39,"not valid")</f>
        <v>not valid</v>
      </c>
      <c r="BI19" s="7" t="str">
        <f>IF((AND(Cases!$E$38&lt;1,Cases!$E$38&gt;-1)),Cases!$D$39,"not valid")</f>
        <v>not valid</v>
      </c>
      <c r="BJ19" s="7" t="str">
        <f>IF((AND(Cases!$F$38&lt;1,Cases!$F$38&gt;-1)),Cases!$D$39,"not valid")</f>
        <v>not valid</v>
      </c>
      <c r="BK19" s="7" t="str">
        <f>IF((AND(Cases!$G$38&lt;1,Cases!$G$38&gt;-1)),Cases!$D$39,"not valid")</f>
        <v>not valid</v>
      </c>
      <c r="BL19" s="7" t="str">
        <f>IF((AND(Cases!$H$38&lt;1,Cases!$H$38&gt;-1)),Cases!$D$39,"not valid")</f>
        <v>not valid</v>
      </c>
      <c r="BM19" s="7" t="str">
        <f>IF((AND(Cases!$I$38&lt;1,Cases!$I$38&gt;-1)),Cases!$D$39,"not valid")</f>
        <v>not valid</v>
      </c>
      <c r="BN19" s="7" t="str">
        <f>IF((AND(Cases!$J$38&lt;1,Cases!$J$38&gt;-1)),Cases!$D$39,"not valid")</f>
        <v>not valid</v>
      </c>
      <c r="BO19" s="7"/>
      <c r="BP19" s="7" t="str">
        <f>IF((AND(Cases!$L$38&lt;1,Cases!$L$38&gt;-1)),Cases!$D$39,"not valid")</f>
        <v>not valid</v>
      </c>
      <c r="BQ19" s="7" t="str">
        <f>IF((AND(Cases!$M$38&lt;1,Cases!$M$38&gt;-1)),Cases!$D$39,"not valid")</f>
        <v>not valid</v>
      </c>
      <c r="BR19" s="7" t="str">
        <f>IF((AND(Cases!$N$38&lt;1,Cases!$N$38&gt;-1)),Cases!$D$39,"not valid")</f>
        <v>not valid</v>
      </c>
      <c r="BS19" s="7" t="str">
        <f>IF((AND(Cases!$O$38&lt;1,Cases!$O$38&gt;-1)),Cases!$D$39,"not valid")</f>
        <v>not valid</v>
      </c>
      <c r="BT19" s="7" t="str">
        <f>IF((AND(Cases!$P$38&lt;1,Cases!$P$38&gt;-1)),Cases!$D$39,"not valid")</f>
        <v>not valid</v>
      </c>
      <c r="BU19" s="7" t="str">
        <f>IF((AND(Cases!$Q$38&lt;1,Cases!$Q$38&gt;-1)),Cases!$D$39,"not valid")</f>
        <v>not valid</v>
      </c>
      <c r="BV19" s="7" t="str">
        <f>IF((AND(Cases!$R$38&lt;1,Cases!$R$38&gt;-1)),Cases!$D$39,"not valid")</f>
        <v>not valid</v>
      </c>
      <c r="BW19" s="24" t="str">
        <f>IF((AND(Cases!$S$38&lt;1,Cases!$S$38&gt;-1)),Cases!$D$39,"not valid")</f>
        <v>not valid</v>
      </c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x14ac:dyDescent="0.3">
      <c r="A20" s="150">
        <v>0.27200000000000002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24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ht="15" thickBot="1" x14ac:dyDescent="0.35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24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85" x14ac:dyDescent="0.3">
      <c r="A22" s="133" t="s">
        <v>277</v>
      </c>
      <c r="B22" s="125"/>
      <c r="C22" s="125"/>
      <c r="D22" s="7">
        <v>0.96105050702040029</v>
      </c>
      <c r="E22" s="7">
        <v>0.86028293590197813</v>
      </c>
      <c r="F22" s="7">
        <v>0.86853665668569835</v>
      </c>
      <c r="G22" s="7">
        <v>0.79231530860701738</v>
      </c>
      <c r="H22" s="7">
        <v>0.93860141426187738</v>
      </c>
      <c r="I22" s="7">
        <v>0.84376679709862346</v>
      </c>
      <c r="J22" s="7">
        <v>0.85154045792484234</v>
      </c>
      <c r="K22" s="7">
        <v>0.79081639099312018</v>
      </c>
      <c r="L22" s="7"/>
      <c r="M22" s="7">
        <v>0.66740983662099274</v>
      </c>
      <c r="N22" s="7">
        <v>0.61915782806599395</v>
      </c>
      <c r="O22" s="7">
        <v>0.62496347425622667</v>
      </c>
      <c r="P22" s="7">
        <v>0.59350201514437928</v>
      </c>
      <c r="Q22" s="7">
        <v>0.68164744916218523</v>
      </c>
      <c r="R22" s="7">
        <v>0.63869978233249947</v>
      </c>
      <c r="S22" s="7">
        <v>0.6450929076851657</v>
      </c>
      <c r="T22" s="7">
        <v>0.61082834309818557</v>
      </c>
      <c r="U22" s="147"/>
      <c r="V22" s="7">
        <v>136025.74941034292</v>
      </c>
      <c r="W22" s="7">
        <v>143720.57277215732</v>
      </c>
      <c r="X22" s="7">
        <v>142752.8536517795</v>
      </c>
      <c r="Y22" s="7">
        <v>150447.67501433569</v>
      </c>
      <c r="Z22" s="7">
        <v>136987.33774079528</v>
      </c>
      <c r="AA22" s="7">
        <v>144682.16078042414</v>
      </c>
      <c r="AB22" s="7">
        <v>143714.44169463727</v>
      </c>
      <c r="AC22" s="7">
        <v>151989.73217616303</v>
      </c>
      <c r="AD22" s="7"/>
      <c r="AE22" s="7">
        <v>404558.70088140934</v>
      </c>
      <c r="AF22" s="7">
        <v>437180.86316466262</v>
      </c>
      <c r="AG22" s="7">
        <v>430126.40184427222</v>
      </c>
      <c r="AH22" s="7">
        <v>464347.41829632048</v>
      </c>
      <c r="AI22" s="7">
        <v>411201.09547762055</v>
      </c>
      <c r="AJ22" s="7">
        <v>445422.1394328294</v>
      </c>
      <c r="AK22" s="7">
        <v>438367.66758421983</v>
      </c>
      <c r="AL22" s="7">
        <v>472588.69437691098</v>
      </c>
      <c r="AM22" s="125"/>
      <c r="AN22" s="147"/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0.40246399238824665</v>
      </c>
      <c r="AW22" s="125"/>
      <c r="AX22" s="125">
        <v>0</v>
      </c>
      <c r="AY22" s="125">
        <v>0.31194901727557284</v>
      </c>
      <c r="AZ22" s="125">
        <v>0.17361381002333276</v>
      </c>
      <c r="BA22" s="125">
        <v>0.903325061061648</v>
      </c>
      <c r="BB22" s="125">
        <v>1.0631024796835373</v>
      </c>
      <c r="BC22" s="125">
        <v>1.7928148646319315</v>
      </c>
      <c r="BD22" s="125">
        <v>1.6544803902367151</v>
      </c>
      <c r="BE22" s="125">
        <v>2.3841913118853273</v>
      </c>
      <c r="BF22" s="147"/>
      <c r="BG22" s="125">
        <v>0.57393986674094843</v>
      </c>
      <c r="BH22" s="125">
        <v>0.67743730439668726</v>
      </c>
      <c r="BI22" s="125">
        <v>0.66648153768783003</v>
      </c>
      <c r="BJ22" s="125">
        <v>0.76997897534358017</v>
      </c>
      <c r="BK22" s="125">
        <v>0.59182121937132459</v>
      </c>
      <c r="BL22" s="125">
        <v>0.69531878382803047</v>
      </c>
      <c r="BM22" s="125">
        <v>0.68436286923319822</v>
      </c>
      <c r="BN22" s="125">
        <v>0.7</v>
      </c>
      <c r="BO22" s="125"/>
      <c r="BP22" s="125">
        <v>0.91036747079862324</v>
      </c>
      <c r="BQ22" s="125">
        <v>1</v>
      </c>
      <c r="BR22" s="125">
        <v>1</v>
      </c>
      <c r="BS22" s="125">
        <v>1</v>
      </c>
      <c r="BT22" s="125">
        <v>0.7</v>
      </c>
      <c r="BU22" s="125">
        <v>0.7</v>
      </c>
      <c r="BV22" s="125">
        <v>0.7</v>
      </c>
      <c r="BW22" s="126">
        <v>0.7</v>
      </c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1:85" x14ac:dyDescent="0.3">
      <c r="A23" s="132" t="s">
        <v>284</v>
      </c>
      <c r="B23" s="122"/>
      <c r="C23" s="122"/>
      <c r="D23" s="7">
        <v>0.99405216043436706</v>
      </c>
      <c r="E23" s="7">
        <v>0.89328458931514942</v>
      </c>
      <c r="F23" s="7">
        <v>0.90153831009861674</v>
      </c>
      <c r="G23" s="7">
        <v>0.82531705319576409</v>
      </c>
      <c r="H23" s="7">
        <v>0.97160305504013134</v>
      </c>
      <c r="I23" s="7">
        <v>0.87676843803684534</v>
      </c>
      <c r="J23" s="7">
        <v>0.88454209885075108</v>
      </c>
      <c r="K23" s="7">
        <v>0.82579813762680021</v>
      </c>
      <c r="L23" s="7"/>
      <c r="M23" s="7">
        <v>0.70041136131254633</v>
      </c>
      <c r="N23" s="7">
        <v>0.65326798839535982</v>
      </c>
      <c r="O23" s="7">
        <v>0.65859790455622003</v>
      </c>
      <c r="P23" s="7">
        <v>0.62940048119333902</v>
      </c>
      <c r="Q23" s="7">
        <v>0.71907068946703867</v>
      </c>
      <c r="R23" s="7">
        <v>0.67815142882828416</v>
      </c>
      <c r="S23" s="7">
        <v>0.68420319165118582</v>
      </c>
      <c r="T23" s="7">
        <v>0.65156170337568009</v>
      </c>
      <c r="U23" s="77"/>
      <c r="V23" s="7">
        <v>140696.75744230679</v>
      </c>
      <c r="W23" s="7">
        <v>149233.89441673498</v>
      </c>
      <c r="X23" s="7">
        <v>148177.01181903336</v>
      </c>
      <c r="Y23" s="7">
        <v>156714.14879346173</v>
      </c>
      <c r="Z23" s="7">
        <v>141803.87311210655</v>
      </c>
      <c r="AA23" s="7">
        <v>150341.0095721221</v>
      </c>
      <c r="AB23" s="7">
        <v>149284.12702964983</v>
      </c>
      <c r="AC23" s="7">
        <v>158712.96967876269</v>
      </c>
      <c r="AD23" s="7"/>
      <c r="AE23" s="7">
        <v>424563.07483329595</v>
      </c>
      <c r="AF23" s="7">
        <v>461265.66569898999</v>
      </c>
      <c r="AG23" s="7">
        <v>453275.11701925989</v>
      </c>
      <c r="AH23" s="7">
        <v>492433.86047388631</v>
      </c>
      <c r="AI23" s="7">
        <v>433776.5154085423</v>
      </c>
      <c r="AJ23" s="7">
        <v>472935.27983523527</v>
      </c>
      <c r="AK23" s="7">
        <v>464944.74470984237</v>
      </c>
      <c r="AL23" s="7">
        <v>504103.48207239807</v>
      </c>
      <c r="AM23" s="122"/>
      <c r="AN23" s="77"/>
      <c r="AO23" s="122">
        <f>AO$22</f>
        <v>0</v>
      </c>
      <c r="AP23" s="122">
        <f t="shared" ref="AP23:BE30" si="4">AP$22</f>
        <v>0</v>
      </c>
      <c r="AQ23" s="122">
        <f t="shared" si="4"/>
        <v>0</v>
      </c>
      <c r="AR23" s="122">
        <f t="shared" si="4"/>
        <v>0</v>
      </c>
      <c r="AS23" s="122">
        <f t="shared" si="4"/>
        <v>0</v>
      </c>
      <c r="AT23" s="122">
        <f t="shared" si="4"/>
        <v>0</v>
      </c>
      <c r="AU23" s="122">
        <f t="shared" si="4"/>
        <v>0</v>
      </c>
      <c r="AV23" s="122">
        <f t="shared" si="4"/>
        <v>0.40246399238824665</v>
      </c>
      <c r="AW23" s="122"/>
      <c r="AX23" s="122">
        <f t="shared" si="4"/>
        <v>0</v>
      </c>
      <c r="AY23" s="122">
        <f t="shared" si="4"/>
        <v>0.31194901727557284</v>
      </c>
      <c r="AZ23" s="122">
        <f t="shared" si="4"/>
        <v>0.17361381002333276</v>
      </c>
      <c r="BA23" s="122">
        <f t="shared" si="4"/>
        <v>0.903325061061648</v>
      </c>
      <c r="BB23" s="122">
        <f t="shared" si="4"/>
        <v>1.0631024796835373</v>
      </c>
      <c r="BC23" s="122">
        <f t="shared" si="4"/>
        <v>1.7928148646319315</v>
      </c>
      <c r="BD23" s="122">
        <f t="shared" si="4"/>
        <v>1.6544803902367151</v>
      </c>
      <c r="BE23" s="122">
        <f t="shared" si="4"/>
        <v>2.3841913118853273</v>
      </c>
      <c r="BF23" s="77"/>
      <c r="BG23" s="122">
        <f>BG$22</f>
        <v>0.57393986674094843</v>
      </c>
      <c r="BH23" s="122">
        <f t="shared" ref="BH23:BW30" si="5">BH$22</f>
        <v>0.67743730439668726</v>
      </c>
      <c r="BI23" s="122">
        <f t="shared" si="5"/>
        <v>0.66648153768783003</v>
      </c>
      <c r="BJ23" s="122">
        <f t="shared" si="5"/>
        <v>0.76997897534358017</v>
      </c>
      <c r="BK23" s="122">
        <f t="shared" si="5"/>
        <v>0.59182121937132459</v>
      </c>
      <c r="BL23" s="122">
        <f t="shared" si="5"/>
        <v>0.69531878382803047</v>
      </c>
      <c r="BM23" s="122">
        <f t="shared" si="5"/>
        <v>0.68436286923319822</v>
      </c>
      <c r="BN23" s="122">
        <f t="shared" si="5"/>
        <v>0.7</v>
      </c>
      <c r="BO23" s="122"/>
      <c r="BP23" s="122">
        <f t="shared" si="5"/>
        <v>0.91036747079862324</v>
      </c>
      <c r="BQ23" s="122">
        <f t="shared" si="5"/>
        <v>1</v>
      </c>
      <c r="BR23" s="122">
        <f t="shared" si="5"/>
        <v>1</v>
      </c>
      <c r="BS23" s="122">
        <f t="shared" si="5"/>
        <v>1</v>
      </c>
      <c r="BT23" s="122">
        <f t="shared" si="5"/>
        <v>0.7</v>
      </c>
      <c r="BU23" s="122">
        <f t="shared" si="5"/>
        <v>0.7</v>
      </c>
      <c r="BV23" s="122">
        <f t="shared" si="5"/>
        <v>0.7</v>
      </c>
      <c r="BW23" s="123">
        <f t="shared" si="5"/>
        <v>0.7</v>
      </c>
      <c r="BX23" s="7"/>
      <c r="BY23" s="7"/>
      <c r="BZ23" s="7"/>
      <c r="CA23" s="7"/>
      <c r="CB23" s="7"/>
      <c r="CC23" s="7"/>
      <c r="CD23" s="7"/>
      <c r="CE23" s="7"/>
      <c r="CF23" s="7"/>
      <c r="CG23" s="7"/>
    </row>
    <row r="24" spans="1:85" x14ac:dyDescent="0.3">
      <c r="A24" s="132" t="s">
        <v>285</v>
      </c>
      <c r="B24" s="122"/>
      <c r="C24" s="122"/>
      <c r="D24" s="149">
        <f>D11-(D$9-D$22)</f>
        <v>1.092088402627208</v>
      </c>
      <c r="E24" s="149">
        <f t="shared" ref="E24:K24" si="6">E11-(E$9-E$22)</f>
        <v>0.97130114503868603</v>
      </c>
      <c r="F24" s="149">
        <f t="shared" si="6"/>
        <v>0.98137980595136198</v>
      </c>
      <c r="G24" s="149">
        <f t="shared" si="6"/>
        <v>0.88999055228493351</v>
      </c>
      <c r="H24" s="149">
        <f t="shared" si="6"/>
        <v>1.0661619862256455</v>
      </c>
      <c r="I24" s="149">
        <f t="shared" si="6"/>
        <v>0.95387266002267146</v>
      </c>
      <c r="J24" s="149">
        <f t="shared" si="6"/>
        <v>0.96326435769773566</v>
      </c>
      <c r="K24" s="149">
        <f t="shared" si="6"/>
        <v>0.8889186484679058</v>
      </c>
      <c r="L24" s="122"/>
      <c r="M24" s="149">
        <f t="shared" ref="M24:T25" si="7">M11-(M$9-M$22)</f>
        <v>0.71847425787085295</v>
      </c>
      <c r="N24" s="149">
        <f t="shared" si="7"/>
        <v>0.66329493596908029</v>
      </c>
      <c r="O24" s="149">
        <f t="shared" si="7"/>
        <v>0.67026565202599242</v>
      </c>
      <c r="P24" s="149">
        <f t="shared" si="7"/>
        <v>0.63326741985848634</v>
      </c>
      <c r="Q24" s="149">
        <f t="shared" si="7"/>
        <v>0.73314704134250785</v>
      </c>
      <c r="R24" s="149">
        <f t="shared" si="7"/>
        <v>0.68316178678046446</v>
      </c>
      <c r="S24" s="149">
        <f t="shared" si="7"/>
        <v>0.69073735629961308</v>
      </c>
      <c r="T24" s="149">
        <f t="shared" si="7"/>
        <v>0.6508572543689678</v>
      </c>
      <c r="U24" s="77"/>
      <c r="V24" s="149">
        <f>V11-(V$9-V$22)</f>
        <v>154572.67371936256</v>
      </c>
      <c r="W24" s="149">
        <f t="shared" ref="W24:AC24" si="8">W11-(W$9-W$22)</f>
        <v>162267.49708093217</v>
      </c>
      <c r="X24" s="149">
        <f t="shared" si="8"/>
        <v>161299.77796055435</v>
      </c>
      <c r="Y24" s="149">
        <f t="shared" si="8"/>
        <v>168994.59932311051</v>
      </c>
      <c r="Z24" s="149">
        <f t="shared" si="8"/>
        <v>155534.24919838921</v>
      </c>
      <c r="AA24" s="149">
        <f t="shared" si="8"/>
        <v>163229.09150247759</v>
      </c>
      <c r="AB24" s="149">
        <f t="shared" si="8"/>
        <v>162261.36572252592</v>
      </c>
      <c r="AC24" s="149">
        <f t="shared" si="8"/>
        <v>170536.64830932315</v>
      </c>
      <c r="AD24" s="122"/>
      <c r="AE24" s="149">
        <f>AE11-(AE$9-AE$22)</f>
        <v>435189.42280382343</v>
      </c>
      <c r="AF24" s="149">
        <f t="shared" ref="AF24:AL24" si="9">AF11-(AF$9-AF$22)</f>
        <v>467811.59313384496</v>
      </c>
      <c r="AG24" s="149">
        <f t="shared" si="9"/>
        <v>460757.13916661614</v>
      </c>
      <c r="AH24" s="149">
        <f t="shared" si="9"/>
        <v>494978.15276026883</v>
      </c>
      <c r="AI24" s="149">
        <f t="shared" si="9"/>
        <v>441831.82994156895</v>
      </c>
      <c r="AJ24" s="149">
        <f t="shared" si="9"/>
        <v>476052.87389677786</v>
      </c>
      <c r="AK24" s="149">
        <f t="shared" si="9"/>
        <v>468998.39999367023</v>
      </c>
      <c r="AL24" s="149">
        <f t="shared" si="9"/>
        <v>503219.42884085939</v>
      </c>
      <c r="AM24" s="122"/>
      <c r="AN24" s="77"/>
      <c r="AO24" s="122">
        <f t="shared" ref="AO24:AO30" si="10">AO$22</f>
        <v>0</v>
      </c>
      <c r="AP24" s="122">
        <f t="shared" si="4"/>
        <v>0</v>
      </c>
      <c r="AQ24" s="122">
        <f t="shared" si="4"/>
        <v>0</v>
      </c>
      <c r="AR24" s="122">
        <f t="shared" si="4"/>
        <v>0</v>
      </c>
      <c r="AS24" s="122">
        <f t="shared" si="4"/>
        <v>0</v>
      </c>
      <c r="AT24" s="122">
        <f t="shared" si="4"/>
        <v>0</v>
      </c>
      <c r="AU24" s="122">
        <f t="shared" si="4"/>
        <v>0</v>
      </c>
      <c r="AV24" s="122">
        <f t="shared" si="4"/>
        <v>0.40246399238824665</v>
      </c>
      <c r="AW24" s="122"/>
      <c r="AX24" s="122">
        <f t="shared" si="4"/>
        <v>0</v>
      </c>
      <c r="AY24" s="122">
        <f t="shared" si="4"/>
        <v>0.31194901727557284</v>
      </c>
      <c r="AZ24" s="122">
        <f t="shared" si="4"/>
        <v>0.17361381002333276</v>
      </c>
      <c r="BA24" s="122">
        <f t="shared" si="4"/>
        <v>0.903325061061648</v>
      </c>
      <c r="BB24" s="122">
        <f t="shared" si="4"/>
        <v>1.0631024796835373</v>
      </c>
      <c r="BC24" s="122">
        <f t="shared" si="4"/>
        <v>1.7928148646319315</v>
      </c>
      <c r="BD24" s="122">
        <f t="shared" si="4"/>
        <v>1.6544803902367151</v>
      </c>
      <c r="BE24" s="122">
        <f t="shared" si="4"/>
        <v>2.3841913118853273</v>
      </c>
      <c r="BF24" s="77"/>
      <c r="BG24" s="122">
        <f t="shared" ref="BG24:BV30" si="11">BG$22</f>
        <v>0.57393986674094843</v>
      </c>
      <c r="BH24" s="122">
        <f t="shared" si="11"/>
        <v>0.67743730439668726</v>
      </c>
      <c r="BI24" s="122">
        <f t="shared" si="11"/>
        <v>0.66648153768783003</v>
      </c>
      <c r="BJ24" s="122">
        <f t="shared" si="11"/>
        <v>0.76997897534358017</v>
      </c>
      <c r="BK24" s="122">
        <f t="shared" si="11"/>
        <v>0.59182121937132459</v>
      </c>
      <c r="BL24" s="122">
        <f t="shared" si="11"/>
        <v>0.69531878382803047</v>
      </c>
      <c r="BM24" s="122">
        <f t="shared" si="11"/>
        <v>0.68436286923319822</v>
      </c>
      <c r="BN24" s="122">
        <f t="shared" si="11"/>
        <v>0.7</v>
      </c>
      <c r="BO24" s="122"/>
      <c r="BP24" s="122">
        <f t="shared" si="11"/>
        <v>0.91036747079862324</v>
      </c>
      <c r="BQ24" s="122">
        <f t="shared" si="11"/>
        <v>1</v>
      </c>
      <c r="BR24" s="122">
        <f t="shared" si="11"/>
        <v>1</v>
      </c>
      <c r="BS24" s="122">
        <f t="shared" si="11"/>
        <v>1</v>
      </c>
      <c r="BT24" s="122">
        <f t="shared" si="11"/>
        <v>0.7</v>
      </c>
      <c r="BU24" s="122">
        <f t="shared" si="11"/>
        <v>0.7</v>
      </c>
      <c r="BV24" s="122">
        <f t="shared" si="11"/>
        <v>0.7</v>
      </c>
      <c r="BW24" s="123">
        <f t="shared" si="5"/>
        <v>0.7</v>
      </c>
      <c r="BX24" s="7"/>
      <c r="BY24" s="7"/>
      <c r="BZ24" s="7"/>
      <c r="CA24" s="7"/>
      <c r="CB24" s="7"/>
      <c r="CC24" s="7"/>
      <c r="CD24" s="7"/>
      <c r="CE24" s="7"/>
      <c r="CF24" s="7"/>
      <c r="CG24" s="7"/>
    </row>
    <row r="25" spans="1:85" x14ac:dyDescent="0.3">
      <c r="A25" s="132" t="s">
        <v>286</v>
      </c>
      <c r="B25" s="122"/>
      <c r="C25" s="122"/>
      <c r="D25" s="149">
        <f t="shared" ref="D25:K25" si="12">D12-(D$9-D$22)</f>
        <v>1.128663906798685</v>
      </c>
      <c r="E25" s="149">
        <f t="shared" si="12"/>
        <v>1.0022887227392914</v>
      </c>
      <c r="F25" s="149">
        <f t="shared" si="12"/>
        <v>1.0128768832536421</v>
      </c>
      <c r="G25" s="149">
        <f t="shared" si="12"/>
        <v>0.91725382041392944</v>
      </c>
      <c r="H25" s="149">
        <f t="shared" si="12"/>
        <v>1.1017675851940678</v>
      </c>
      <c r="I25" s="149">
        <f t="shared" si="12"/>
        <v>0.98460524037587371</v>
      </c>
      <c r="J25" s="149">
        <f t="shared" si="12"/>
        <v>0.99444892417808906</v>
      </c>
      <c r="K25" s="149">
        <f t="shared" si="12"/>
        <v>0.91630117801123323</v>
      </c>
      <c r="L25" s="122"/>
      <c r="M25" s="149">
        <f t="shared" si="7"/>
        <v>0.73737663811251164</v>
      </c>
      <c r="N25" s="149">
        <f t="shared" si="7"/>
        <v>0.67963315244610789</v>
      </c>
      <c r="O25" s="149">
        <f t="shared" si="7"/>
        <v>0.68703501994261729</v>
      </c>
      <c r="P25" s="149">
        <f t="shared" si="7"/>
        <v>0.64798732281647686</v>
      </c>
      <c r="Q25" s="149">
        <f t="shared" si="7"/>
        <v>0.75221052783464104</v>
      </c>
      <c r="R25" s="149">
        <f t="shared" si="7"/>
        <v>0.69962022334101592</v>
      </c>
      <c r="S25" s="149">
        <f t="shared" si="7"/>
        <v>0.70763350231194344</v>
      </c>
      <c r="T25" s="149">
        <f t="shared" si="7"/>
        <v>0.66567469917195976</v>
      </c>
      <c r="U25" s="77"/>
      <c r="V25" s="149">
        <f t="shared" ref="V25:AC25" si="13">V12-(V$9-V$22)</f>
        <v>159749.52049607184</v>
      </c>
      <c r="W25" s="149">
        <f t="shared" si="13"/>
        <v>167444.34385764148</v>
      </c>
      <c r="X25" s="149">
        <f t="shared" si="13"/>
        <v>166476.62696971887</v>
      </c>
      <c r="Y25" s="149">
        <f t="shared" si="13"/>
        <v>174171.44609981985</v>
      </c>
      <c r="Z25" s="149">
        <f t="shared" si="13"/>
        <v>160711.10882627944</v>
      </c>
      <c r="AA25" s="149">
        <f t="shared" si="13"/>
        <v>168405.93186590823</v>
      </c>
      <c r="AB25" s="149">
        <f t="shared" si="13"/>
        <v>167438.21278012163</v>
      </c>
      <c r="AC25" s="149">
        <f t="shared" si="13"/>
        <v>175713.49508603249</v>
      </c>
      <c r="AD25" s="122"/>
      <c r="AE25" s="149">
        <f>AE12-(AE$9-AE$22)</f>
        <v>446527.95794719516</v>
      </c>
      <c r="AF25" s="149">
        <f t="shared" ref="AF25:AL25" si="14">AF12-(AF$9-AF$22)</f>
        <v>479150.13277198264</v>
      </c>
      <c r="AG25" s="149">
        <f t="shared" si="14"/>
        <v>472095.66593567102</v>
      </c>
      <c r="AH25" s="149">
        <f t="shared" si="14"/>
        <v>506316.68790364038</v>
      </c>
      <c r="AI25" s="149">
        <f t="shared" si="14"/>
        <v>453170.36056133208</v>
      </c>
      <c r="AJ25" s="149">
        <f t="shared" si="14"/>
        <v>487391.40904014942</v>
      </c>
      <c r="AK25" s="149">
        <f t="shared" si="14"/>
        <v>480336.93513704173</v>
      </c>
      <c r="AL25" s="149">
        <f t="shared" si="14"/>
        <v>514557.96398423077</v>
      </c>
      <c r="AM25" s="122"/>
      <c r="AN25" s="77"/>
      <c r="AO25" s="122">
        <f t="shared" si="10"/>
        <v>0</v>
      </c>
      <c r="AP25" s="122">
        <f t="shared" si="4"/>
        <v>0</v>
      </c>
      <c r="AQ25" s="122">
        <f t="shared" si="4"/>
        <v>0</v>
      </c>
      <c r="AR25" s="122">
        <f t="shared" si="4"/>
        <v>0</v>
      </c>
      <c r="AS25" s="122">
        <f t="shared" si="4"/>
        <v>0</v>
      </c>
      <c r="AT25" s="122">
        <f t="shared" si="4"/>
        <v>0</v>
      </c>
      <c r="AU25" s="122">
        <f t="shared" si="4"/>
        <v>0</v>
      </c>
      <c r="AV25" s="122">
        <f t="shared" si="4"/>
        <v>0.40246399238824665</v>
      </c>
      <c r="AW25" s="122"/>
      <c r="AX25" s="122">
        <f t="shared" si="4"/>
        <v>0</v>
      </c>
      <c r="AY25" s="122">
        <f t="shared" si="4"/>
        <v>0.31194901727557284</v>
      </c>
      <c r="AZ25" s="122">
        <f t="shared" si="4"/>
        <v>0.17361381002333276</v>
      </c>
      <c r="BA25" s="122">
        <f t="shared" si="4"/>
        <v>0.903325061061648</v>
      </c>
      <c r="BB25" s="122">
        <f t="shared" si="4"/>
        <v>1.0631024796835373</v>
      </c>
      <c r="BC25" s="122">
        <f t="shared" si="4"/>
        <v>1.7928148646319315</v>
      </c>
      <c r="BD25" s="122">
        <f t="shared" si="4"/>
        <v>1.6544803902367151</v>
      </c>
      <c r="BE25" s="122">
        <f t="shared" si="4"/>
        <v>2.3841913118853273</v>
      </c>
      <c r="BF25" s="77"/>
      <c r="BG25" s="122">
        <f t="shared" si="11"/>
        <v>0.57393986674094843</v>
      </c>
      <c r="BH25" s="122">
        <f t="shared" si="11"/>
        <v>0.67743730439668726</v>
      </c>
      <c r="BI25" s="122">
        <f t="shared" si="11"/>
        <v>0.66648153768783003</v>
      </c>
      <c r="BJ25" s="122">
        <f t="shared" si="11"/>
        <v>0.76997897534358017</v>
      </c>
      <c r="BK25" s="122">
        <f t="shared" si="11"/>
        <v>0.59182121937132459</v>
      </c>
      <c r="BL25" s="122">
        <f t="shared" si="11"/>
        <v>0.69531878382803047</v>
      </c>
      <c r="BM25" s="122">
        <f t="shared" si="11"/>
        <v>0.68436286923319822</v>
      </c>
      <c r="BN25" s="122">
        <f t="shared" si="11"/>
        <v>0.7</v>
      </c>
      <c r="BO25" s="122"/>
      <c r="BP25" s="122">
        <f t="shared" si="5"/>
        <v>0.91036747079862324</v>
      </c>
      <c r="BQ25" s="122">
        <f t="shared" si="5"/>
        <v>1</v>
      </c>
      <c r="BR25" s="122">
        <f t="shared" si="5"/>
        <v>1</v>
      </c>
      <c r="BS25" s="122">
        <f t="shared" si="5"/>
        <v>1</v>
      </c>
      <c r="BT25" s="122">
        <f t="shared" si="5"/>
        <v>0.7</v>
      </c>
      <c r="BU25" s="122">
        <f t="shared" si="5"/>
        <v>0.7</v>
      </c>
      <c r="BV25" s="122">
        <f t="shared" si="5"/>
        <v>0.7</v>
      </c>
      <c r="BW25" s="123">
        <f t="shared" si="5"/>
        <v>0.7</v>
      </c>
      <c r="BX25" s="7"/>
      <c r="BY25" s="7"/>
      <c r="BZ25" s="7"/>
      <c r="CA25" s="7"/>
      <c r="CB25" s="7"/>
      <c r="CC25" s="7"/>
      <c r="CD25" s="7"/>
      <c r="CE25" s="7"/>
      <c r="CF25" s="7"/>
      <c r="CG25" s="7"/>
    </row>
    <row r="26" spans="1:85" x14ac:dyDescent="0.3">
      <c r="A26" s="132" t="s">
        <v>287</v>
      </c>
      <c r="B26" s="122"/>
      <c r="C26" s="122"/>
      <c r="D26" s="149">
        <f t="shared" ref="D26:K26" si="15">D13-(D$9-D$22)</f>
        <v>1.1156502103760664</v>
      </c>
      <c r="E26" s="149">
        <f t="shared" si="15"/>
        <v>1.0157017530062045</v>
      </c>
      <c r="F26" s="149">
        <f t="shared" si="15"/>
        <v>1.023189066808821</v>
      </c>
      <c r="G26" s="149">
        <f t="shared" si="15"/>
        <v>0.94768120755042073</v>
      </c>
      <c r="H26" s="149">
        <f t="shared" si="15"/>
        <v>1.0920717898175836</v>
      </c>
      <c r="I26" s="149">
        <f t="shared" si="15"/>
        <v>1.0004746886295455</v>
      </c>
      <c r="J26" s="149">
        <f>J13-(J$9-J$22)</f>
        <v>1.0072629335707592</v>
      </c>
      <c r="K26" s="149">
        <f t="shared" si="15"/>
        <v>0.94914829397398048</v>
      </c>
      <c r="L26" s="122"/>
      <c r="M26" s="149">
        <f>M13-(M$9-M$22)</f>
        <v>0.82081916668023691</v>
      </c>
      <c r="N26" s="149">
        <f t="shared" ref="N26:T26" si="16">N13-(N$9-N$22)</f>
        <v>0.77578445354684711</v>
      </c>
      <c r="O26" s="149">
        <f t="shared" si="16"/>
        <v>0.78042638241773121</v>
      </c>
      <c r="P26" s="149">
        <f t="shared" si="16"/>
        <v>0.75161276308911085</v>
      </c>
      <c r="Q26" s="149">
        <f t="shared" si="16"/>
        <v>0.83830975547596454</v>
      </c>
      <c r="R26" s="149">
        <f t="shared" si="16"/>
        <v>0.79815875405116066</v>
      </c>
      <c r="S26" s="149">
        <f t="shared" si="16"/>
        <v>0.80345468228899064</v>
      </c>
      <c r="T26" s="149">
        <f t="shared" si="16"/>
        <v>0.77149885101469007</v>
      </c>
      <c r="U26" s="77"/>
      <c r="V26" s="149">
        <f t="shared" ref="V26:AC26" si="17">V13-(V$9-V$22)</f>
        <v>157907.57972346051</v>
      </c>
      <c r="W26" s="149">
        <f t="shared" si="17"/>
        <v>169685.15155077772</v>
      </c>
      <c r="X26" s="149">
        <f t="shared" si="17"/>
        <v>168171.53950458951</v>
      </c>
      <c r="Y26" s="149">
        <f t="shared" si="17"/>
        <v>179949.10710054572</v>
      </c>
      <c r="Z26" s="149">
        <f t="shared" si="17"/>
        <v>159301.4568760985</v>
      </c>
      <c r="AA26" s="149">
        <f t="shared" si="17"/>
        <v>171079.04764604211</v>
      </c>
      <c r="AB26" s="149">
        <f t="shared" si="17"/>
        <v>169565.42670782478</v>
      </c>
      <c r="AC26" s="149">
        <f t="shared" si="17"/>
        <v>181923.45776047729</v>
      </c>
      <c r="AD26" s="122"/>
      <c r="AE26" s="149">
        <f>AE13-(AE$9-AE$22)</f>
        <v>496580.70424270257</v>
      </c>
      <c r="AF26" s="149">
        <f t="shared" ref="AF26:AL26" si="18">AF13-(AF$9-AF$22)</f>
        <v>545878.19509725843</v>
      </c>
      <c r="AG26" s="149">
        <f t="shared" si="18"/>
        <v>535241.57316474873</v>
      </c>
      <c r="AH26" s="149">
        <f t="shared" si="18"/>
        <v>586137.91360274027</v>
      </c>
      <c r="AI26" s="149">
        <f t="shared" si="18"/>
        <v>504380.13892347709</v>
      </c>
      <c r="AJ26" s="149">
        <f t="shared" si="18"/>
        <v>555276.50792682869</v>
      </c>
      <c r="AK26" s="149">
        <f t="shared" si="18"/>
        <v>544639.87237824453</v>
      </c>
      <c r="AL26" s="149">
        <f t="shared" si="18"/>
        <v>595536.22174996801</v>
      </c>
      <c r="AM26" s="122"/>
      <c r="AN26" s="77"/>
      <c r="AO26" s="122">
        <f t="shared" si="10"/>
        <v>0</v>
      </c>
      <c r="AP26" s="122">
        <f t="shared" si="4"/>
        <v>0</v>
      </c>
      <c r="AQ26" s="122">
        <f t="shared" si="4"/>
        <v>0</v>
      </c>
      <c r="AR26" s="122">
        <f t="shared" si="4"/>
        <v>0</v>
      </c>
      <c r="AS26" s="122">
        <f t="shared" si="4"/>
        <v>0</v>
      </c>
      <c r="AT26" s="122">
        <f t="shared" si="4"/>
        <v>0</v>
      </c>
      <c r="AU26" s="122">
        <f t="shared" si="4"/>
        <v>0</v>
      </c>
      <c r="AV26" s="122">
        <f t="shared" si="4"/>
        <v>0.40246399238824665</v>
      </c>
      <c r="AW26" s="122"/>
      <c r="AX26" s="122">
        <f t="shared" si="4"/>
        <v>0</v>
      </c>
      <c r="AY26" s="122">
        <f t="shared" si="4"/>
        <v>0.31194901727557284</v>
      </c>
      <c r="AZ26" s="122">
        <f t="shared" si="4"/>
        <v>0.17361381002333276</v>
      </c>
      <c r="BA26" s="122">
        <f t="shared" si="4"/>
        <v>0.903325061061648</v>
      </c>
      <c r="BB26" s="122">
        <f t="shared" si="4"/>
        <v>1.0631024796835373</v>
      </c>
      <c r="BC26" s="122">
        <f t="shared" si="4"/>
        <v>1.7928148646319315</v>
      </c>
      <c r="BD26" s="122">
        <f t="shared" si="4"/>
        <v>1.6544803902367151</v>
      </c>
      <c r="BE26" s="122">
        <f t="shared" si="4"/>
        <v>2.3841913118853273</v>
      </c>
      <c r="BF26" s="77"/>
      <c r="BG26" s="122">
        <f t="shared" si="11"/>
        <v>0.57393986674094843</v>
      </c>
      <c r="BH26" s="122">
        <f t="shared" si="11"/>
        <v>0.67743730439668726</v>
      </c>
      <c r="BI26" s="122">
        <f t="shared" si="11"/>
        <v>0.66648153768783003</v>
      </c>
      <c r="BJ26" s="122">
        <f t="shared" si="11"/>
        <v>0.76997897534358017</v>
      </c>
      <c r="BK26" s="122">
        <f t="shared" si="11"/>
        <v>0.59182121937132459</v>
      </c>
      <c r="BL26" s="122">
        <f t="shared" si="11"/>
        <v>0.69531878382803047</v>
      </c>
      <c r="BM26" s="122">
        <f t="shared" si="11"/>
        <v>0.68436286923319822</v>
      </c>
      <c r="BN26" s="122">
        <f t="shared" si="11"/>
        <v>0.7</v>
      </c>
      <c r="BO26" s="122"/>
      <c r="BP26" s="122">
        <f t="shared" si="5"/>
        <v>0.91036747079862324</v>
      </c>
      <c r="BQ26" s="122">
        <f t="shared" si="5"/>
        <v>1</v>
      </c>
      <c r="BR26" s="122">
        <f t="shared" si="5"/>
        <v>1</v>
      </c>
      <c r="BS26" s="122">
        <f t="shared" si="5"/>
        <v>1</v>
      </c>
      <c r="BT26" s="122">
        <f t="shared" si="5"/>
        <v>0.7</v>
      </c>
      <c r="BU26" s="122">
        <f t="shared" si="5"/>
        <v>0.7</v>
      </c>
      <c r="BV26" s="122">
        <f t="shared" si="5"/>
        <v>0.7</v>
      </c>
      <c r="BW26" s="123">
        <f t="shared" si="5"/>
        <v>0.7</v>
      </c>
      <c r="BX26" s="7"/>
      <c r="BY26" s="7"/>
      <c r="BZ26" s="7"/>
      <c r="CA26" s="7"/>
      <c r="CB26" s="7"/>
      <c r="CC26" s="7"/>
      <c r="CD26" s="7"/>
      <c r="CE26" s="7"/>
      <c r="CF26" s="7"/>
      <c r="CG26" s="7"/>
    </row>
    <row r="27" spans="1:85" x14ac:dyDescent="0.3">
      <c r="A27" s="132" t="s">
        <v>288</v>
      </c>
      <c r="B27" s="122"/>
      <c r="C27" s="122"/>
      <c r="D27" s="149">
        <f t="shared" ref="D27:K27" si="19">D14-(D$9-D$22)</f>
        <v>0.98609006044208514</v>
      </c>
      <c r="E27" s="149">
        <f t="shared" si="19"/>
        <v>0.88545515607729552</v>
      </c>
      <c r="F27" s="149">
        <f t="shared" si="19"/>
        <v>0.89358483431971758</v>
      </c>
      <c r="G27" s="149">
        <f t="shared" si="19"/>
        <v>0.81747895795661107</v>
      </c>
      <c r="H27" s="149">
        <f t="shared" si="19"/>
        <v>0.96345867404889729</v>
      </c>
      <c r="I27" s="149">
        <f t="shared" si="19"/>
        <v>0.86914800326301034</v>
      </c>
      <c r="J27" s="149">
        <f t="shared" si="19"/>
        <v>0.87676185072863477</v>
      </c>
      <c r="K27" s="149">
        <f t="shared" si="19"/>
        <v>0.81646020746503978</v>
      </c>
      <c r="L27" s="122"/>
      <c r="M27" s="149">
        <f>M14-(M$9-M$22)</f>
        <v>0.69225696569654227</v>
      </c>
      <c r="N27" s="149">
        <f t="shared" ref="N27:T27" si="20">N14-(N$9-N$22)</f>
        <v>0.64452564253228994</v>
      </c>
      <c r="O27" s="149">
        <f t="shared" si="20"/>
        <v>0.6501428141419815</v>
      </c>
      <c r="P27" s="149">
        <f t="shared" si="20"/>
        <v>0.6191102306327253</v>
      </c>
      <c r="Q27" s="149">
        <f t="shared" si="20"/>
        <v>0.70702103554479423</v>
      </c>
      <c r="R27" s="149">
        <f t="shared" si="20"/>
        <v>0.66452636124887343</v>
      </c>
      <c r="S27" s="149">
        <f t="shared" si="20"/>
        <v>0.67074176730098023</v>
      </c>
      <c r="T27" s="149">
        <f t="shared" si="20"/>
        <v>0.63685114700514156</v>
      </c>
      <c r="U27" s="77"/>
      <c r="V27" s="149">
        <f t="shared" ref="V27:AC27" si="21">V14-(V$9-V$22)</f>
        <v>139569.81351257139</v>
      </c>
      <c r="W27" s="149">
        <f t="shared" si="21"/>
        <v>147925.89427667309</v>
      </c>
      <c r="X27" s="149">
        <f t="shared" si="21"/>
        <v>146869.76214166183</v>
      </c>
      <c r="Y27" s="149">
        <f t="shared" si="21"/>
        <v>155225.83867429476</v>
      </c>
      <c r="Z27" s="149">
        <f t="shared" si="21"/>
        <v>140601.41905894215</v>
      </c>
      <c r="AA27" s="149">
        <f t="shared" si="21"/>
        <v>148957.50591438171</v>
      </c>
      <c r="AB27" s="149">
        <f t="shared" si="21"/>
        <v>147901.36488734136</v>
      </c>
      <c r="AC27" s="149">
        <f t="shared" si="21"/>
        <v>156837.90487667063</v>
      </c>
      <c r="AD27" s="122"/>
      <c r="AE27" s="149">
        <f t="shared" ref="AE27:AK27" si="22">AE14-(AE$9-AE$22)</f>
        <v>419462.8864876997</v>
      </c>
      <c r="AF27" s="149">
        <f t="shared" si="22"/>
        <v>454785.89090473321</v>
      </c>
      <c r="AG27" s="149">
        <f t="shared" si="22"/>
        <v>447151.25015227369</v>
      </c>
      <c r="AH27" s="149">
        <f t="shared" si="22"/>
        <v>484073.06812582735</v>
      </c>
      <c r="AI27" s="149">
        <f t="shared" si="22"/>
        <v>426292.72242384154</v>
      </c>
      <c r="AJ27" s="149">
        <f t="shared" si="22"/>
        <v>463214.56896275515</v>
      </c>
      <c r="AK27" s="149">
        <f t="shared" si="22"/>
        <v>455579.91459422134</v>
      </c>
      <c r="AL27" s="149">
        <f>AL14-(AL$9-AL$22)</f>
        <v>492501.74150150723</v>
      </c>
      <c r="AM27" s="122"/>
      <c r="AN27" s="77"/>
      <c r="AO27" s="122">
        <f t="shared" si="10"/>
        <v>0</v>
      </c>
      <c r="AP27" s="122">
        <f t="shared" si="4"/>
        <v>0</v>
      </c>
      <c r="AQ27" s="122">
        <f t="shared" si="4"/>
        <v>0</v>
      </c>
      <c r="AR27" s="122">
        <f t="shared" si="4"/>
        <v>0</v>
      </c>
      <c r="AS27" s="122">
        <f t="shared" si="4"/>
        <v>0</v>
      </c>
      <c r="AT27" s="122">
        <f t="shared" si="4"/>
        <v>0</v>
      </c>
      <c r="AU27" s="122">
        <f t="shared" si="4"/>
        <v>0</v>
      </c>
      <c r="AV27" s="122">
        <f t="shared" si="4"/>
        <v>0.40246399238824665</v>
      </c>
      <c r="AW27" s="122"/>
      <c r="AX27" s="122">
        <f t="shared" si="4"/>
        <v>0</v>
      </c>
      <c r="AY27" s="122">
        <f t="shared" si="4"/>
        <v>0.31194901727557284</v>
      </c>
      <c r="AZ27" s="122">
        <f t="shared" si="4"/>
        <v>0.17361381002333276</v>
      </c>
      <c r="BA27" s="122">
        <f t="shared" si="4"/>
        <v>0.903325061061648</v>
      </c>
      <c r="BB27" s="122">
        <f t="shared" si="4"/>
        <v>1.0631024796835373</v>
      </c>
      <c r="BC27" s="122">
        <f t="shared" si="4"/>
        <v>1.7928148646319315</v>
      </c>
      <c r="BD27" s="122">
        <f t="shared" si="4"/>
        <v>1.6544803902367151</v>
      </c>
      <c r="BE27" s="122">
        <f t="shared" si="4"/>
        <v>2.3841913118853273</v>
      </c>
      <c r="BF27" s="77"/>
      <c r="BG27" s="122">
        <f t="shared" si="11"/>
        <v>0.57393986674094843</v>
      </c>
      <c r="BH27" s="122">
        <f t="shared" si="11"/>
        <v>0.67743730439668726</v>
      </c>
      <c r="BI27" s="122">
        <f t="shared" si="11"/>
        <v>0.66648153768783003</v>
      </c>
      <c r="BJ27" s="122">
        <f t="shared" si="11"/>
        <v>0.76997897534358017</v>
      </c>
      <c r="BK27" s="122">
        <f t="shared" si="11"/>
        <v>0.59182121937132459</v>
      </c>
      <c r="BL27" s="122">
        <f t="shared" si="11"/>
        <v>0.69531878382803047</v>
      </c>
      <c r="BM27" s="122">
        <f t="shared" si="11"/>
        <v>0.68436286923319822</v>
      </c>
      <c r="BN27" s="122">
        <f t="shared" si="11"/>
        <v>0.7</v>
      </c>
      <c r="BO27" s="122"/>
      <c r="BP27" s="122">
        <f t="shared" si="5"/>
        <v>0.91036747079862324</v>
      </c>
      <c r="BQ27" s="122">
        <f t="shared" si="5"/>
        <v>1</v>
      </c>
      <c r="BR27" s="122">
        <f t="shared" si="5"/>
        <v>1</v>
      </c>
      <c r="BS27" s="122">
        <f t="shared" si="5"/>
        <v>1</v>
      </c>
      <c r="BT27" s="122">
        <f t="shared" si="5"/>
        <v>0.7</v>
      </c>
      <c r="BU27" s="122">
        <f t="shared" si="5"/>
        <v>0.7</v>
      </c>
      <c r="BV27" s="122">
        <f t="shared" si="5"/>
        <v>0.7</v>
      </c>
      <c r="BW27" s="123">
        <f t="shared" si="5"/>
        <v>0.7</v>
      </c>
      <c r="BX27" s="7"/>
      <c r="BY27" s="7"/>
      <c r="BZ27" s="7"/>
      <c r="CA27" s="7"/>
      <c r="CB27" s="7"/>
      <c r="CC27" s="7"/>
      <c r="CD27" s="7"/>
      <c r="CE27" s="7"/>
      <c r="CF27" s="7"/>
      <c r="CG27" s="7"/>
    </row>
    <row r="28" spans="1:85" x14ac:dyDescent="0.3">
      <c r="A28" s="132" t="s">
        <v>292</v>
      </c>
      <c r="B28" s="122"/>
      <c r="C28" s="122"/>
      <c r="D28" s="7">
        <v>1.4393411165287551</v>
      </c>
      <c r="E28" s="7">
        <v>1.2938977238027773</v>
      </c>
      <c r="F28" s="7">
        <v>1.3054203064409018</v>
      </c>
      <c r="G28" s="7">
        <v>1.1954585778074618</v>
      </c>
      <c r="H28" s="7">
        <v>1.4058817083167841</v>
      </c>
      <c r="I28" s="7">
        <v>1.2691601699605137</v>
      </c>
      <c r="J28" s="7">
        <v>1.2799853949667781</v>
      </c>
      <c r="K28" s="7">
        <v>1.1917283051154146</v>
      </c>
      <c r="L28" s="7"/>
      <c r="M28" s="7">
        <v>0.96357825424232657</v>
      </c>
      <c r="N28" s="7">
        <v>0.90085329241445977</v>
      </c>
      <c r="O28" s="7">
        <v>0.90791608493681719</v>
      </c>
      <c r="P28" s="7">
        <v>0.86717269431256883</v>
      </c>
      <c r="Q28" s="7">
        <v>0.98147673967095972</v>
      </c>
      <c r="R28" s="7">
        <v>0.92583776292529441</v>
      </c>
      <c r="S28" s="7">
        <v>0.93364679853914767</v>
      </c>
      <c r="T28" s="7">
        <v>0.88931470085479669</v>
      </c>
      <c r="U28" s="77"/>
      <c r="V28" s="7">
        <v>203722.33898457765</v>
      </c>
      <c r="W28" s="7">
        <v>216161.16477971242</v>
      </c>
      <c r="X28" s="7">
        <v>214559.13865138026</v>
      </c>
      <c r="Y28" s="7">
        <v>226997.96615476377</v>
      </c>
      <c r="Z28" s="7">
        <v>205186.23850310512</v>
      </c>
      <c r="AA28" s="7">
        <v>217625.07739942207</v>
      </c>
      <c r="AB28" s="7">
        <v>216023.04787821445</v>
      </c>
      <c r="AC28" s="7">
        <v>229042.34562296752</v>
      </c>
      <c r="AD28" s="7"/>
      <c r="AE28" s="7">
        <v>584084.9664359811</v>
      </c>
      <c r="AF28" s="7">
        <v>636083.21658229793</v>
      </c>
      <c r="AG28" s="7">
        <v>624866.4289018471</v>
      </c>
      <c r="AH28" s="7">
        <v>678463.54714453744</v>
      </c>
      <c r="AI28" s="7">
        <v>592071.79488738161</v>
      </c>
      <c r="AJ28" s="7">
        <v>645668.94629231642</v>
      </c>
      <c r="AK28" s="7">
        <v>634452.12788352743</v>
      </c>
      <c r="AL28" s="7">
        <v>688049.28881313163</v>
      </c>
      <c r="AM28" s="122"/>
      <c r="AN28" s="77"/>
      <c r="AO28" s="122">
        <f t="shared" si="10"/>
        <v>0</v>
      </c>
      <c r="AP28" s="122">
        <f t="shared" si="4"/>
        <v>0</v>
      </c>
      <c r="AQ28" s="122">
        <f t="shared" si="4"/>
        <v>0</v>
      </c>
      <c r="AR28" s="122">
        <f t="shared" si="4"/>
        <v>0</v>
      </c>
      <c r="AS28" s="122">
        <f t="shared" si="4"/>
        <v>0</v>
      </c>
      <c r="AT28" s="122">
        <f t="shared" si="4"/>
        <v>0</v>
      </c>
      <c r="AU28" s="122">
        <f t="shared" si="4"/>
        <v>0</v>
      </c>
      <c r="AV28" s="122">
        <f t="shared" si="4"/>
        <v>0.40246399238824665</v>
      </c>
      <c r="AW28" s="122"/>
      <c r="AX28" s="122">
        <f t="shared" si="4"/>
        <v>0</v>
      </c>
      <c r="AY28" s="122">
        <f t="shared" si="4"/>
        <v>0.31194901727557284</v>
      </c>
      <c r="AZ28" s="122">
        <f t="shared" si="4"/>
        <v>0.17361381002333276</v>
      </c>
      <c r="BA28" s="122">
        <f t="shared" si="4"/>
        <v>0.903325061061648</v>
      </c>
      <c r="BB28" s="122">
        <f t="shared" si="4"/>
        <v>1.0631024796835373</v>
      </c>
      <c r="BC28" s="122">
        <f t="shared" si="4"/>
        <v>1.7928148646319315</v>
      </c>
      <c r="BD28" s="122">
        <f t="shared" si="4"/>
        <v>1.6544803902367151</v>
      </c>
      <c r="BE28" s="122">
        <f t="shared" si="4"/>
        <v>2.3841913118853273</v>
      </c>
      <c r="BF28" s="77"/>
      <c r="BG28" s="122">
        <f t="shared" si="11"/>
        <v>0.57393986674094843</v>
      </c>
      <c r="BH28" s="122">
        <f t="shared" si="11"/>
        <v>0.67743730439668726</v>
      </c>
      <c r="BI28" s="122">
        <f t="shared" si="11"/>
        <v>0.66648153768783003</v>
      </c>
      <c r="BJ28" s="122">
        <f t="shared" si="11"/>
        <v>0.76997897534358017</v>
      </c>
      <c r="BK28" s="122">
        <f t="shared" si="11"/>
        <v>0.59182121937132459</v>
      </c>
      <c r="BL28" s="122">
        <f t="shared" si="11"/>
        <v>0.69531878382803047</v>
      </c>
      <c r="BM28" s="122">
        <f t="shared" si="11"/>
        <v>0.68436286923319822</v>
      </c>
      <c r="BN28" s="122">
        <f t="shared" si="11"/>
        <v>0.7</v>
      </c>
      <c r="BO28" s="122"/>
      <c r="BP28" s="122">
        <f t="shared" si="5"/>
        <v>0.91036747079862324</v>
      </c>
      <c r="BQ28" s="122">
        <f t="shared" si="5"/>
        <v>1</v>
      </c>
      <c r="BR28" s="122">
        <f t="shared" si="5"/>
        <v>1</v>
      </c>
      <c r="BS28" s="122">
        <f t="shared" si="5"/>
        <v>1</v>
      </c>
      <c r="BT28" s="122">
        <f t="shared" si="5"/>
        <v>0.7</v>
      </c>
      <c r="BU28" s="122">
        <f t="shared" si="5"/>
        <v>0.7</v>
      </c>
      <c r="BV28" s="122">
        <f t="shared" si="5"/>
        <v>0.7</v>
      </c>
      <c r="BW28" s="123">
        <f t="shared" si="5"/>
        <v>0.7</v>
      </c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5" x14ac:dyDescent="0.3">
      <c r="A29" s="132" t="s">
        <v>290</v>
      </c>
      <c r="B29" s="122"/>
      <c r="C29" s="122"/>
      <c r="D29" s="7">
        <v>0.75619026374261999</v>
      </c>
      <c r="E29" s="7">
        <v>0.67955971236997248</v>
      </c>
      <c r="F29" s="7">
        <v>0.68572453774291298</v>
      </c>
      <c r="G29" s="7">
        <v>0.62777578810775425</v>
      </c>
      <c r="H29" s="7">
        <v>0.73881568150194254</v>
      </c>
      <c r="I29" s="7">
        <v>0.66674215727442587</v>
      </c>
      <c r="J29" s="7">
        <v>0.67254055796470702</v>
      </c>
      <c r="K29" s="7">
        <v>0.62636952644661736</v>
      </c>
      <c r="L29" s="7"/>
      <c r="M29" s="7">
        <v>0.52071356438581662</v>
      </c>
      <c r="N29" s="7">
        <v>0.48572128066955883</v>
      </c>
      <c r="O29" s="7">
        <v>0.48977524608206419</v>
      </c>
      <c r="P29" s="7">
        <v>0.46710867759883606</v>
      </c>
      <c r="Q29" s="7">
        <v>0.53120221939733336</v>
      </c>
      <c r="R29" s="7">
        <v>0.50018072617082932</v>
      </c>
      <c r="S29" s="7">
        <v>0.50466633107577008</v>
      </c>
      <c r="T29" s="7">
        <v>0.47993312582896364</v>
      </c>
      <c r="U29" s="77"/>
      <c r="V29" s="7">
        <v>157509.26810240987</v>
      </c>
      <c r="W29" s="7">
        <v>167072.68684354075</v>
      </c>
      <c r="X29" s="7">
        <v>165861.83025585546</v>
      </c>
      <c r="Y29" s="7">
        <v>175425.25054945995</v>
      </c>
      <c r="Z29" s="7">
        <v>158684.81854376241</v>
      </c>
      <c r="AA29" s="7">
        <v>168248.24018982425</v>
      </c>
      <c r="AB29" s="7">
        <v>167037.38032482486</v>
      </c>
      <c r="AC29" s="7">
        <v>177161.46333763388</v>
      </c>
      <c r="AD29" s="7"/>
      <c r="AE29" s="7">
        <v>464502.48200194712</v>
      </c>
      <c r="AF29" s="7">
        <v>504715.8871218983</v>
      </c>
      <c r="AG29" s="7">
        <v>496064.81458844361</v>
      </c>
      <c r="AH29" s="7">
        <v>537822.50328569463</v>
      </c>
      <c r="AI29" s="7">
        <v>471578.71904427733</v>
      </c>
      <c r="AJ29" s="7">
        <v>513336.41277767357</v>
      </c>
      <c r="AK29" s="7">
        <v>504685.33773426054</v>
      </c>
      <c r="AL29" s="7">
        <v>546443.06531714066</v>
      </c>
      <c r="AM29" s="122"/>
      <c r="AN29" s="77"/>
      <c r="AO29" s="122">
        <f t="shared" si="10"/>
        <v>0</v>
      </c>
      <c r="AP29" s="122">
        <f t="shared" si="4"/>
        <v>0</v>
      </c>
      <c r="AQ29" s="122">
        <f t="shared" si="4"/>
        <v>0</v>
      </c>
      <c r="AR29" s="122">
        <f t="shared" si="4"/>
        <v>0</v>
      </c>
      <c r="AS29" s="122">
        <f t="shared" si="4"/>
        <v>0</v>
      </c>
      <c r="AT29" s="122">
        <f t="shared" si="4"/>
        <v>0</v>
      </c>
      <c r="AU29" s="122">
        <f t="shared" si="4"/>
        <v>0</v>
      </c>
      <c r="AV29" s="122">
        <f t="shared" si="4"/>
        <v>0.40246399238824665</v>
      </c>
      <c r="AW29" s="122"/>
      <c r="AX29" s="122">
        <f t="shared" si="4"/>
        <v>0</v>
      </c>
      <c r="AY29" s="122">
        <f t="shared" si="4"/>
        <v>0.31194901727557284</v>
      </c>
      <c r="AZ29" s="122">
        <f t="shared" si="4"/>
        <v>0.17361381002333276</v>
      </c>
      <c r="BA29" s="122">
        <f t="shared" si="4"/>
        <v>0.903325061061648</v>
      </c>
      <c r="BB29" s="122">
        <f t="shared" si="4"/>
        <v>1.0631024796835373</v>
      </c>
      <c r="BC29" s="122">
        <f t="shared" si="4"/>
        <v>1.7928148646319315</v>
      </c>
      <c r="BD29" s="122">
        <f t="shared" si="4"/>
        <v>1.6544803902367151</v>
      </c>
      <c r="BE29" s="122">
        <f t="shared" si="4"/>
        <v>2.3841913118853273</v>
      </c>
      <c r="BF29" s="77"/>
      <c r="BG29" s="122">
        <f t="shared" si="11"/>
        <v>0.57393986674094843</v>
      </c>
      <c r="BH29" s="122">
        <f t="shared" si="11"/>
        <v>0.67743730439668726</v>
      </c>
      <c r="BI29" s="122">
        <f t="shared" si="11"/>
        <v>0.66648153768783003</v>
      </c>
      <c r="BJ29" s="122">
        <f t="shared" si="11"/>
        <v>0.76997897534358017</v>
      </c>
      <c r="BK29" s="122">
        <f t="shared" si="11"/>
        <v>0.59182121937132459</v>
      </c>
      <c r="BL29" s="122">
        <f t="shared" si="11"/>
        <v>0.69531878382803047</v>
      </c>
      <c r="BM29" s="122">
        <f t="shared" si="11"/>
        <v>0.68436286923319822</v>
      </c>
      <c r="BN29" s="122">
        <f t="shared" si="11"/>
        <v>0.7</v>
      </c>
      <c r="BO29" s="122"/>
      <c r="BP29" s="122">
        <f t="shared" si="5"/>
        <v>0.91036747079862324</v>
      </c>
      <c r="BQ29" s="122">
        <f t="shared" si="5"/>
        <v>1</v>
      </c>
      <c r="BR29" s="122">
        <f t="shared" si="5"/>
        <v>1</v>
      </c>
      <c r="BS29" s="122">
        <f t="shared" si="5"/>
        <v>1</v>
      </c>
      <c r="BT29" s="122">
        <f t="shared" si="5"/>
        <v>0.7</v>
      </c>
      <c r="BU29" s="122">
        <f t="shared" si="5"/>
        <v>0.7</v>
      </c>
      <c r="BV29" s="122">
        <f t="shared" si="5"/>
        <v>0.7</v>
      </c>
      <c r="BW29" s="123">
        <f t="shared" si="5"/>
        <v>0.7</v>
      </c>
      <c r="BX29" s="7"/>
      <c r="BY29" s="7"/>
      <c r="BZ29" s="7"/>
      <c r="CA29" s="7"/>
      <c r="CB29" s="7"/>
      <c r="CC29" s="7"/>
      <c r="CD29" s="7"/>
      <c r="CE29" s="7"/>
      <c r="CF29" s="7"/>
      <c r="CG29" s="7"/>
    </row>
    <row r="30" spans="1:85" ht="15" thickBot="1" x14ac:dyDescent="0.35">
      <c r="A30" s="134" t="s">
        <v>291</v>
      </c>
      <c r="B30" s="127"/>
      <c r="C30" s="127"/>
      <c r="D30" s="7">
        <v>1.080733621070711</v>
      </c>
      <c r="E30" s="7">
        <v>0.96600016137696765</v>
      </c>
      <c r="F30" s="7">
        <v>0.97545766564771852</v>
      </c>
      <c r="G30" s="7">
        <v>0.88866457400167909</v>
      </c>
      <c r="H30" s="7">
        <v>1.0553347685327057</v>
      </c>
      <c r="I30" s="7">
        <v>0.94733269405890441</v>
      </c>
      <c r="J30" s="7">
        <v>0.95624403198459929</v>
      </c>
      <c r="K30" s="7">
        <v>0.88711249384601298</v>
      </c>
      <c r="L30" s="7"/>
      <c r="M30" s="7">
        <v>0.75327530863547143</v>
      </c>
      <c r="N30" s="7">
        <v>0.69738055572290281</v>
      </c>
      <c r="O30" s="7">
        <v>0.70418903846301617</v>
      </c>
      <c r="P30" s="7">
        <v>0.66766893356717549</v>
      </c>
      <c r="Q30" s="7">
        <v>0.76969719187429864</v>
      </c>
      <c r="R30" s="7">
        <v>0.71988291710290775</v>
      </c>
      <c r="S30" s="7">
        <v>0.72736925982611456</v>
      </c>
      <c r="T30" s="7">
        <v>0.68761820915817018</v>
      </c>
      <c r="U30" s="148"/>
      <c r="V30" s="7">
        <v>129099.37322259028</v>
      </c>
      <c r="W30" s="7">
        <v>136202.62300146752</v>
      </c>
      <c r="X30" s="7">
        <v>135311.78659651679</v>
      </c>
      <c r="Y30" s="7">
        <v>142415.03813517481</v>
      </c>
      <c r="Z30" s="7">
        <v>129992.99815710899</v>
      </c>
      <c r="AA30" s="7">
        <v>137096.25122882365</v>
      </c>
      <c r="AB30" s="7">
        <v>136205.41132864502</v>
      </c>
      <c r="AC30" s="7">
        <v>143895.68576405104</v>
      </c>
      <c r="AD30" s="7"/>
      <c r="AE30" s="7">
        <v>385365.9326495835</v>
      </c>
      <c r="AF30" s="7">
        <v>415585.36960309366</v>
      </c>
      <c r="AG30" s="7">
        <v>409035.77354220051</v>
      </c>
      <c r="AH30" s="7">
        <v>440872.12727822753</v>
      </c>
      <c r="AI30" s="7">
        <v>391872.38396565459</v>
      </c>
      <c r="AJ30" s="7">
        <v>423708.74326227768</v>
      </c>
      <c r="AK30" s="7">
        <v>417159.11573536333</v>
      </c>
      <c r="AL30" s="7">
        <v>448995.51240627369</v>
      </c>
      <c r="AM30" s="127"/>
      <c r="AN30" s="148"/>
      <c r="AO30" s="127">
        <f t="shared" si="10"/>
        <v>0</v>
      </c>
      <c r="AP30" s="127">
        <f t="shared" si="4"/>
        <v>0</v>
      </c>
      <c r="AQ30" s="127">
        <f t="shared" si="4"/>
        <v>0</v>
      </c>
      <c r="AR30" s="127">
        <f t="shared" si="4"/>
        <v>0</v>
      </c>
      <c r="AS30" s="127">
        <f t="shared" si="4"/>
        <v>0</v>
      </c>
      <c r="AT30" s="127">
        <f t="shared" si="4"/>
        <v>0</v>
      </c>
      <c r="AU30" s="127">
        <f t="shared" si="4"/>
        <v>0</v>
      </c>
      <c r="AV30" s="127">
        <f t="shared" si="4"/>
        <v>0.40246399238824665</v>
      </c>
      <c r="AW30" s="127"/>
      <c r="AX30" s="127">
        <f t="shared" si="4"/>
        <v>0</v>
      </c>
      <c r="AY30" s="127">
        <f t="shared" si="4"/>
        <v>0.31194901727557284</v>
      </c>
      <c r="AZ30" s="127">
        <f t="shared" si="4"/>
        <v>0.17361381002333276</v>
      </c>
      <c r="BA30" s="127">
        <f t="shared" si="4"/>
        <v>0.903325061061648</v>
      </c>
      <c r="BB30" s="127">
        <f t="shared" si="4"/>
        <v>1.0631024796835373</v>
      </c>
      <c r="BC30" s="127">
        <f t="shared" si="4"/>
        <v>1.7928148646319315</v>
      </c>
      <c r="BD30" s="127">
        <f t="shared" si="4"/>
        <v>1.6544803902367151</v>
      </c>
      <c r="BE30" s="127">
        <f t="shared" si="4"/>
        <v>2.3841913118853273</v>
      </c>
      <c r="BF30" s="148"/>
      <c r="BG30" s="127">
        <f t="shared" si="11"/>
        <v>0.57393986674094843</v>
      </c>
      <c r="BH30" s="127">
        <f t="shared" si="11"/>
        <v>0.67743730439668726</v>
      </c>
      <c r="BI30" s="127">
        <f t="shared" si="11"/>
        <v>0.66648153768783003</v>
      </c>
      <c r="BJ30" s="127">
        <f t="shared" si="11"/>
        <v>0.76997897534358017</v>
      </c>
      <c r="BK30" s="127">
        <f t="shared" si="11"/>
        <v>0.59182121937132459</v>
      </c>
      <c r="BL30" s="127">
        <f t="shared" si="11"/>
        <v>0.69531878382803047</v>
      </c>
      <c r="BM30" s="127">
        <f t="shared" si="11"/>
        <v>0.68436286923319822</v>
      </c>
      <c r="BN30" s="127">
        <f t="shared" si="11"/>
        <v>0.7</v>
      </c>
      <c r="BO30" s="127"/>
      <c r="BP30" s="127">
        <f t="shared" si="5"/>
        <v>0.91036747079862324</v>
      </c>
      <c r="BQ30" s="127">
        <f t="shared" si="5"/>
        <v>1</v>
      </c>
      <c r="BR30" s="127">
        <f t="shared" si="5"/>
        <v>1</v>
      </c>
      <c r="BS30" s="127">
        <f t="shared" si="5"/>
        <v>1</v>
      </c>
      <c r="BT30" s="127">
        <f t="shared" si="5"/>
        <v>0.7</v>
      </c>
      <c r="BU30" s="127">
        <f t="shared" si="5"/>
        <v>0.7</v>
      </c>
      <c r="BV30" s="127">
        <f t="shared" si="5"/>
        <v>0.7</v>
      </c>
      <c r="BW30" s="128">
        <f t="shared" si="5"/>
        <v>0.7</v>
      </c>
      <c r="BX30" s="7"/>
      <c r="BY30" s="7"/>
      <c r="BZ30" s="7"/>
      <c r="CA30" s="7"/>
      <c r="CB30" s="7"/>
      <c r="CC30" s="7"/>
      <c r="CD30" s="7"/>
      <c r="CE30" s="7"/>
      <c r="CF30" s="7"/>
      <c r="CG30" s="7"/>
    </row>
    <row r="31" spans="1:85" x14ac:dyDescent="0.3">
      <c r="A31" s="132" t="s">
        <v>328</v>
      </c>
      <c r="B31" s="122"/>
      <c r="C31" s="122"/>
      <c r="D31" s="149">
        <f t="shared" ref="D31:J31" si="23">D18-(D$9-D$22)</f>
        <v>0.87457234949666984</v>
      </c>
      <c r="E31" s="149">
        <f t="shared" si="23"/>
        <v>0.78701672436142611</v>
      </c>
      <c r="F31" s="149">
        <f t="shared" si="23"/>
        <v>0.79406617701371063</v>
      </c>
      <c r="G31" s="149">
        <f t="shared" si="23"/>
        <v>0.72785475640364916</v>
      </c>
      <c r="H31" s="149">
        <f t="shared" si="23"/>
        <v>0.85441824334363081</v>
      </c>
      <c r="I31" s="149">
        <f t="shared" si="23"/>
        <v>0.77110286270548101</v>
      </c>
      <c r="J31" s="149">
        <f t="shared" si="23"/>
        <v>0.77780851958179631</v>
      </c>
      <c r="K31" s="149">
        <f t="shared" ref="K31" si="24">K18-(K$9-K$22)</f>
        <v>0.72607384323686974</v>
      </c>
      <c r="L31" s="7"/>
      <c r="M31" s="149">
        <f t="shared" ref="M31:S31" si="25">M18-(M$9-M$22)</f>
        <v>0.58987022910706377</v>
      </c>
      <c r="N31" s="149">
        <f t="shared" si="25"/>
        <v>0.55213668822044215</v>
      </c>
      <c r="O31" s="149">
        <f t="shared" si="25"/>
        <v>0.55617325303132092</v>
      </c>
      <c r="P31" s="149">
        <f t="shared" si="25"/>
        <v>0.53311924808277167</v>
      </c>
      <c r="Q31" s="149">
        <f t="shared" si="25"/>
        <v>0.60344657654315437</v>
      </c>
      <c r="R31" s="149">
        <f t="shared" si="25"/>
        <v>0.57118534668232768</v>
      </c>
      <c r="S31" s="149">
        <f t="shared" si="25"/>
        <v>0.57578292093277683</v>
      </c>
      <c r="T31" s="149">
        <f t="shared" ref="T31" si="26">T18-(T$9-T$22)</f>
        <v>0.55004544795677324</v>
      </c>
      <c r="U31" s="77"/>
      <c r="V31" s="149">
        <f t="shared" ref="V31" si="27">V18-(V$9-V$22)</f>
        <v>123785.74941041543</v>
      </c>
      <c r="W31" s="149">
        <f t="shared" ref="W31:AB31" si="28">W18-(W$9-W$22)</f>
        <v>131480.57277215732</v>
      </c>
      <c r="X31" s="149">
        <f t="shared" si="28"/>
        <v>130512.85588423471</v>
      </c>
      <c r="Y31" s="149">
        <f t="shared" si="28"/>
        <v>138207.67501433566</v>
      </c>
      <c r="Z31" s="149">
        <f t="shared" si="28"/>
        <v>124747.32799601089</v>
      </c>
      <c r="AA31" s="149">
        <f t="shared" si="28"/>
        <v>132442.16078042411</v>
      </c>
      <c r="AB31" s="149">
        <f t="shared" si="28"/>
        <v>131474.44169463747</v>
      </c>
      <c r="AC31" s="149">
        <f t="shared" ref="AC31" si="29">AC18-(AC$9-AC$22)</f>
        <v>139749.73217616306</v>
      </c>
      <c r="AD31" s="7"/>
      <c r="AE31" s="149">
        <f t="shared" ref="AE31:AK31" si="30">AE18-(AE$9-AE$22)</f>
        <v>358046.68833985104</v>
      </c>
      <c r="AF31" s="149">
        <f t="shared" si="30"/>
        <v>390668.86316466256</v>
      </c>
      <c r="AG31" s="149">
        <f t="shared" si="30"/>
        <v>383614.39632835094</v>
      </c>
      <c r="AH31" s="149">
        <f t="shared" si="30"/>
        <v>417835.41829632048</v>
      </c>
      <c r="AI31" s="149">
        <f t="shared" si="30"/>
        <v>364689.09095401206</v>
      </c>
      <c r="AJ31" s="149">
        <f t="shared" si="30"/>
        <v>398910.1394328294</v>
      </c>
      <c r="AK31" s="149">
        <f t="shared" si="30"/>
        <v>391855.66552972171</v>
      </c>
      <c r="AL31" s="149">
        <f>AL18-(AL$9-AL$22)</f>
        <v>426076.69437691098</v>
      </c>
      <c r="AM31" s="122"/>
      <c r="AN31" s="77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77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7"/>
      <c r="BY31" s="7"/>
      <c r="BZ31" s="7"/>
      <c r="CA31" s="7"/>
      <c r="CB31" s="7"/>
      <c r="CC31" s="7"/>
      <c r="CD31" s="7"/>
      <c r="CE31" s="7"/>
      <c r="CF31" s="7"/>
      <c r="CG31" s="7"/>
    </row>
    <row r="32" spans="1:85" x14ac:dyDescent="0.3">
      <c r="A32" s="7"/>
      <c r="B32" s="7"/>
      <c r="C32" s="7"/>
      <c r="D32" s="7">
        <f>IF((AND(Cases!$C$38&lt;1,Cases!$C$38&gt;-1)),'1Price SNPU'!$J$5,"not valid")</f>
        <v>0.96104979111497724</v>
      </c>
      <c r="E32" s="7" t="str">
        <f>IF((AND(Cases!$D$38&lt;1,Cases!$D$38&gt;-1)),'2Price SNPR'!$J$5,"not valid")</f>
        <v>not valid</v>
      </c>
      <c r="F32" s="7" t="str">
        <f>IF((AND(Cases!$E$38&lt;1,Cases!$E$38&gt;-1)),'3Price SNCU'!$J$5,"not valid")</f>
        <v>not valid</v>
      </c>
      <c r="G32" s="7" t="str">
        <f>IF((AND(Cases!$F$38&lt;1,Cases!$F$38&gt;-1)),'4Price SNCR'!$J$5,"not valid")</f>
        <v>not valid</v>
      </c>
      <c r="H32" s="7" t="str">
        <f>IF((AND(Cases!$G$38&lt;1,Cases!$G$38&gt;-1)),'5Price SRPU'!$J$5,"not valid")</f>
        <v>not valid</v>
      </c>
      <c r="I32" s="7" t="str">
        <f>IF((AND(Cases!$H$38&lt;1,Cases!$H$38&gt;-1)),'6Price SRPR'!$J$5,"not valid")</f>
        <v>not valid</v>
      </c>
      <c r="J32" s="7" t="str">
        <f>IF((AND(Cases!$I$38&lt;1,Cases!$I$38&gt;-1)),'7Price SRCU'!$J$5,"not valid")</f>
        <v>not valid</v>
      </c>
      <c r="K32" s="7" t="str">
        <f>IF((AND(Cases!$J$38&lt;1,Cases!$J$38&gt;-1)),'8Price SRCR'!$J$5,"not valid")</f>
        <v>not valid</v>
      </c>
      <c r="L32" s="7"/>
      <c r="M32" s="7" t="str">
        <f>IF((AND(Cases!$L$38&lt;1,Cases!$L$38&gt;-1)),'1Price MNPU'!$J$5,"not valid")</f>
        <v>not valid</v>
      </c>
      <c r="N32" s="7" t="str">
        <f>IF((AND(Cases!$M$38&lt;1,Cases!$M$38&gt;-1)),'2Price MNPR'!$J$5,"not valid")</f>
        <v>not valid</v>
      </c>
      <c r="O32" s="7" t="str">
        <f>IF((AND(Cases!$N$38&lt;1,Cases!$N$38&gt;-1)),'3Price MNCU'!$J$5,"not valid")</f>
        <v>not valid</v>
      </c>
      <c r="P32" s="7" t="str">
        <f>IF((AND(Cases!$O$38&lt;1,Cases!$O$38&gt;-1)),'4Price MNCR'!$J$5,"not valid")</f>
        <v>not valid</v>
      </c>
      <c r="Q32" s="7" t="str">
        <f>IF((AND(Cases!$P$38&lt;1,Cases!$P$38&gt;-1)),'5Price MRPU'!$J$5,"not valid")</f>
        <v>not valid</v>
      </c>
      <c r="R32" s="7" t="str">
        <f>IF((AND(Cases!$Q$38&lt;1,Cases!$Q$38&gt;-1)),'6Price MRPR'!$J$5,"not valid")</f>
        <v>not valid</v>
      </c>
      <c r="S32" s="7" t="str">
        <f>IF((AND(Cases!$R$38&lt;1,Cases!$R$38&gt;-1)),'7Price MRCU'!$J$5,"not valid")</f>
        <v>not valid</v>
      </c>
      <c r="T32" s="7" t="str">
        <f>IF((AND(Cases!$S$38&lt;1,Cases!$S$38&gt;-1)),'8Price MRCR'!$J$5,"not valid")</f>
        <v>not valid</v>
      </c>
      <c r="U32" s="77"/>
      <c r="V32" s="7">
        <f>IF((AND(Cases!$C$38&lt;1,Cases!$C$38&gt;-1)),'1Price SNPU'!$J$6,"not valid")</f>
        <v>136025.73956393986</v>
      </c>
      <c r="W32" s="7" t="str">
        <f>IF((AND(Cases!$D$38&lt;1,Cases!$D$38&gt;-1)),'2Price SNPR'!$J$6,"not valid")</f>
        <v>not valid</v>
      </c>
      <c r="X32" s="7" t="str">
        <f>IF((AND(Cases!$E$38&lt;1,Cases!$E$38&gt;-1)),'3Price SNCU'!$J$6,"not valid")</f>
        <v>not valid</v>
      </c>
      <c r="Y32" s="7" t="str">
        <f>IF((AND(Cases!$F$38&lt;1,Cases!$F$38&gt;-1)),'4Price SNCR'!$J$6,"not valid")</f>
        <v>not valid</v>
      </c>
      <c r="Z32" s="7" t="str">
        <f>IF((AND(Cases!$G$38&lt;1,Cases!$G$38&gt;-1)),'5Price SRPU'!$J$6,"not valid")</f>
        <v>not valid</v>
      </c>
      <c r="AA32" s="7" t="str">
        <f>IF((AND(Cases!$H$38&lt;1,Cases!$H$38&gt;-1)),'6Price SRPR'!$J$6,"not valid")</f>
        <v>not valid</v>
      </c>
      <c r="AB32" s="7" t="str">
        <f>IF((AND(Cases!$I$38&lt;1,Cases!$I$38&gt;-1)),'7Price SRCU'!$J$6,"not valid")</f>
        <v>not valid</v>
      </c>
      <c r="AC32" s="7" t="str">
        <f>IF((AND(Cases!$J$38&lt;1,Cases!$J$38&gt;-1)),'8Price SRCR'!$J$6,"not valid")</f>
        <v>not valid</v>
      </c>
      <c r="AD32" s="7"/>
      <c r="AE32" s="7" t="str">
        <f>IF((AND(Cases!$L$38&lt;1,Cases!$L$38&gt;-1)),'1Price MNPU'!$J$6,"not valid")</f>
        <v>not valid</v>
      </c>
      <c r="AF32" s="7" t="str">
        <f>IF((AND(Cases!$M$38&lt;1,Cases!$M$38&gt;-1)),'2Price MNPR'!$J$6,"not valid")</f>
        <v>not valid</v>
      </c>
      <c r="AG32" s="7" t="str">
        <f>IF((AND(Cases!$N$38&lt;1,Cases!$N$38&gt;-1)),'3Price MNCU'!$J$6,"not valid")</f>
        <v>not valid</v>
      </c>
      <c r="AH32" s="7" t="str">
        <f>IF((AND(Cases!$O$38&lt;1,Cases!$O$38&gt;-1)),'4Price MNCR'!$J$6,"not valid")</f>
        <v>not valid</v>
      </c>
      <c r="AI32" s="7" t="str">
        <f>IF((AND(Cases!$P$38&lt;1,Cases!$P$38&gt;-1)),'5Price MRPU'!$J$6,"not valid")</f>
        <v>not valid</v>
      </c>
      <c r="AJ32" s="7" t="str">
        <f>IF((AND(Cases!$Q$38&lt;1,Cases!$Q$38&gt;-1)),'6Price MRPR'!$J$6,"not valid")</f>
        <v>not valid</v>
      </c>
      <c r="AK32" s="7" t="str">
        <f>IF((AND(Cases!$R$38&lt;1,Cases!$R$38&gt;-1)),'7Price MRCU'!$J$6,"not valid")</f>
        <v>not valid</v>
      </c>
      <c r="AL32" s="7" t="str">
        <f>IF((AND(Cases!$S$38&lt;1,Cases!$S$38&gt;-1)),'8Price MRCR'!$J$6,"not valid")</f>
        <v>not valid</v>
      </c>
      <c r="AM32" s="7"/>
      <c r="AN32" s="77"/>
      <c r="AO32" s="7">
        <f>IF((AND(Cases!$C$38&lt;1,Cases!$C$38&gt;-1)),Cases!$C$40,"not valid")</f>
        <v>0</v>
      </c>
      <c r="AP32" s="7" t="str">
        <f>IF((AND(Cases!$D$38&lt;1,Cases!$D$38&gt;-1)),Cases!$C$40,"not valid")</f>
        <v>not valid</v>
      </c>
      <c r="AQ32" s="7" t="str">
        <f>IF((AND(Cases!$E$38&lt;1,Cases!$E$38&gt;-1)),Cases!$C$40,"not valid")</f>
        <v>not valid</v>
      </c>
      <c r="AR32" s="7" t="str">
        <f>IF((AND(Cases!$F$38&lt;1,Cases!$F$38&gt;-1)),Cases!$C$40,"not valid")</f>
        <v>not valid</v>
      </c>
      <c r="AS32" s="7" t="str">
        <f>IF((AND(Cases!$G$38&lt;1,Cases!$G$38&gt;-1)),Cases!$C$40,"not valid")</f>
        <v>not valid</v>
      </c>
      <c r="AT32" s="7" t="str">
        <f>IF((AND(Cases!$H$38&lt;1,Cases!$H$38&gt;-1)),Cases!$C$40,"not valid")</f>
        <v>not valid</v>
      </c>
      <c r="AU32" s="7" t="str">
        <f>IF((AND(Cases!$I$38&lt;1,Cases!$I$38&gt;-1)),Cases!$C$40,"not valid")</f>
        <v>not valid</v>
      </c>
      <c r="AV32" s="7" t="str">
        <f>IF((AND(Cases!$J$38&lt;1,Cases!$J$38&gt;-1)),Cases!$C$40,"not valid")</f>
        <v>not valid</v>
      </c>
      <c r="AW32" s="7"/>
      <c r="AX32" s="7" t="str">
        <f>IF((AND(Cases!$L$38&lt;1,Cases!$L$38&gt;-1)),Cases!$C$40,"not valid")</f>
        <v>not valid</v>
      </c>
      <c r="AY32" s="7" t="str">
        <f>IF((AND(Cases!$M$38&lt;1,Cases!$M$38&gt;-1)),Cases!$C$40,"not valid")</f>
        <v>not valid</v>
      </c>
      <c r="AZ32" s="7" t="str">
        <f>IF((AND(Cases!$N$38&lt;1,Cases!$N$38&gt;-1)),Cases!$C$40,"not valid")</f>
        <v>not valid</v>
      </c>
      <c r="BA32" s="7" t="str">
        <f>IF((AND(Cases!$O$38&lt;1,Cases!$O$38&gt;-1)),Cases!$C$40,"not valid")</f>
        <v>not valid</v>
      </c>
      <c r="BB32" s="7" t="str">
        <f>IF((AND(Cases!$P$38&lt;1,Cases!$P$38&gt;-1)),Cases!$C$40,"not valid")</f>
        <v>not valid</v>
      </c>
      <c r="BC32" s="7" t="str">
        <f>IF((AND(Cases!$Q$38&lt;1,Cases!$Q$38&gt;-1)),Cases!$C$40,"not valid")</f>
        <v>not valid</v>
      </c>
      <c r="BD32" s="7" t="str">
        <f>IF((AND(Cases!$R$38&lt;1,Cases!$R$38&gt;-1)),Cases!$C$40,"not valid")</f>
        <v>not valid</v>
      </c>
      <c r="BE32" s="7" t="str">
        <f>IF((AND(Cases!$S$38&lt;1,Cases!$S$38&gt;-1)),Cases!$C$40,"not valid")</f>
        <v>not valid</v>
      </c>
      <c r="BF32" s="77"/>
      <c r="BG32" s="7">
        <f>IF((AND(Cases!$C$38&lt;1,Cases!$C$38&gt;-1)),Cases!$D$39,"not valid")</f>
        <v>0.57393914485134423</v>
      </c>
      <c r="BH32" s="7" t="str">
        <f>IF((AND(Cases!$D$38&lt;1,Cases!$D$38&gt;-1)),Cases!$D$39,"not valid")</f>
        <v>not valid</v>
      </c>
      <c r="BI32" s="7" t="str">
        <f>IF((AND(Cases!$E$38&lt;1,Cases!$E$38&gt;-1)),Cases!$D$39,"not valid")</f>
        <v>not valid</v>
      </c>
      <c r="BJ32" s="7" t="str">
        <f>IF((AND(Cases!$F$38&lt;1,Cases!$F$38&gt;-1)),Cases!$D$39,"not valid")</f>
        <v>not valid</v>
      </c>
      <c r="BK32" s="7" t="str">
        <f>IF((AND(Cases!$G$38&lt;1,Cases!$G$38&gt;-1)),Cases!$D$39,"not valid")</f>
        <v>not valid</v>
      </c>
      <c r="BL32" s="7" t="str">
        <f>IF((AND(Cases!$H$38&lt;1,Cases!$H$38&gt;-1)),Cases!$D$39,"not valid")</f>
        <v>not valid</v>
      </c>
      <c r="BM32" s="7" t="str">
        <f>IF((AND(Cases!$I$38&lt;1,Cases!$I$38&gt;-1)),Cases!$D$39,"not valid")</f>
        <v>not valid</v>
      </c>
      <c r="BN32" s="7" t="str">
        <f>IF((AND(Cases!$J$38&lt;1,Cases!$J$38&gt;-1)),Cases!$D$39,"not valid")</f>
        <v>not valid</v>
      </c>
      <c r="BO32" s="7"/>
      <c r="BP32" s="7" t="str">
        <f>IF((AND(Cases!$L$38&lt;1,Cases!$L$38&gt;-1)),Cases!$D$39,"not valid")</f>
        <v>not valid</v>
      </c>
      <c r="BQ32" s="7" t="str">
        <f>IF((AND(Cases!$M$38&lt;1,Cases!$M$38&gt;-1)),Cases!$D$39,"not valid")</f>
        <v>not valid</v>
      </c>
      <c r="BR32" s="7" t="str">
        <f>IF((AND(Cases!$N$38&lt;1,Cases!$N$38&gt;-1)),Cases!$D$39,"not valid")</f>
        <v>not valid</v>
      </c>
      <c r="BS32" s="7" t="str">
        <f>IF((AND(Cases!$O$38&lt;1,Cases!$O$38&gt;-1)),Cases!$D$39,"not valid")</f>
        <v>not valid</v>
      </c>
      <c r="BT32" s="7" t="str">
        <f>IF((AND(Cases!$P$38&lt;1,Cases!$P$38&gt;-1)),Cases!$D$39,"not valid")</f>
        <v>not valid</v>
      </c>
      <c r="BU32" s="7" t="str">
        <f>IF((AND(Cases!$Q$38&lt;1,Cases!$Q$38&gt;-1)),Cases!$D$39,"not valid")</f>
        <v>not valid</v>
      </c>
      <c r="BV32" s="7" t="str">
        <f>IF((AND(Cases!$R$38&lt;1,Cases!$R$38&gt;-1)),Cases!$D$39,"not valid")</f>
        <v>not valid</v>
      </c>
      <c r="BW32" s="7" t="str">
        <f>IF((AND(Cases!$S$38&lt;1,Cases!$S$38&gt;-1)),Cases!$D$39,"not valid")</f>
        <v>not valid</v>
      </c>
      <c r="BX32" s="7"/>
      <c r="BY32" s="7"/>
      <c r="BZ32" s="7"/>
      <c r="CA32" s="7"/>
      <c r="CB32" s="7"/>
      <c r="CC32" s="7"/>
      <c r="CD32" s="7"/>
      <c r="CE32" s="7"/>
      <c r="CF32" s="7"/>
      <c r="CG32" s="7"/>
    </row>
    <row r="33" spans="1:8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</row>
    <row r="34" spans="1:8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</row>
    <row r="35" spans="1:8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</row>
    <row r="36" spans="1:8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</row>
    <row r="37" spans="1:8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</row>
    <row r="38" spans="1:8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</row>
    <row r="39" spans="1:8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</row>
    <row r="40" spans="1:8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</row>
    <row r="41" spans="1:8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</row>
    <row r="42" spans="1:8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</row>
    <row r="43" spans="1:8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</row>
    <row r="44" spans="1:8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</row>
    <row r="45" spans="1:8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1:8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</row>
    <row r="47" spans="1:8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</row>
    <row r="48" spans="1:8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</row>
    <row r="49" spans="1:8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8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</row>
    <row r="51" spans="1:8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</row>
    <row r="52" spans="1:8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</row>
    <row r="53" spans="1:8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</row>
    <row r="54" spans="1:8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</row>
    <row r="55" spans="1:8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</row>
    <row r="56" spans="1:8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</row>
    <row r="57" spans="1:8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</row>
  </sheetData>
  <mergeCells count="60">
    <mergeCell ref="D2:T2"/>
    <mergeCell ref="V2:AL2"/>
    <mergeCell ref="AO2:BE2"/>
    <mergeCell ref="BG2:BW2"/>
    <mergeCell ref="D3:K3"/>
    <mergeCell ref="M3:T3"/>
    <mergeCell ref="V3:AC3"/>
    <mergeCell ref="AE3:AL3"/>
    <mergeCell ref="AO3:AV3"/>
    <mergeCell ref="AX3:BE3"/>
    <mergeCell ref="BG3:BN3"/>
    <mergeCell ref="BP3:BW3"/>
    <mergeCell ref="D4:G4"/>
    <mergeCell ref="H4:K4"/>
    <mergeCell ref="M4:P4"/>
    <mergeCell ref="Q4:T4"/>
    <mergeCell ref="V4:Y4"/>
    <mergeCell ref="Z4:AC4"/>
    <mergeCell ref="AE4:AH4"/>
    <mergeCell ref="AI4:AL4"/>
    <mergeCell ref="BP4:BS4"/>
    <mergeCell ref="BT4:BW4"/>
    <mergeCell ref="AX4:BA4"/>
    <mergeCell ref="BB4:BE4"/>
    <mergeCell ref="BG4:BJ4"/>
    <mergeCell ref="BK4:BN4"/>
    <mergeCell ref="D5:E5"/>
    <mergeCell ref="F5:G5"/>
    <mergeCell ref="H5:I5"/>
    <mergeCell ref="J5:K5"/>
    <mergeCell ref="M5:N5"/>
    <mergeCell ref="O5:P5"/>
    <mergeCell ref="Q5:R5"/>
    <mergeCell ref="S5:T5"/>
    <mergeCell ref="AO4:AR4"/>
    <mergeCell ref="AS4:AV4"/>
    <mergeCell ref="AU5:AV5"/>
    <mergeCell ref="V5:W5"/>
    <mergeCell ref="X5:Y5"/>
    <mergeCell ref="Z5:AA5"/>
    <mergeCell ref="AB5:AC5"/>
    <mergeCell ref="AE5:AF5"/>
    <mergeCell ref="AG5:AH5"/>
    <mergeCell ref="AI5:AJ5"/>
    <mergeCell ref="AK5:AL5"/>
    <mergeCell ref="AO5:AP5"/>
    <mergeCell ref="AQ5:AR5"/>
    <mergeCell ref="AS5:AT5"/>
    <mergeCell ref="BV5:BW5"/>
    <mergeCell ref="AX5:AY5"/>
    <mergeCell ref="AZ5:BA5"/>
    <mergeCell ref="BB5:BC5"/>
    <mergeCell ref="BD5:BE5"/>
    <mergeCell ref="BG5:BH5"/>
    <mergeCell ref="BI5:BJ5"/>
    <mergeCell ref="BK5:BL5"/>
    <mergeCell ref="BM5:BN5"/>
    <mergeCell ref="BP5:BQ5"/>
    <mergeCell ref="BR5:BS5"/>
    <mergeCell ref="BT5:B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DHW real</vt:lpstr>
      <vt:lpstr>space heat</vt:lpstr>
      <vt:lpstr>Spatial dimension</vt:lpstr>
      <vt:lpstr>Electricity demand</vt:lpstr>
      <vt:lpstr>rooftopfacade area</vt:lpstr>
      <vt:lpstr>PV efficiency</vt:lpstr>
      <vt:lpstr>Storage eff.</vt:lpstr>
      <vt:lpstr>Electricity prod.</vt:lpstr>
      <vt:lpstr>75%LCOE sheet </vt:lpstr>
      <vt:lpstr>Cases</vt:lpstr>
      <vt:lpstr>sensitivity</vt:lpstr>
      <vt:lpstr>1Price SNPU</vt:lpstr>
      <vt:lpstr>2Price SNPR</vt:lpstr>
      <vt:lpstr>3Price SNCU</vt:lpstr>
      <vt:lpstr>4Price SNCR</vt:lpstr>
      <vt:lpstr>5Price SRPU</vt:lpstr>
      <vt:lpstr>6Price SRPR</vt:lpstr>
      <vt:lpstr>7Price SRCU</vt:lpstr>
      <vt:lpstr>8Price SRCR</vt:lpstr>
      <vt:lpstr>1Price MNPU</vt:lpstr>
      <vt:lpstr>2Price MNPR</vt:lpstr>
      <vt:lpstr>3Price MNCU</vt:lpstr>
      <vt:lpstr>4Price MNCR</vt:lpstr>
      <vt:lpstr>5Price MRPU</vt:lpstr>
      <vt:lpstr>6Price MRPR</vt:lpstr>
      <vt:lpstr>7Price MRCU</vt:lpstr>
      <vt:lpstr>8Price MRCR</vt:lpstr>
      <vt:lpstr>cost splitting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Ursin</dc:creator>
  <cp:lastModifiedBy>Ursin</cp:lastModifiedBy>
  <cp:lastPrinted>2018-12-21T10:35:22Z</cp:lastPrinted>
  <dcterms:created xsi:type="dcterms:W3CDTF">2018-11-01T23:25:00Z</dcterms:created>
  <dcterms:modified xsi:type="dcterms:W3CDTF">2019-07-31T13:22:03Z</dcterms:modified>
</cp:coreProperties>
</file>