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ummary" sheetId="1" r:id="rId1"/>
    <sheet name="Method_1" sheetId="2" r:id="rId2"/>
    <sheet name="Method_2" sheetId="3" r:id="rId3"/>
  </sheets>
  <definedNames>
    <definedName name="inc">#REF!</definedName>
    <definedName name="k">#REF!</definedName>
    <definedName name="lambda">#REF!</definedName>
    <definedName name="_xlnm.Print_Area" localSheetId="0">'Summary'!$B$1:$J$38</definedName>
  </definedNames>
  <calcPr fullCalcOnLoad="1"/>
</workbook>
</file>

<file path=xl/comments1.xml><?xml version="1.0" encoding="utf-8"?>
<comments xmlns="http://schemas.openxmlformats.org/spreadsheetml/2006/main">
  <authors>
    <author>tbh03</author>
  </authors>
  <commentList>
    <comment ref="F16" authorId="0">
      <text>
        <r>
          <rPr>
            <b/>
            <sz val="8"/>
            <rFont val="Tahoma"/>
            <family val="0"/>
          </rPr>
          <t>This is not weighted by population sizes at each age-group.</t>
        </r>
      </text>
    </comment>
  </commentList>
</comments>
</file>

<file path=xl/comments2.xml><?xml version="1.0" encoding="utf-8"?>
<comments xmlns="http://schemas.openxmlformats.org/spreadsheetml/2006/main">
  <authors>
    <author>tbh03</author>
  </authors>
  <commentList>
    <comment ref="L8" authorId="0">
      <text>
        <r>
          <rPr>
            <b/>
            <sz val="8"/>
            <rFont val="Tahoma"/>
            <family val="0"/>
          </rPr>
          <t>This is "Lambda0"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This is "Lambda0"</t>
        </r>
        <r>
          <rPr>
            <sz val="8"/>
            <rFont val="Tahoma"/>
            <family val="0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0"/>
          </rPr>
          <t>This is "Lambda0"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tbh03</author>
  </authors>
  <commentList>
    <comment ref="M8" authorId="0">
      <text>
        <r>
          <rPr>
            <b/>
            <sz val="8"/>
            <rFont val="Tahoma"/>
            <family val="0"/>
          </rPr>
          <t>This is "Lambda0"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These values derived below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>These values imported from data entry sheet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These values imported from the data entry sheet
</t>
        </r>
      </text>
    </comment>
    <comment ref="B22" authorId="0">
      <text>
        <r>
          <rPr>
            <b/>
            <sz val="8"/>
            <rFont val="Tahoma"/>
            <family val="0"/>
          </rPr>
          <t>These values imported from the data entry sheet</t>
        </r>
      </text>
    </comment>
    <comment ref="B26" authorId="0">
      <text>
        <r>
          <rPr>
            <b/>
            <sz val="8"/>
            <rFont val="Tahoma"/>
            <family val="0"/>
          </rPr>
          <t>These values based on observational cohort data</t>
        </r>
      </text>
    </comment>
    <comment ref="I9" authorId="0">
      <text>
        <r>
          <rPr>
            <b/>
            <sz val="8"/>
            <rFont val="Tahoma"/>
            <family val="0"/>
          </rPr>
          <t>Pi(1) calculated seperately</t>
        </r>
      </text>
    </comment>
    <comment ref="L21" authorId="0">
      <text>
        <r>
          <rPr>
            <b/>
            <sz val="8"/>
            <rFont val="Tahoma"/>
            <family val="0"/>
          </rPr>
          <t>i.e. 15-19 (mean age 17.5) thru' 20-24 (mean age 22.5)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<sst xmlns="http://schemas.openxmlformats.org/spreadsheetml/2006/main" count="211" uniqueCount="74">
  <si>
    <t>15-19</t>
  </si>
  <si>
    <t>20-24</t>
  </si>
  <si>
    <t>Age group</t>
  </si>
  <si>
    <t>25-29</t>
  </si>
  <si>
    <t>30-34</t>
  </si>
  <si>
    <t>35-39</t>
  </si>
  <si>
    <t>40-44</t>
  </si>
  <si>
    <t>45-49</t>
  </si>
  <si>
    <t>Input: Prevalence Data</t>
  </si>
  <si>
    <t>HIV Incidence (per 100 person-years at risk)</t>
  </si>
  <si>
    <t>Method 2</t>
  </si>
  <si>
    <t>Output: Estimates of Incidence</t>
  </si>
  <si>
    <t>"Q"</t>
  </si>
  <si>
    <t>HIV- Mortality Assumed</t>
  </si>
  <si>
    <t>HIV+ Mortality Assumed (net)</t>
  </si>
  <si>
    <t>"Pi"</t>
  </si>
  <si>
    <t>"p: i, 0 "</t>
  </si>
  <si>
    <t>"p: i, T"</t>
  </si>
  <si>
    <t>"cohort-Lambda": numerator</t>
  </si>
  <si>
    <t>"cohort-Lambda": denominator</t>
  </si>
  <si>
    <t>"cohort-Lambda"</t>
  </si>
  <si>
    <t>"xsec-Lambda"</t>
  </si>
  <si>
    <t>10-14</t>
  </si>
  <si>
    <t>Weighting to younger cohort</t>
  </si>
  <si>
    <t>Weighting to older cohort</t>
  </si>
  <si>
    <t>First Survey</t>
  </si>
  <si>
    <t>Second Survey</t>
  </si>
  <si>
    <t>Weibull Survival Parameters</t>
  </si>
  <si>
    <t>Shape</t>
  </si>
  <si>
    <t>Scale</t>
  </si>
  <si>
    <t>Assumed mean age at start</t>
  </si>
  <si>
    <t>Age-group</t>
  </si>
  <si>
    <t>Mean Age At First Survey</t>
  </si>
  <si>
    <t>Mean Age At Second Survey</t>
  </si>
  <si>
    <t>Survival To Second Survey</t>
  </si>
  <si>
    <t>Survival To First Survey</t>
  </si>
  <si>
    <t>Shape:</t>
  </si>
  <si>
    <t>Scale:</t>
  </si>
  <si>
    <t>Weibull Parameters</t>
  </si>
  <si>
    <t>Weighting - first component</t>
  </si>
  <si>
    <t>Weighting - second component</t>
  </si>
  <si>
    <t>(early)</t>
  </si>
  <si>
    <t>(mature/stable)</t>
  </si>
  <si>
    <t>(mature/declining)</t>
  </si>
  <si>
    <t>Numerator sum</t>
  </si>
  <si>
    <t>Denominator sum</t>
  </si>
  <si>
    <t>17.5-22.5</t>
  </si>
  <si>
    <t>22.5-27.5</t>
  </si>
  <si>
    <t>27.5-32.5</t>
  </si>
  <si>
    <t>32.5-37.5</t>
  </si>
  <si>
    <t>42.5-47.5</t>
  </si>
  <si>
    <t>47.5-52.5</t>
  </si>
  <si>
    <t>infected during age-range:</t>
  </si>
  <si>
    <t>estimated rate:</t>
  </si>
  <si>
    <t>Pi: Numerator</t>
  </si>
  <si>
    <t>Pi: Denominator</t>
  </si>
  <si>
    <t>Other Ages When Could Have Been Infected' --- Summing through k=i…i-1</t>
  </si>
  <si>
    <t>Weighting - second component (sum of lambda up to k-1)</t>
  </si>
  <si>
    <t>Cohort</t>
  </si>
  <si>
    <t>"ai's"</t>
  </si>
  <si>
    <r>
      <t>mean age at infection: (</t>
    </r>
    <r>
      <rPr>
        <i/>
        <u val="single"/>
        <sz val="10"/>
        <color indexed="18"/>
        <rFont val="Arial"/>
        <family val="2"/>
      </rPr>
      <t>a(k) + r/2</t>
    </r>
    <r>
      <rPr>
        <i/>
        <sz val="10"/>
        <rFont val="Arial"/>
        <family val="2"/>
      </rPr>
      <t>)</t>
    </r>
  </si>
  <si>
    <t>Surivival from 0th cohort</t>
  </si>
  <si>
    <t xml:space="preserve">from cohort: </t>
  </si>
  <si>
    <t>Method 1</t>
  </si>
  <si>
    <t>(m)</t>
  </si>
  <si>
    <t>Weighting --- first compoonent X second component (w's)</t>
  </si>
  <si>
    <t>Mortality Assumption "Early"</t>
  </si>
  <si>
    <t>Mortality Assumption "Mature/Stable"</t>
  </si>
  <si>
    <t>Mortality Assumption "Mature/declining"</t>
  </si>
  <si>
    <t>HIV Prevalence (Fraction)</t>
  </si>
  <si>
    <t xml:space="preserve">Average: </t>
  </si>
  <si>
    <r>
      <t>Cohort's age group (</t>
    </r>
    <r>
      <rPr>
        <b/>
        <i/>
        <sz val="10"/>
        <color indexed="10"/>
        <rFont val="Arial"/>
        <family val="2"/>
      </rPr>
      <t>at first survey</t>
    </r>
    <r>
      <rPr>
        <b/>
        <i/>
        <sz val="10"/>
        <rFont val="Arial"/>
        <family val="2"/>
      </rPr>
      <t>)</t>
    </r>
  </si>
  <si>
    <r>
      <t>Cohort's age group (</t>
    </r>
    <r>
      <rPr>
        <b/>
        <i/>
        <sz val="10"/>
        <color indexed="10"/>
        <rFont val="Arial"/>
        <family val="2"/>
      </rPr>
      <t>at second survey</t>
    </r>
    <r>
      <rPr>
        <b/>
        <i/>
        <sz val="10"/>
        <rFont val="Arial"/>
        <family val="2"/>
      </rPr>
      <t>)</t>
    </r>
  </si>
  <si>
    <t>50-54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</si>
</sst>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&quot;£&quot;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63"/>
      <name val="Arial"/>
      <family val="2"/>
    </font>
    <font>
      <i/>
      <sz val="10"/>
      <color indexed="55"/>
      <name val="Arial"/>
      <family val="2"/>
    </font>
    <font>
      <u val="single"/>
      <sz val="10"/>
      <name val="Arial"/>
      <family val="0"/>
    </font>
    <font>
      <i/>
      <u val="single"/>
      <sz val="10"/>
      <color indexed="18"/>
      <name val="Arial"/>
      <family val="2"/>
    </font>
    <font>
      <sz val="10"/>
      <name val="Algerian"/>
      <family val="5"/>
    </font>
    <font>
      <sz val="11"/>
      <name val="Arial Narrow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21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Border="1" applyAlignment="1">
      <alignment/>
    </xf>
    <xf numFmtId="0" fontId="6" fillId="0" borderId="9" xfId="0" applyFont="1" applyBorder="1" applyAlignment="1">
      <alignment/>
    </xf>
    <xf numFmtId="0" fontId="0" fillId="4" borderId="0" xfId="0" applyFill="1" applyAlignment="1">
      <alignment/>
    </xf>
    <xf numFmtId="170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6" fillId="5" borderId="0" xfId="0" applyFont="1" applyFill="1" applyAlignment="1">
      <alignment/>
    </xf>
    <xf numFmtId="170" fontId="0" fillId="5" borderId="0" xfId="0" applyNumberFormat="1" applyFill="1" applyAlignment="1">
      <alignment horizontal="center"/>
    </xf>
    <xf numFmtId="0" fontId="4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17" fontId="11" fillId="0" borderId="5" xfId="0" applyNumberFormat="1" applyFont="1" applyBorder="1" applyAlignment="1" quotePrefix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70" fontId="0" fillId="0" borderId="9" xfId="0" applyNumberFormat="1" applyFill="1" applyBorder="1" applyAlignment="1">
      <alignment horizontal="center"/>
    </xf>
    <xf numFmtId="170" fontId="0" fillId="0" borderId="9" xfId="0" applyNumberFormat="1" applyFill="1" applyBorder="1" applyAlignment="1">
      <alignment/>
    </xf>
    <xf numFmtId="170" fontId="0" fillId="0" borderId="0" xfId="0" applyNumberFormat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6" fillId="0" borderId="9" xfId="0" applyFont="1" applyBorder="1" applyAlignment="1" quotePrefix="1">
      <alignment/>
    </xf>
    <xf numFmtId="0" fontId="6" fillId="0" borderId="0" xfId="0" applyFont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5" borderId="10" xfId="0" applyFill="1" applyBorder="1" applyAlignment="1">
      <alignment/>
    </xf>
    <xf numFmtId="0" fontId="12" fillId="0" borderId="0" xfId="0" applyFont="1" applyAlignment="1">
      <alignment horizontal="left"/>
    </xf>
    <xf numFmtId="170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2" fontId="0" fillId="0" borderId="0" xfId="0" applyNumberFormat="1" applyFill="1" applyAlignment="1">
      <alignment horizontal="center"/>
    </xf>
    <xf numFmtId="0" fontId="6" fillId="6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" xfId="0" applyFill="1" applyBorder="1" applyAlignment="1">
      <alignment/>
    </xf>
    <xf numFmtId="0" fontId="13" fillId="6" borderId="14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13" fillId="6" borderId="1" xfId="0" applyFont="1" applyFill="1" applyBorder="1" applyAlignment="1">
      <alignment/>
    </xf>
    <xf numFmtId="171" fontId="0" fillId="6" borderId="0" xfId="0" applyNumberFormat="1" applyFill="1" applyBorder="1" applyAlignment="1">
      <alignment horizontal="center"/>
    </xf>
    <xf numFmtId="171" fontId="0" fillId="6" borderId="1" xfId="0" applyNumberForma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9" xfId="0" applyFill="1" applyBorder="1" applyAlignment="1">
      <alignment/>
    </xf>
    <xf numFmtId="171" fontId="0" fillId="6" borderId="9" xfId="0" applyNumberFormat="1" applyFill="1" applyBorder="1" applyAlignment="1">
      <alignment horizontal="center"/>
    </xf>
    <xf numFmtId="171" fontId="0" fillId="6" borderId="2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70" fontId="0" fillId="0" borderId="0" xfId="0" applyNumberFormat="1" applyFill="1" applyAlignment="1">
      <alignment horizontal="center"/>
    </xf>
    <xf numFmtId="177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5" fillId="0" borderId="0" xfId="0" applyFont="1" applyFill="1" applyAlignment="1">
      <alignment/>
    </xf>
    <xf numFmtId="2" fontId="0" fillId="0" borderId="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" fontId="11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2" fontId="0" fillId="7" borderId="24" xfId="0" applyNumberFormat="1" applyFill="1" applyBorder="1" applyAlignment="1">
      <alignment horizontal="center"/>
    </xf>
    <xf numFmtId="2" fontId="0" fillId="7" borderId="25" xfId="0" applyNumberForma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2" fontId="0" fillId="7" borderId="2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latin typeface="Arial"/>
                <a:ea typeface="Arial"/>
                <a:cs typeface="Arial"/>
              </a:rPr>
              <a:t>Input: Prevalence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Start of Period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Summary!$B$8:$B$14</c:f>
              <c:strCache/>
            </c:strRef>
          </c:cat>
          <c:val>
            <c:numRef>
              <c:f>Summary!$C$8:$C$14</c:f>
              <c:numCache/>
            </c:numRef>
          </c:val>
        </c:ser>
        <c:ser>
          <c:idx val="0"/>
          <c:order val="1"/>
          <c:tx>
            <c:v>End of Period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Summary!$B$8:$B$14</c:f>
              <c:strCache/>
            </c:strRef>
          </c:cat>
          <c:val>
            <c:numRef>
              <c:f>Summary!$C$18:$C$24</c:f>
              <c:numCache/>
            </c:numRef>
          </c:val>
        </c:ser>
        <c:axId val="30035236"/>
        <c:axId val="1881669"/>
      </c:barChart>
      <c:catAx>
        <c:axId val="3003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 (at start of period)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1669"/>
        <c:crosses val="autoZero"/>
        <c:auto val="0"/>
        <c:lblOffset val="100"/>
        <c:tickLblSkip val="1"/>
        <c:noMultiLvlLbl val="0"/>
      </c:catAx>
      <c:valAx>
        <c:axId val="188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HIV prevalence (fraction)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0035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latin typeface="Arial"/>
                <a:ea typeface="Arial"/>
                <a:cs typeface="Arial"/>
              </a:rPr>
              <a:t>Output: Incidence Estimates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Summary!$J$6</c:f>
              <c:strCache>
                <c:ptCount val="1"/>
                <c:pt idx="0">
                  <c:v>Method 2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Summary!$J$8:$J$14</c:f>
              <c:numCache/>
            </c:numRef>
          </c:val>
        </c:ser>
        <c:axId val="16935022"/>
        <c:axId val="18197471"/>
      </c:barChart>
      <c:lineChart>
        <c:grouping val="standard"/>
        <c:varyColors val="0"/>
        <c:ser>
          <c:idx val="1"/>
          <c:order val="0"/>
          <c:tx>
            <c:strRef>
              <c:f>Summary!$G$7</c:f>
              <c:strCache>
                <c:ptCount val="1"/>
                <c:pt idx="0">
                  <c:v>(early)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Summary!$B$8:$B$14</c:f>
              <c:strCache/>
            </c:strRef>
          </c:cat>
          <c:val>
            <c:numRef>
              <c:f>Summary!$G$8:$G$14</c:f>
              <c:numCache/>
            </c:numRef>
          </c:val>
          <c:smooth val="0"/>
        </c:ser>
        <c:ser>
          <c:idx val="0"/>
          <c:order val="1"/>
          <c:tx>
            <c:strRef>
              <c:f>Summary!$H$7</c:f>
              <c:strCache>
                <c:ptCount val="1"/>
                <c:pt idx="0">
                  <c:v>(mature/stable)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Summary!$B$8:$B$14</c:f>
              <c:strCache/>
            </c:strRef>
          </c:cat>
          <c:val>
            <c:numRef>
              <c:f>Summary!$H$8:$H$14</c:f>
              <c:numCache/>
            </c:numRef>
          </c:val>
          <c:smooth val="0"/>
        </c:ser>
        <c:ser>
          <c:idx val="2"/>
          <c:order val="2"/>
          <c:tx>
            <c:strRef>
              <c:f>Summary!$I$7</c:f>
              <c:strCache>
                <c:ptCount val="1"/>
                <c:pt idx="0">
                  <c:v>(mature/declining)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Summary!$I$8:$I$14</c:f>
              <c:numCache/>
            </c:numRef>
          </c:val>
          <c:smooth val="0"/>
        </c:ser>
        <c:axId val="16935022"/>
        <c:axId val="18197471"/>
      </c:lineChart>
      <c:cat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 (at start of period)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auto val="0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HIV incidence
(per 100 pyar)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935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25</xdr:row>
      <xdr:rowOff>114300</xdr:rowOff>
    </xdr:from>
    <xdr:to>
      <xdr:col>3</xdr:col>
      <xdr:colOff>1190625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447675" y="4219575"/>
        <a:ext cx="5172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25</xdr:row>
      <xdr:rowOff>9525</xdr:rowOff>
    </xdr:from>
    <xdr:to>
      <xdr:col>9</xdr:col>
      <xdr:colOff>666750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6248400" y="4114800"/>
        <a:ext cx="48387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0</xdr:row>
      <xdr:rowOff>114300</xdr:rowOff>
    </xdr:from>
    <xdr:to>
      <xdr:col>6</xdr:col>
      <xdr:colOff>895350</xdr:colOff>
      <xdr:row>2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00050" y="114300"/>
          <a:ext cx="76009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Fill in green boxes. For details of calculation see published article. For technical assistance contact Tim Hallett: timothy.hallett@imperial.ac.uk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1152525</xdr:colOff>
      <xdr:row>3</xdr:row>
      <xdr:rowOff>28575</xdr:rowOff>
    </xdr:from>
    <xdr:to>
      <xdr:col>10</xdr:col>
      <xdr:colOff>238125</xdr:colOff>
      <xdr:row>5</xdr:row>
      <xdr:rowOff>123825</xdr:rowOff>
    </xdr:to>
    <xdr:sp>
      <xdr:nvSpPr>
        <xdr:cNvPr id="1" name="Line 5"/>
        <xdr:cNvSpPr>
          <a:spLocks/>
        </xdr:cNvSpPr>
      </xdr:nvSpPr>
      <xdr:spPr>
        <a:xfrm flipH="1">
          <a:off x="9439275" y="514350"/>
          <a:ext cx="742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</xdr:row>
      <xdr:rowOff>28575</xdr:rowOff>
    </xdr:from>
    <xdr:to>
      <xdr:col>10</xdr:col>
      <xdr:colOff>1276350</xdr:colOff>
      <xdr:row>5</xdr:row>
      <xdr:rowOff>123825</xdr:rowOff>
    </xdr:to>
    <xdr:sp>
      <xdr:nvSpPr>
        <xdr:cNvPr id="2" name="Line 6"/>
        <xdr:cNvSpPr>
          <a:spLocks/>
        </xdr:cNvSpPr>
      </xdr:nvSpPr>
      <xdr:spPr>
        <a:xfrm>
          <a:off x="10172700" y="514350"/>
          <a:ext cx="1047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</xdr:row>
      <xdr:rowOff>123825</xdr:rowOff>
    </xdr:from>
    <xdr:to>
      <xdr:col>8</xdr:col>
      <xdr:colOff>219075</xdr:colOff>
      <xdr:row>6</xdr:row>
      <xdr:rowOff>76200</xdr:rowOff>
    </xdr:to>
    <xdr:sp>
      <xdr:nvSpPr>
        <xdr:cNvPr id="3" name="Line 8"/>
        <xdr:cNvSpPr>
          <a:spLocks/>
        </xdr:cNvSpPr>
      </xdr:nvSpPr>
      <xdr:spPr>
        <a:xfrm>
          <a:off x="7896225" y="4476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828675</xdr:colOff>
      <xdr:row>7</xdr:row>
      <xdr:rowOff>104775</xdr:rowOff>
    </xdr:from>
    <xdr:to>
      <xdr:col>15</xdr:col>
      <xdr:colOff>371475</xdr:colOff>
      <xdr:row>7</xdr:row>
      <xdr:rowOff>114300</xdr:rowOff>
    </xdr:to>
    <xdr:sp>
      <xdr:nvSpPr>
        <xdr:cNvPr id="4" name="Line 10"/>
        <xdr:cNvSpPr>
          <a:spLocks/>
        </xdr:cNvSpPr>
      </xdr:nvSpPr>
      <xdr:spPr>
        <a:xfrm flipH="1">
          <a:off x="12544425" y="124777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</xdr:row>
      <xdr:rowOff>152400</xdr:rowOff>
    </xdr:from>
    <xdr:to>
      <xdr:col>13</xdr:col>
      <xdr:colOff>533400</xdr:colOff>
      <xdr:row>6</xdr:row>
      <xdr:rowOff>66675</xdr:rowOff>
    </xdr:to>
    <xdr:sp>
      <xdr:nvSpPr>
        <xdr:cNvPr id="5" name="Line 12"/>
        <xdr:cNvSpPr>
          <a:spLocks/>
        </xdr:cNvSpPr>
      </xdr:nvSpPr>
      <xdr:spPr>
        <a:xfrm flipH="1">
          <a:off x="13258800" y="476250"/>
          <a:ext cx="619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1152525</xdr:colOff>
      <xdr:row>3</xdr:row>
      <xdr:rowOff>76200</xdr:rowOff>
    </xdr:from>
    <xdr:to>
      <xdr:col>10</xdr:col>
      <xdr:colOff>1895475</xdr:colOff>
      <xdr:row>6</xdr:row>
      <xdr:rowOff>9525</xdr:rowOff>
    </xdr:to>
    <xdr:sp>
      <xdr:nvSpPr>
        <xdr:cNvPr id="1" name="Line 31"/>
        <xdr:cNvSpPr>
          <a:spLocks/>
        </xdr:cNvSpPr>
      </xdr:nvSpPr>
      <xdr:spPr>
        <a:xfrm flipH="1">
          <a:off x="12363450" y="561975"/>
          <a:ext cx="742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3</xdr:row>
      <xdr:rowOff>76200</xdr:rowOff>
    </xdr:from>
    <xdr:to>
      <xdr:col>11</xdr:col>
      <xdr:colOff>752475</xdr:colOff>
      <xdr:row>6</xdr:row>
      <xdr:rowOff>9525</xdr:rowOff>
    </xdr:to>
    <xdr:sp>
      <xdr:nvSpPr>
        <xdr:cNvPr id="2" name="Line 32"/>
        <xdr:cNvSpPr>
          <a:spLocks/>
        </xdr:cNvSpPr>
      </xdr:nvSpPr>
      <xdr:spPr>
        <a:xfrm>
          <a:off x="13096875" y="561975"/>
          <a:ext cx="1047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95250</xdr:rowOff>
    </xdr:from>
    <xdr:to>
      <xdr:col>9</xdr:col>
      <xdr:colOff>466725</xdr:colOff>
      <xdr:row>6</xdr:row>
      <xdr:rowOff>47625</xdr:rowOff>
    </xdr:to>
    <xdr:sp>
      <xdr:nvSpPr>
        <xdr:cNvPr id="3" name="Line 34"/>
        <xdr:cNvSpPr>
          <a:spLocks/>
        </xdr:cNvSpPr>
      </xdr:nvSpPr>
      <xdr:spPr>
        <a:xfrm>
          <a:off x="10125075" y="419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1162050</xdr:colOff>
      <xdr:row>7</xdr:row>
      <xdr:rowOff>95250</xdr:rowOff>
    </xdr:from>
    <xdr:to>
      <xdr:col>14</xdr:col>
      <xdr:colOff>238125</xdr:colOff>
      <xdr:row>7</xdr:row>
      <xdr:rowOff>95250</xdr:rowOff>
    </xdr:to>
    <xdr:sp>
      <xdr:nvSpPr>
        <xdr:cNvPr id="4" name="Line 36"/>
        <xdr:cNvSpPr>
          <a:spLocks/>
        </xdr:cNvSpPr>
      </xdr:nvSpPr>
      <xdr:spPr>
        <a:xfrm flipH="1">
          <a:off x="16325850" y="12382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3</xdr:row>
      <xdr:rowOff>9525</xdr:rowOff>
    </xdr:from>
    <xdr:to>
      <xdr:col>13</xdr:col>
      <xdr:colOff>400050</xdr:colOff>
      <xdr:row>6</xdr:row>
      <xdr:rowOff>38100</xdr:rowOff>
    </xdr:to>
    <xdr:sp>
      <xdr:nvSpPr>
        <xdr:cNvPr id="5" name="Line 38"/>
        <xdr:cNvSpPr>
          <a:spLocks/>
        </xdr:cNvSpPr>
      </xdr:nvSpPr>
      <xdr:spPr>
        <a:xfrm>
          <a:off x="16935450" y="495300"/>
          <a:ext cx="2095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1524000</xdr:colOff>
      <xdr:row>26</xdr:row>
      <xdr:rowOff>114300</xdr:rowOff>
    </xdr:from>
    <xdr:to>
      <xdr:col>12</xdr:col>
      <xdr:colOff>276225</xdr:colOff>
      <xdr:row>27</xdr:row>
      <xdr:rowOff>66675</xdr:rowOff>
    </xdr:to>
    <xdr:sp>
      <xdr:nvSpPr>
        <xdr:cNvPr id="6" name="Line 43"/>
        <xdr:cNvSpPr>
          <a:spLocks/>
        </xdr:cNvSpPr>
      </xdr:nvSpPr>
      <xdr:spPr>
        <a:xfrm flipH="1">
          <a:off x="14916150" y="4352925"/>
          <a:ext cx="523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1666875</xdr:colOff>
      <xdr:row>35</xdr:row>
      <xdr:rowOff>133350</xdr:rowOff>
    </xdr:from>
    <xdr:to>
      <xdr:col>12</xdr:col>
      <xdr:colOff>419100</xdr:colOff>
      <xdr:row>36</xdr:row>
      <xdr:rowOff>85725</xdr:rowOff>
    </xdr:to>
    <xdr:sp>
      <xdr:nvSpPr>
        <xdr:cNvPr id="7" name="Line 45"/>
        <xdr:cNvSpPr>
          <a:spLocks/>
        </xdr:cNvSpPr>
      </xdr:nvSpPr>
      <xdr:spPr>
        <a:xfrm flipH="1">
          <a:off x="15059025" y="5848350"/>
          <a:ext cx="523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3</xdr:row>
      <xdr:rowOff>0</xdr:rowOff>
    </xdr:from>
    <xdr:to>
      <xdr:col>8</xdr:col>
      <xdr:colOff>314325</xdr:colOff>
      <xdr:row>8</xdr:row>
      <xdr:rowOff>66675</xdr:rowOff>
    </xdr:to>
    <xdr:sp>
      <xdr:nvSpPr>
        <xdr:cNvPr id="8" name="Line 48"/>
        <xdr:cNvSpPr>
          <a:spLocks/>
        </xdr:cNvSpPr>
      </xdr:nvSpPr>
      <xdr:spPr>
        <a:xfrm>
          <a:off x="7953375" y="485775"/>
          <a:ext cx="1066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54</xdr:row>
      <xdr:rowOff>66675</xdr:rowOff>
    </xdr:from>
    <xdr:to>
      <xdr:col>19</xdr:col>
      <xdr:colOff>485775</xdr:colOff>
      <xdr:row>56</xdr:row>
      <xdr:rowOff>76200</xdr:rowOff>
    </xdr:to>
    <xdr:grpSp>
      <xdr:nvGrpSpPr>
        <xdr:cNvPr id="9" name="Group 54"/>
        <xdr:cNvGrpSpPr>
          <a:grpSpLocks/>
        </xdr:cNvGrpSpPr>
      </xdr:nvGrpSpPr>
      <xdr:grpSpPr>
        <a:xfrm>
          <a:off x="17002125" y="8877300"/>
          <a:ext cx="5105400" cy="342900"/>
          <a:chOff x="1785" y="932"/>
          <a:chExt cx="536" cy="36"/>
        </a:xfrm>
        <a:solidFill>
          <a:srgbClr val="FFFFFF"/>
        </a:solidFill>
      </xdr:grpSpPr>
      <xdr:sp>
        <xdr:nvSpPr>
          <xdr:cNvPr id="10" name="AutoShape 52"/>
          <xdr:cNvSpPr>
            <a:spLocks/>
          </xdr:cNvSpPr>
        </xdr:nvSpPr>
        <xdr:spPr>
          <a:xfrm rot="10800000">
            <a:off x="1785" y="932"/>
            <a:ext cx="536" cy="36"/>
          </a:xfrm>
          <a:prstGeom prst="bentConnector3">
            <a:avLst>
              <a:gd name="adj1" fmla="val 30782"/>
              <a:gd name="adj2" fmla="val -2688888"/>
              <a:gd name="adj3" fmla="val -433023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3"/>
          <xdr:cNvSpPr>
            <a:spLocks/>
          </xdr:cNvSpPr>
        </xdr:nvSpPr>
        <xdr:spPr>
          <a:xfrm>
            <a:off x="2321" y="952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1743075</xdr:colOff>
      <xdr:row>45</xdr:row>
      <xdr:rowOff>85725</xdr:rowOff>
    </xdr:from>
    <xdr:to>
      <xdr:col>18</xdr:col>
      <xdr:colOff>352425</xdr:colOff>
      <xdr:row>53</xdr:row>
      <xdr:rowOff>104775</xdr:rowOff>
    </xdr:to>
    <xdr:grpSp>
      <xdr:nvGrpSpPr>
        <xdr:cNvPr id="12" name="Group 56"/>
        <xdr:cNvGrpSpPr>
          <a:grpSpLocks/>
        </xdr:cNvGrpSpPr>
      </xdr:nvGrpSpPr>
      <xdr:grpSpPr>
        <a:xfrm>
          <a:off x="15135225" y="7429500"/>
          <a:ext cx="6229350" cy="1323975"/>
          <a:chOff x="1589" y="780"/>
          <a:chExt cx="654" cy="139"/>
        </a:xfrm>
        <a:solidFill>
          <a:srgbClr val="FFFFFF"/>
        </a:solidFill>
      </xdr:grpSpPr>
      <xdr:sp>
        <xdr:nvSpPr>
          <xdr:cNvPr id="13" name="AutoShape 50"/>
          <xdr:cNvSpPr>
            <a:spLocks/>
          </xdr:cNvSpPr>
        </xdr:nvSpPr>
        <xdr:spPr>
          <a:xfrm rot="10800000">
            <a:off x="1589" y="780"/>
            <a:ext cx="654" cy="114"/>
          </a:xfrm>
          <a:prstGeom prst="bentConnector3">
            <a:avLst>
              <a:gd name="adj1" fmla="val 152"/>
              <a:gd name="adj2" fmla="val -784208"/>
              <a:gd name="adj3" fmla="val -342967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5"/>
          <xdr:cNvSpPr>
            <a:spLocks/>
          </xdr:cNvSpPr>
        </xdr:nvSpPr>
        <xdr:spPr>
          <a:xfrm>
            <a:off x="2242" y="893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371475</xdr:colOff>
      <xdr:row>56</xdr:row>
      <xdr:rowOff>76200</xdr:rowOff>
    </xdr:from>
    <xdr:to>
      <xdr:col>17</xdr:col>
      <xdr:colOff>142875</xdr:colOff>
      <xdr:row>63</xdr:row>
      <xdr:rowOff>76200</xdr:rowOff>
    </xdr:to>
    <xdr:sp>
      <xdr:nvSpPr>
        <xdr:cNvPr id="15" name="AutoShape 58"/>
        <xdr:cNvSpPr>
          <a:spLocks/>
        </xdr:cNvSpPr>
      </xdr:nvSpPr>
      <xdr:spPr>
        <a:xfrm rot="10800000" flipV="1">
          <a:off x="15535275" y="9220200"/>
          <a:ext cx="5010150" cy="1133475"/>
        </a:xfrm>
        <a:prstGeom prst="bentConnector3">
          <a:avLst>
            <a:gd name="adj1" fmla="val 189"/>
            <a:gd name="adj2" fmla="val 813444"/>
            <a:gd name="adj3" fmla="val -41007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54</xdr:row>
      <xdr:rowOff>66675</xdr:rowOff>
    </xdr:from>
    <xdr:to>
      <xdr:col>20</xdr:col>
      <xdr:colOff>180975</xdr:colOff>
      <xdr:row>72</xdr:row>
      <xdr:rowOff>76200</xdr:rowOff>
    </xdr:to>
    <xdr:sp>
      <xdr:nvSpPr>
        <xdr:cNvPr id="16" name="AutoShape 61"/>
        <xdr:cNvSpPr>
          <a:spLocks/>
        </xdr:cNvSpPr>
      </xdr:nvSpPr>
      <xdr:spPr>
        <a:xfrm flipH="1">
          <a:off x="16878300" y="8877300"/>
          <a:ext cx="5534025" cy="2943225"/>
        </a:xfrm>
        <a:prstGeom prst="bentConnector3">
          <a:avLst>
            <a:gd name="adj1" fmla="val -4129"/>
            <a:gd name="adj2" fmla="val -301620"/>
            <a:gd name="adj3" fmla="val 40499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895350</xdr:colOff>
      <xdr:row>81</xdr:row>
      <xdr:rowOff>123825</xdr:rowOff>
    </xdr:from>
    <xdr:to>
      <xdr:col>15</xdr:col>
      <xdr:colOff>685800</xdr:colOff>
      <xdr:row>86</xdr:row>
      <xdr:rowOff>28575</xdr:rowOff>
    </xdr:to>
    <xdr:sp>
      <xdr:nvSpPr>
        <xdr:cNvPr id="17" name="Line 64"/>
        <xdr:cNvSpPr>
          <a:spLocks/>
        </xdr:cNvSpPr>
      </xdr:nvSpPr>
      <xdr:spPr>
        <a:xfrm flipH="1" flipV="1">
          <a:off x="17640300" y="13335000"/>
          <a:ext cx="16192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86</xdr:row>
      <xdr:rowOff>57150</xdr:rowOff>
    </xdr:from>
    <xdr:to>
      <xdr:col>15</xdr:col>
      <xdr:colOff>676275</xdr:colOff>
      <xdr:row>90</xdr:row>
      <xdr:rowOff>104775</xdr:rowOff>
    </xdr:to>
    <xdr:sp>
      <xdr:nvSpPr>
        <xdr:cNvPr id="18" name="Line 65"/>
        <xdr:cNvSpPr>
          <a:spLocks/>
        </xdr:cNvSpPr>
      </xdr:nvSpPr>
      <xdr:spPr>
        <a:xfrm flipH="1">
          <a:off x="17773650" y="14087475"/>
          <a:ext cx="1476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2009775</xdr:colOff>
      <xdr:row>88</xdr:row>
      <xdr:rowOff>152400</xdr:rowOff>
    </xdr:from>
    <xdr:to>
      <xdr:col>11</xdr:col>
      <xdr:colOff>1743075</xdr:colOff>
      <xdr:row>90</xdr:row>
      <xdr:rowOff>47625</xdr:rowOff>
    </xdr:to>
    <xdr:sp>
      <xdr:nvSpPr>
        <xdr:cNvPr id="19" name="Line 68"/>
        <xdr:cNvSpPr>
          <a:spLocks/>
        </xdr:cNvSpPr>
      </xdr:nvSpPr>
      <xdr:spPr>
        <a:xfrm>
          <a:off x="13220700" y="14506575"/>
          <a:ext cx="1914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2162175</xdr:colOff>
      <xdr:row>79</xdr:row>
      <xdr:rowOff>38100</xdr:rowOff>
    </xdr:from>
    <xdr:to>
      <xdr:col>12</xdr:col>
      <xdr:colOff>28575</xdr:colOff>
      <xdr:row>81</xdr:row>
      <xdr:rowOff>38100</xdr:rowOff>
    </xdr:to>
    <xdr:sp>
      <xdr:nvSpPr>
        <xdr:cNvPr id="20" name="Line 69"/>
        <xdr:cNvSpPr>
          <a:spLocks/>
        </xdr:cNvSpPr>
      </xdr:nvSpPr>
      <xdr:spPr>
        <a:xfrm>
          <a:off x="13373100" y="129254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oleObject" Target="../embeddings/oleObject_2_7.bin" /><Relationship Id="rId10" Type="http://schemas.openxmlformats.org/officeDocument/2006/relationships/oleObject" Target="../embeddings/oleObject_2_8.bin" /><Relationship Id="rId11" Type="http://schemas.openxmlformats.org/officeDocument/2006/relationships/oleObject" Target="../embeddings/oleObject_2_9.bin" /><Relationship Id="rId12" Type="http://schemas.openxmlformats.org/officeDocument/2006/relationships/oleObject" Target="../embeddings/oleObject_2_10.bin" /><Relationship Id="rId13" Type="http://schemas.openxmlformats.org/officeDocument/2006/relationships/vmlDrawing" Target="../drawings/vmlDrawing3.vml" /><Relationship Id="rId14" Type="http://schemas.openxmlformats.org/officeDocument/2006/relationships/drawing" Target="../drawings/drawing3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57421875" style="0" customWidth="1"/>
    <col min="2" max="2" width="36.28125" style="0" customWidth="1"/>
    <col min="3" max="3" width="24.57421875" style="0" customWidth="1"/>
    <col min="4" max="4" width="23.7109375" style="0" customWidth="1"/>
    <col min="5" max="5" width="4.140625" style="0" customWidth="1"/>
    <col min="6" max="6" width="12.28125" style="0" customWidth="1"/>
    <col min="7" max="7" width="17.140625" style="0" customWidth="1"/>
    <col min="8" max="8" width="14.8515625" style="0" customWidth="1"/>
    <col min="9" max="9" width="17.7109375" style="0" customWidth="1"/>
    <col min="10" max="10" width="13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thickBot="1">
      <c r="A4" s="3"/>
      <c r="B4" s="14" t="s">
        <v>8</v>
      </c>
      <c r="C4" s="19"/>
      <c r="D4" s="3"/>
      <c r="E4" s="3"/>
      <c r="F4" s="21" t="s">
        <v>11</v>
      </c>
      <c r="G4" s="22"/>
      <c r="H4" s="22"/>
      <c r="I4" s="22"/>
      <c r="J4" s="23"/>
      <c r="K4" s="3"/>
      <c r="L4" s="3"/>
      <c r="M4" s="3"/>
    </row>
    <row r="5" spans="1:18" ht="12.75">
      <c r="A5" s="3"/>
      <c r="B5" s="15"/>
      <c r="C5" s="10" t="s">
        <v>69</v>
      </c>
      <c r="D5" s="9"/>
      <c r="F5" s="15"/>
      <c r="G5" s="20" t="s">
        <v>9</v>
      </c>
      <c r="H5" s="20"/>
      <c r="I5" s="20"/>
      <c r="J5" s="10"/>
      <c r="K5" s="3"/>
      <c r="L5" s="3"/>
      <c r="M5" s="3"/>
      <c r="R5" s="5"/>
    </row>
    <row r="6" spans="1:18" ht="12.75">
      <c r="A6" s="3"/>
      <c r="B6" s="16" t="s">
        <v>71</v>
      </c>
      <c r="C6" s="13" t="s">
        <v>25</v>
      </c>
      <c r="F6" s="27"/>
      <c r="G6" s="103"/>
      <c r="H6" s="104" t="s">
        <v>63</v>
      </c>
      <c r="I6" s="105"/>
      <c r="J6" s="13" t="s">
        <v>10</v>
      </c>
      <c r="K6" s="6"/>
      <c r="L6" s="3"/>
      <c r="M6" s="3"/>
      <c r="O6" s="65"/>
      <c r="R6" s="5"/>
    </row>
    <row r="7" spans="1:18" ht="12.75">
      <c r="A7" s="3"/>
      <c r="B7" s="47" t="s">
        <v>22</v>
      </c>
      <c r="C7" s="113">
        <v>0</v>
      </c>
      <c r="F7" s="16" t="s">
        <v>2</v>
      </c>
      <c r="G7" s="97" t="s">
        <v>41</v>
      </c>
      <c r="H7" s="100" t="s">
        <v>42</v>
      </c>
      <c r="I7" s="13" t="s">
        <v>43</v>
      </c>
      <c r="J7" s="25"/>
      <c r="K7" s="4"/>
      <c r="L7" s="3"/>
      <c r="M7" s="3"/>
      <c r="R7" s="5"/>
    </row>
    <row r="8" spans="1:18" ht="12.75">
      <c r="A8" s="3"/>
      <c r="B8" s="48" t="s">
        <v>0</v>
      </c>
      <c r="C8" s="116"/>
      <c r="F8" s="17" t="s">
        <v>0</v>
      </c>
      <c r="G8" s="98">
        <f>Method_1!M9*100</f>
        <v>0</v>
      </c>
      <c r="H8" s="101">
        <f>Method_1!M25*100</f>
        <v>0</v>
      </c>
      <c r="I8" s="11">
        <f>Method_1!M41*100</f>
        <v>0</v>
      </c>
      <c r="J8" s="11">
        <f>Method_2!N9*100</f>
        <v>0</v>
      </c>
      <c r="K8" s="95"/>
      <c r="L8" s="3"/>
      <c r="M8" s="3"/>
      <c r="R8" s="5"/>
    </row>
    <row r="9" spans="1:18" ht="12.75">
      <c r="A9" s="3"/>
      <c r="B9" s="48" t="s">
        <v>1</v>
      </c>
      <c r="C9" s="116"/>
      <c r="F9" s="17" t="s">
        <v>1</v>
      </c>
      <c r="G9" s="98">
        <f>Method_1!M10*100</f>
        <v>0</v>
      </c>
      <c r="H9" s="101">
        <f>Method_1!M26*100</f>
        <v>0</v>
      </c>
      <c r="I9" s="11">
        <f>Method_1!M42*100</f>
        <v>0</v>
      </c>
      <c r="J9" s="11" t="e">
        <f>Method_2!N10*100</f>
        <v>#DIV/0!</v>
      </c>
      <c r="K9" s="95"/>
      <c r="L9" s="3"/>
      <c r="M9" s="3"/>
      <c r="R9" s="5"/>
    </row>
    <row r="10" spans="1:18" ht="12.75">
      <c r="A10" s="3"/>
      <c r="B10" s="48" t="s">
        <v>3</v>
      </c>
      <c r="C10" s="116"/>
      <c r="F10" s="17" t="s">
        <v>3</v>
      </c>
      <c r="G10" s="98">
        <f>Method_1!M11*100</f>
        <v>0</v>
      </c>
      <c r="H10" s="101">
        <f>Method_1!M27*100</f>
        <v>0</v>
      </c>
      <c r="I10" s="11">
        <f>Method_1!M43*100</f>
        <v>0</v>
      </c>
      <c r="J10" s="11" t="e">
        <f>Method_2!N11*100</f>
        <v>#DIV/0!</v>
      </c>
      <c r="K10" s="95"/>
      <c r="L10" s="3"/>
      <c r="M10" s="3"/>
      <c r="R10" s="5"/>
    </row>
    <row r="11" spans="1:18" ht="12.75">
      <c r="A11" s="3"/>
      <c r="B11" s="48" t="s">
        <v>4</v>
      </c>
      <c r="C11" s="116"/>
      <c r="F11" s="17" t="s">
        <v>4</v>
      </c>
      <c r="G11" s="98">
        <f>Method_1!M12*100</f>
        <v>0</v>
      </c>
      <c r="H11" s="101">
        <f>Method_1!M28*100</f>
        <v>0</v>
      </c>
      <c r="I11" s="11">
        <f>Method_1!M44*100</f>
        <v>0</v>
      </c>
      <c r="J11" s="11" t="e">
        <f>Method_2!N12*100</f>
        <v>#DIV/0!</v>
      </c>
      <c r="K11" s="95"/>
      <c r="L11" s="3"/>
      <c r="M11" s="3"/>
      <c r="R11" s="5"/>
    </row>
    <row r="12" spans="1:18" ht="12.75">
      <c r="A12" s="7"/>
      <c r="B12" s="48" t="s">
        <v>5</v>
      </c>
      <c r="C12" s="116"/>
      <c r="F12" s="17" t="s">
        <v>5</v>
      </c>
      <c r="G12" s="98">
        <f>Method_1!M13*100</f>
        <v>0</v>
      </c>
      <c r="H12" s="101">
        <f>Method_1!M29*100</f>
        <v>0</v>
      </c>
      <c r="I12" s="11">
        <f>Method_1!M45*100</f>
        <v>0</v>
      </c>
      <c r="J12" s="11" t="e">
        <f>Method_2!N13*100</f>
        <v>#DIV/0!</v>
      </c>
      <c r="K12" s="95"/>
      <c r="L12" s="3"/>
      <c r="M12" s="3"/>
      <c r="R12" s="5"/>
    </row>
    <row r="13" spans="1:18" ht="12.75">
      <c r="A13" s="7"/>
      <c r="B13" s="48" t="s">
        <v>6</v>
      </c>
      <c r="C13" s="116"/>
      <c r="F13" s="17" t="s">
        <v>6</v>
      </c>
      <c r="G13" s="98">
        <f>Method_1!M14*100</f>
        <v>0</v>
      </c>
      <c r="H13" s="101">
        <f>Method_1!M30*100</f>
        <v>0</v>
      </c>
      <c r="I13" s="11">
        <f>Method_1!M46*100</f>
        <v>0</v>
      </c>
      <c r="J13" s="11" t="e">
        <f>Method_2!N14*100</f>
        <v>#DIV/0!</v>
      </c>
      <c r="K13" s="96"/>
      <c r="L13" s="3"/>
      <c r="M13" s="3"/>
      <c r="R13" s="5"/>
    </row>
    <row r="14" spans="1:18" ht="13.5" thickBot="1">
      <c r="A14" s="3"/>
      <c r="B14" s="49" t="s">
        <v>7</v>
      </c>
      <c r="C14" s="117"/>
      <c r="E14" s="3"/>
      <c r="F14" s="18" t="s">
        <v>7</v>
      </c>
      <c r="G14" s="99">
        <f>Method_1!M15*100</f>
        <v>0</v>
      </c>
      <c r="H14" s="102">
        <f>Method_1!M31*100</f>
        <v>0</v>
      </c>
      <c r="I14" s="12">
        <f>Method_1!M47*100</f>
        <v>0</v>
      </c>
      <c r="J14" s="12" t="e">
        <f>Method_2!N15*100</f>
        <v>#DIV/0!</v>
      </c>
      <c r="K14" s="96"/>
      <c r="L14" s="3"/>
      <c r="M14" s="3"/>
      <c r="R14" s="5"/>
    </row>
    <row r="15" spans="1:18" ht="13.5" thickBot="1">
      <c r="A15" s="3"/>
      <c r="B15" s="114"/>
      <c r="C15" s="115"/>
      <c r="D15" s="3"/>
      <c r="E15" s="3"/>
      <c r="F15" s="3"/>
      <c r="G15" s="3"/>
      <c r="H15" s="3"/>
      <c r="I15" s="3"/>
      <c r="J15" s="3"/>
      <c r="K15" s="3"/>
      <c r="L15" s="3"/>
      <c r="M15" s="3"/>
      <c r="R15" s="5"/>
    </row>
    <row r="16" spans="2:18" ht="13.5" thickBot="1">
      <c r="B16" s="111" t="s">
        <v>72</v>
      </c>
      <c r="C16" s="112" t="s">
        <v>26</v>
      </c>
      <c r="D16" s="3"/>
      <c r="E16" s="1"/>
      <c r="F16" s="109" t="s">
        <v>70</v>
      </c>
      <c r="G16" s="107">
        <f>AVERAGE(G8:G14)</f>
        <v>0</v>
      </c>
      <c r="H16" s="107">
        <f>AVERAGE(H8:H14)</f>
        <v>0</v>
      </c>
      <c r="I16" s="107">
        <f>AVERAGE(I8:I14)</f>
        <v>0</v>
      </c>
      <c r="J16" s="108" t="e">
        <f>AVERAGE(J8:J14)</f>
        <v>#DIV/0!</v>
      </c>
      <c r="R16" s="5"/>
    </row>
    <row r="17" spans="2:5" ht="12.75">
      <c r="B17" s="110" t="s">
        <v>0</v>
      </c>
      <c r="C17" s="116"/>
      <c r="D17" s="3"/>
      <c r="E17" s="1"/>
    </row>
    <row r="18" spans="2:5" ht="12.75">
      <c r="B18" s="48" t="s">
        <v>1</v>
      </c>
      <c r="C18" s="116"/>
      <c r="D18" s="3"/>
      <c r="E18" s="1"/>
    </row>
    <row r="19" spans="2:5" ht="12.75">
      <c r="B19" s="48" t="s">
        <v>3</v>
      </c>
      <c r="C19" s="116"/>
      <c r="D19" s="1"/>
      <c r="E19" s="1"/>
    </row>
    <row r="20" spans="2:3" ht="12.75">
      <c r="B20" s="48" t="s">
        <v>4</v>
      </c>
      <c r="C20" s="116"/>
    </row>
    <row r="21" spans="2:3" ht="12.75">
      <c r="B21" s="48" t="s">
        <v>5</v>
      </c>
      <c r="C21" s="116"/>
    </row>
    <row r="22" spans="2:3" ht="12.75">
      <c r="B22" s="48" t="s">
        <v>6</v>
      </c>
      <c r="C22" s="116"/>
    </row>
    <row r="23" spans="2:3" ht="12.75">
      <c r="B23" s="48" t="s">
        <v>7</v>
      </c>
      <c r="C23" s="119"/>
    </row>
    <row r="24" spans="2:3" ht="13.5" thickBot="1">
      <c r="B24" s="49" t="s">
        <v>73</v>
      </c>
      <c r="C24" s="118"/>
    </row>
    <row r="46" spans="2:3" ht="12.75">
      <c r="B46" s="66"/>
      <c r="C46" s="67"/>
    </row>
    <row r="47" spans="2:3" ht="12.75">
      <c r="B47" s="66"/>
      <c r="C47" s="67"/>
    </row>
    <row r="48" spans="2:3" ht="12.75">
      <c r="B48" s="66"/>
      <c r="C48" s="67"/>
    </row>
    <row r="49" spans="2:3" ht="12.75">
      <c r="B49" s="66"/>
      <c r="C49" s="67"/>
    </row>
    <row r="50" spans="2:3" ht="12.75">
      <c r="B50" s="4"/>
      <c r="C50" s="68"/>
    </row>
    <row r="51" spans="2:3" ht="12.75">
      <c r="B51" s="4"/>
      <c r="C51" s="68"/>
    </row>
    <row r="52" spans="2:3" ht="12.75">
      <c r="B52" s="4"/>
      <c r="C52" s="68"/>
    </row>
    <row r="53" spans="2:3" ht="12.75">
      <c r="B53" s="4"/>
      <c r="C53" s="68"/>
    </row>
  </sheetData>
  <sheetProtection password="CDB6" sheet="1" objects="1" scenarios="1"/>
  <protectedRanges>
    <protectedRange sqref="C24" name="Range1"/>
    <protectedRange sqref="C8:C14" name="Range1_1"/>
    <protectedRange sqref="C17:C23" name="Range1_2"/>
  </protectedRanges>
  <printOptions/>
  <pageMargins left="0.75" right="0.75" top="1" bottom="1" header="0.5" footer="0.5"/>
  <pageSetup fitToHeight="1" fitToWidth="1" horizontalDpi="600" verticalDpi="600" orientation="landscape" paperSize="9" scale="79" r:id="rId4"/>
  <ignoredErrors>
    <ignoredError sqref="B7" twoDigitTextYea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M47"/>
  <sheetViews>
    <sheetView workbookViewId="0" topLeftCell="A1">
      <selection activeCell="D14" sqref="D14"/>
    </sheetView>
  </sheetViews>
  <sheetFormatPr defaultColWidth="9.140625" defaultRowHeight="12.75"/>
  <cols>
    <col min="1" max="1" width="2.57421875" style="0" customWidth="1"/>
    <col min="2" max="2" width="16.140625" style="0" customWidth="1"/>
    <col min="3" max="3" width="13.28125" style="0" customWidth="1"/>
    <col min="4" max="4" width="14.421875" style="0" customWidth="1"/>
    <col min="6" max="6" width="28.140625" style="0" customWidth="1"/>
    <col min="7" max="7" width="22.28125" style="0" customWidth="1"/>
    <col min="10" max="10" width="24.8515625" style="0" customWidth="1"/>
    <col min="11" max="11" width="26.57421875" style="0" customWidth="1"/>
    <col min="12" max="12" width="15.28125" style="0" customWidth="1"/>
  </cols>
  <sheetData>
    <row r="4" spans="6:13" ht="13.5" thickBot="1">
      <c r="F4" s="28" t="s">
        <v>66</v>
      </c>
      <c r="G4" s="24"/>
      <c r="H4" s="24"/>
      <c r="I4" s="24"/>
      <c r="J4" s="24"/>
      <c r="K4" s="24"/>
      <c r="L4" s="24"/>
      <c r="M4" s="24"/>
    </row>
    <row r="5" spans="2:13" ht="12.75">
      <c r="B5" s="39" t="str">
        <f>Summary!B4</f>
        <v>Input: Prevalence Data</v>
      </c>
      <c r="C5" s="39"/>
      <c r="D5" s="39"/>
      <c r="M5" s="1"/>
    </row>
    <row r="6" spans="2:4" ht="12.75">
      <c r="B6" s="29"/>
      <c r="C6" s="40" t="str">
        <f>Summary!C6</f>
        <v>First Survey</v>
      </c>
      <c r="D6" s="40" t="str">
        <f>Summary!C16</f>
        <v>Second Survey</v>
      </c>
    </row>
    <row r="7" spans="2:13" ht="12.75">
      <c r="B7" s="29" t="str">
        <f>Summary!B6</f>
        <v>Cohort's age group (at first survey)</v>
      </c>
      <c r="C7" s="34" t="s">
        <v>16</v>
      </c>
      <c r="D7" s="34" t="s">
        <v>17</v>
      </c>
      <c r="F7" s="37" t="s">
        <v>14</v>
      </c>
      <c r="G7" t="s">
        <v>13</v>
      </c>
      <c r="H7" t="s">
        <v>15</v>
      </c>
      <c r="I7" t="s">
        <v>12</v>
      </c>
      <c r="J7" t="s">
        <v>18</v>
      </c>
      <c r="K7" t="s">
        <v>19</v>
      </c>
      <c r="L7" t="s">
        <v>20</v>
      </c>
      <c r="M7" t="s">
        <v>21</v>
      </c>
    </row>
    <row r="8" spans="2:13" ht="12.75">
      <c r="B8" s="29" t="str">
        <f>Summary!B7</f>
        <v>10-14</v>
      </c>
      <c r="C8" s="30">
        <v>0</v>
      </c>
      <c r="D8" s="30">
        <f>Summary!C17</f>
        <v>0</v>
      </c>
      <c r="F8" s="37" t="s">
        <v>64</v>
      </c>
      <c r="G8" s="41"/>
      <c r="H8" s="41"/>
      <c r="I8" s="41"/>
      <c r="J8" s="41"/>
      <c r="K8" s="41"/>
      <c r="L8" s="42">
        <f>-LN(1-D8)/($B$19/2)</f>
        <v>0</v>
      </c>
      <c r="M8" s="41"/>
    </row>
    <row r="9" spans="2:13" ht="12.75">
      <c r="B9" s="29" t="str">
        <f>Summary!B8</f>
        <v>15-19</v>
      </c>
      <c r="C9" s="30">
        <f>Summary!C8</f>
        <v>0</v>
      </c>
      <c r="D9" s="30">
        <f>Summary!C18</f>
        <v>0</v>
      </c>
      <c r="F9" s="36">
        <v>0.017</v>
      </c>
      <c r="G9" s="31">
        <v>0.01</v>
      </c>
      <c r="H9" s="33">
        <f>EXP(-F9*$B$19)</f>
        <v>0.9185122844014574</v>
      </c>
      <c r="I9" s="33">
        <f>1-(1-H9)*C9-(1-EXP(-G9*$B$19))*(1-C9)</f>
        <v>0.951229424500714</v>
      </c>
      <c r="J9" s="33">
        <f>2*(I9*D9-H9*C9)</f>
        <v>0</v>
      </c>
      <c r="K9" s="33">
        <f>$B$19*(1-C9+I9*(1-D9))</f>
        <v>9.75614712250357</v>
      </c>
      <c r="L9" s="33">
        <f>MAX(0,J9/K9)</f>
        <v>0</v>
      </c>
      <c r="M9" s="32">
        <f>$B$22*L8+$C$22*L9</f>
        <v>0</v>
      </c>
    </row>
    <row r="10" spans="2:13" ht="12.75">
      <c r="B10" s="29" t="str">
        <f>Summary!B9</f>
        <v>20-24</v>
      </c>
      <c r="C10" s="30">
        <f>Summary!C9</f>
        <v>0</v>
      </c>
      <c r="D10" s="30">
        <f>Summary!C19</f>
        <v>0</v>
      </c>
      <c r="F10" s="36">
        <v>0.023</v>
      </c>
      <c r="G10" s="31">
        <v>0.01</v>
      </c>
      <c r="H10" s="33">
        <f aca="true" t="shared" si="0" ref="H10:H15">EXP(-F10*$B$19)</f>
        <v>0.8913661439068313</v>
      </c>
      <c r="I10" s="33">
        <f aca="true" t="shared" si="1" ref="I10:I15">1-(1-H10)*C10-(1-EXP(-G10*$B$19))*(1-C10)</f>
        <v>0.951229424500714</v>
      </c>
      <c r="J10" s="33">
        <f aca="true" t="shared" si="2" ref="J10:J15">2*(I10*D10-H10*C10)</f>
        <v>0</v>
      </c>
      <c r="K10" s="33">
        <f aca="true" t="shared" si="3" ref="K10:K15">$B$19*(1-C10+I10*(1-D10))</f>
        <v>9.75614712250357</v>
      </c>
      <c r="L10" s="33">
        <f aca="true" t="shared" si="4" ref="L10:L15">MAX(0,J10/K10)</f>
        <v>0</v>
      </c>
      <c r="M10" s="32">
        <f aca="true" t="shared" si="5" ref="M10:M15">$B$22*L9+$C$22*L10</f>
        <v>0</v>
      </c>
    </row>
    <row r="11" spans="2:13" ht="12.75">
      <c r="B11" s="29" t="str">
        <f>Summary!B10</f>
        <v>25-29</v>
      </c>
      <c r="C11" s="30">
        <f>Summary!C10</f>
        <v>0</v>
      </c>
      <c r="D11" s="30">
        <f>Summary!C20</f>
        <v>0</v>
      </c>
      <c r="F11" s="36">
        <v>0.029</v>
      </c>
      <c r="G11" s="31">
        <v>0.01</v>
      </c>
      <c r="H11" s="33">
        <f t="shared" si="0"/>
        <v>0.8650222931107413</v>
      </c>
      <c r="I11" s="33">
        <f t="shared" si="1"/>
        <v>0.951229424500714</v>
      </c>
      <c r="J11" s="33">
        <f t="shared" si="2"/>
        <v>0</v>
      </c>
      <c r="K11" s="33">
        <f t="shared" si="3"/>
        <v>9.75614712250357</v>
      </c>
      <c r="L11" s="33">
        <f t="shared" si="4"/>
        <v>0</v>
      </c>
      <c r="M11" s="32">
        <f t="shared" si="5"/>
        <v>0</v>
      </c>
    </row>
    <row r="12" spans="2:13" ht="12.75">
      <c r="B12" s="29" t="str">
        <f>Summary!B11</f>
        <v>30-34</v>
      </c>
      <c r="C12" s="30">
        <f>Summary!C11</f>
        <v>0</v>
      </c>
      <c r="D12" s="30">
        <f>Summary!C21</f>
        <v>0</v>
      </c>
      <c r="F12" s="36">
        <v>0.036</v>
      </c>
      <c r="G12" s="31">
        <v>0.01</v>
      </c>
      <c r="H12" s="33">
        <f t="shared" si="0"/>
        <v>0.835270211411272</v>
      </c>
      <c r="I12" s="33">
        <f t="shared" si="1"/>
        <v>0.951229424500714</v>
      </c>
      <c r="J12" s="33">
        <f t="shared" si="2"/>
        <v>0</v>
      </c>
      <c r="K12" s="33">
        <f t="shared" si="3"/>
        <v>9.75614712250357</v>
      </c>
      <c r="L12" s="33">
        <f t="shared" si="4"/>
        <v>0</v>
      </c>
      <c r="M12" s="32">
        <f t="shared" si="5"/>
        <v>0</v>
      </c>
    </row>
    <row r="13" spans="2:13" ht="12.75">
      <c r="B13" s="29" t="str">
        <f>Summary!B12</f>
        <v>35-39</v>
      </c>
      <c r="C13" s="30">
        <f>Summary!C12</f>
        <v>0</v>
      </c>
      <c r="D13" s="30">
        <f>Summary!C22</f>
        <v>0</v>
      </c>
      <c r="F13" s="36">
        <v>0.043</v>
      </c>
      <c r="G13" s="31">
        <v>0.01</v>
      </c>
      <c r="H13" s="33">
        <f t="shared" si="0"/>
        <v>0.8065414401773269</v>
      </c>
      <c r="I13" s="33">
        <f t="shared" si="1"/>
        <v>0.951229424500714</v>
      </c>
      <c r="J13" s="33">
        <f t="shared" si="2"/>
        <v>0</v>
      </c>
      <c r="K13" s="33">
        <f t="shared" si="3"/>
        <v>9.75614712250357</v>
      </c>
      <c r="L13" s="33">
        <f t="shared" si="4"/>
        <v>0</v>
      </c>
      <c r="M13" s="32">
        <f t="shared" si="5"/>
        <v>0</v>
      </c>
    </row>
    <row r="14" spans="2:13" ht="12.75">
      <c r="B14" s="29" t="str">
        <f>Summary!B13</f>
        <v>40-44</v>
      </c>
      <c r="C14" s="30">
        <f>Summary!C13</f>
        <v>0</v>
      </c>
      <c r="D14" s="30">
        <f>Summary!C23</f>
        <v>0</v>
      </c>
      <c r="F14" s="36">
        <v>0.051</v>
      </c>
      <c r="G14" s="31">
        <v>0.01</v>
      </c>
      <c r="H14" s="33">
        <f t="shared" si="0"/>
        <v>0.774916497961081</v>
      </c>
      <c r="I14" s="33">
        <f t="shared" si="1"/>
        <v>0.951229424500714</v>
      </c>
      <c r="J14" s="33">
        <f t="shared" si="2"/>
        <v>0</v>
      </c>
      <c r="K14" s="33">
        <f t="shared" si="3"/>
        <v>9.75614712250357</v>
      </c>
      <c r="L14" s="33">
        <f t="shared" si="4"/>
        <v>0</v>
      </c>
      <c r="M14" s="32">
        <f t="shared" si="5"/>
        <v>0</v>
      </c>
    </row>
    <row r="15" spans="2:13" ht="12.75">
      <c r="B15" s="29" t="str">
        <f>Summary!B14</f>
        <v>45-49</v>
      </c>
      <c r="C15" s="30">
        <f>Summary!C14</f>
        <v>0</v>
      </c>
      <c r="D15" s="30">
        <f>Summary!C24</f>
        <v>0</v>
      </c>
      <c r="F15" s="36">
        <v>0.058</v>
      </c>
      <c r="G15" s="31">
        <v>0.01</v>
      </c>
      <c r="H15" s="33">
        <f t="shared" si="0"/>
        <v>0.7482635675785652</v>
      </c>
      <c r="I15" s="33">
        <f t="shared" si="1"/>
        <v>0.951229424500714</v>
      </c>
      <c r="J15" s="33">
        <f t="shared" si="2"/>
        <v>0</v>
      </c>
      <c r="K15" s="33">
        <f t="shared" si="3"/>
        <v>9.75614712250357</v>
      </c>
      <c r="L15" s="33">
        <f t="shared" si="4"/>
        <v>0</v>
      </c>
      <c r="M15" s="32">
        <f t="shared" si="5"/>
        <v>0</v>
      </c>
    </row>
    <row r="16" ht="12.75">
      <c r="B16" s="5"/>
    </row>
    <row r="17" spans="2:4" ht="12.75">
      <c r="B17" s="39" t="str">
        <f>Summary!B16</f>
        <v>Cohort's age group (at second survey)</v>
      </c>
      <c r="C17" s="39"/>
      <c r="D17" s="39"/>
    </row>
    <row r="18" spans="2:4" ht="12.75">
      <c r="B18" s="29" t="str">
        <f>Summary!B17</f>
        <v>15-19</v>
      </c>
      <c r="C18" s="29"/>
      <c r="D18" s="29"/>
    </row>
    <row r="19" spans="2:4" ht="12.75">
      <c r="B19" s="29">
        <v>5</v>
      </c>
      <c r="C19" s="29"/>
      <c r="D19" s="29"/>
    </row>
    <row r="20" spans="2:13" ht="13.5" thickBot="1">
      <c r="B20" s="5"/>
      <c r="F20" s="28" t="s">
        <v>67</v>
      </c>
      <c r="G20" s="24"/>
      <c r="H20" s="24"/>
      <c r="I20" s="24"/>
      <c r="J20" s="24"/>
      <c r="K20" s="24"/>
      <c r="L20" s="24"/>
      <c r="M20" s="24"/>
    </row>
    <row r="21" spans="2:13" ht="12.75">
      <c r="B21" s="39" t="s">
        <v>23</v>
      </c>
      <c r="C21" s="39" t="s">
        <v>24</v>
      </c>
      <c r="D21" s="39"/>
      <c r="M21" s="1"/>
    </row>
    <row r="22" spans="2:4" ht="12.75">
      <c r="B22" s="29">
        <f>$B$19/(2*5)</f>
        <v>0.5</v>
      </c>
      <c r="C22" s="29">
        <f>1-B22</f>
        <v>0.5</v>
      </c>
      <c r="D22" s="29"/>
    </row>
    <row r="23" spans="2:13" ht="12.75">
      <c r="B23" s="5"/>
      <c r="C23" s="5"/>
      <c r="D23" s="5"/>
      <c r="F23" s="37" t="s">
        <v>14</v>
      </c>
      <c r="G23" t="s">
        <v>13</v>
      </c>
      <c r="H23" t="s">
        <v>15</v>
      </c>
      <c r="I23" t="s">
        <v>12</v>
      </c>
      <c r="J23" t="s">
        <v>18</v>
      </c>
      <c r="K23" t="s">
        <v>19</v>
      </c>
      <c r="L23" t="s">
        <v>20</v>
      </c>
      <c r="M23" t="s">
        <v>21</v>
      </c>
    </row>
    <row r="24" spans="2:13" ht="12.75">
      <c r="B24" s="5"/>
      <c r="C24" s="5"/>
      <c r="D24" s="5"/>
      <c r="F24" s="37" t="s">
        <v>64</v>
      </c>
      <c r="G24" s="41"/>
      <c r="H24" s="41"/>
      <c r="I24" s="41"/>
      <c r="J24" s="41"/>
      <c r="K24" s="41"/>
      <c r="L24" s="42">
        <f>-LN(1-D8)/($B$19/2)</f>
        <v>0</v>
      </c>
      <c r="M24" s="41"/>
    </row>
    <row r="25" spans="2:13" ht="12.75">
      <c r="B25" s="5"/>
      <c r="C25" s="5"/>
      <c r="D25" s="5"/>
      <c r="F25" s="38">
        <v>0.028</v>
      </c>
      <c r="G25" s="31">
        <v>0.01</v>
      </c>
      <c r="H25" s="33">
        <f>EXP(-F25*$B$19)</f>
        <v>0.8693582353988059</v>
      </c>
      <c r="I25" s="33">
        <f>1-(1-H25)*C9-(1-EXP(-G25*$B$19))*(1-C9)</f>
        <v>0.951229424500714</v>
      </c>
      <c r="J25" s="33">
        <f>2*(I25*D9-H25*C9)</f>
        <v>0</v>
      </c>
      <c r="K25" s="33">
        <f>$B$19*(1-C9+I25*(1-D9))</f>
        <v>9.75614712250357</v>
      </c>
      <c r="L25" s="33">
        <f>MAX(0,J25/K25)</f>
        <v>0</v>
      </c>
      <c r="M25" s="32">
        <f>$B$22*L24+$C$22*L25</f>
        <v>0</v>
      </c>
    </row>
    <row r="26" spans="2:13" ht="12.75">
      <c r="B26" s="5"/>
      <c r="C26" s="5"/>
      <c r="D26" s="5"/>
      <c r="F26" s="38">
        <v>0.037</v>
      </c>
      <c r="G26" s="31">
        <v>0.01</v>
      </c>
      <c r="H26" s="33">
        <f aca="true" t="shared" si="6" ref="H26:H31">EXP(-F26*$B$19)</f>
        <v>0.8311042838521256</v>
      </c>
      <c r="I26" s="33">
        <f aca="true" t="shared" si="7" ref="I26:I31">1-(1-H26)*C10-(1-EXP(-G26*$B$19))*(1-C10)</f>
        <v>0.951229424500714</v>
      </c>
      <c r="J26" s="33">
        <f aca="true" t="shared" si="8" ref="J26:J31">2*(I26*D10-H26*C10)</f>
        <v>0</v>
      </c>
      <c r="K26" s="33">
        <f aca="true" t="shared" si="9" ref="K26:K31">$B$19*(1-C10+I26*(1-D10))</f>
        <v>9.75614712250357</v>
      </c>
      <c r="L26" s="33">
        <f aca="true" t="shared" si="10" ref="L26:L31">MAX(0,J26/K26)</f>
        <v>0</v>
      </c>
      <c r="M26" s="32">
        <f aca="true" t="shared" si="11" ref="M26:M31">$B$22*L25+$C$22*L26</f>
        <v>0</v>
      </c>
    </row>
    <row r="27" spans="2:13" ht="12.75">
      <c r="B27" s="5"/>
      <c r="C27" s="5"/>
      <c r="D27" s="5"/>
      <c r="F27" s="38">
        <v>0.048</v>
      </c>
      <c r="G27" s="31">
        <v>0.01</v>
      </c>
      <c r="H27" s="33">
        <f t="shared" si="6"/>
        <v>0.7866278610665535</v>
      </c>
      <c r="I27" s="33">
        <f t="shared" si="7"/>
        <v>0.951229424500714</v>
      </c>
      <c r="J27" s="33">
        <f t="shared" si="8"/>
        <v>0</v>
      </c>
      <c r="K27" s="33">
        <f t="shared" si="9"/>
        <v>9.75614712250357</v>
      </c>
      <c r="L27" s="33">
        <f t="shared" si="10"/>
        <v>0</v>
      </c>
      <c r="M27" s="32">
        <f t="shared" si="11"/>
        <v>0</v>
      </c>
    </row>
    <row r="28" spans="2:13" ht="12.75">
      <c r="B28" s="5"/>
      <c r="C28" s="5"/>
      <c r="D28" s="5"/>
      <c r="F28" s="38">
        <v>0.059</v>
      </c>
      <c r="G28" s="31">
        <v>0.01</v>
      </c>
      <c r="H28" s="33">
        <f t="shared" si="6"/>
        <v>0.7445315874659094</v>
      </c>
      <c r="I28" s="33">
        <f t="shared" si="7"/>
        <v>0.951229424500714</v>
      </c>
      <c r="J28" s="33">
        <f t="shared" si="8"/>
        <v>0</v>
      </c>
      <c r="K28" s="33">
        <f t="shared" si="9"/>
        <v>9.75614712250357</v>
      </c>
      <c r="L28" s="33">
        <f t="shared" si="10"/>
        <v>0</v>
      </c>
      <c r="M28" s="32">
        <f t="shared" si="11"/>
        <v>0</v>
      </c>
    </row>
    <row r="29" spans="2:13" ht="12.75">
      <c r="B29" s="5"/>
      <c r="C29" s="5"/>
      <c r="D29" s="5"/>
      <c r="F29" s="38">
        <v>0.07</v>
      </c>
      <c r="G29" s="31">
        <v>0.01</v>
      </c>
      <c r="H29" s="33">
        <f t="shared" si="6"/>
        <v>0.7046880897187134</v>
      </c>
      <c r="I29" s="33">
        <f t="shared" si="7"/>
        <v>0.951229424500714</v>
      </c>
      <c r="J29" s="33">
        <f t="shared" si="8"/>
        <v>0</v>
      </c>
      <c r="K29" s="33">
        <f t="shared" si="9"/>
        <v>9.75614712250357</v>
      </c>
      <c r="L29" s="33">
        <f t="shared" si="10"/>
        <v>0</v>
      </c>
      <c r="M29" s="32">
        <f t="shared" si="11"/>
        <v>0</v>
      </c>
    </row>
    <row r="30" spans="2:13" ht="12.75">
      <c r="B30" s="5"/>
      <c r="C30" s="5"/>
      <c r="D30" s="5"/>
      <c r="F30" s="38">
        <v>0.083</v>
      </c>
      <c r="G30" s="31">
        <v>0.01</v>
      </c>
      <c r="H30" s="33">
        <f t="shared" si="6"/>
        <v>0.6603402807049829</v>
      </c>
      <c r="I30" s="33">
        <f t="shared" si="7"/>
        <v>0.951229424500714</v>
      </c>
      <c r="J30" s="33">
        <f t="shared" si="8"/>
        <v>0</v>
      </c>
      <c r="K30" s="33">
        <f t="shared" si="9"/>
        <v>9.75614712250357</v>
      </c>
      <c r="L30" s="33">
        <f t="shared" si="10"/>
        <v>0</v>
      </c>
      <c r="M30" s="32">
        <f t="shared" si="11"/>
        <v>0</v>
      </c>
    </row>
    <row r="31" spans="2:13" ht="12.75">
      <c r="B31" s="5"/>
      <c r="C31" s="5"/>
      <c r="D31" s="5"/>
      <c r="F31" s="38">
        <v>0.095</v>
      </c>
      <c r="G31" s="31">
        <v>0.01</v>
      </c>
      <c r="H31" s="33">
        <f t="shared" si="6"/>
        <v>0.6218850564650201</v>
      </c>
      <c r="I31" s="33">
        <f t="shared" si="7"/>
        <v>0.951229424500714</v>
      </c>
      <c r="J31" s="33">
        <f t="shared" si="8"/>
        <v>0</v>
      </c>
      <c r="K31" s="33">
        <f t="shared" si="9"/>
        <v>9.75614712250357</v>
      </c>
      <c r="L31" s="33">
        <f t="shared" si="10"/>
        <v>0</v>
      </c>
      <c r="M31" s="32">
        <f t="shared" si="11"/>
        <v>0</v>
      </c>
    </row>
    <row r="32" spans="2:4" ht="12.75">
      <c r="B32" s="5"/>
      <c r="C32" s="5"/>
      <c r="D32" s="5"/>
    </row>
    <row r="33" spans="2:4" ht="12.75">
      <c r="B33" s="5"/>
      <c r="C33" s="5"/>
      <c r="D33" s="5"/>
    </row>
    <row r="34" spans="2:4" ht="12.75">
      <c r="B34" s="5"/>
      <c r="C34" s="5"/>
      <c r="D34" s="5"/>
    </row>
    <row r="35" spans="2:4" ht="14.25">
      <c r="B35" s="5"/>
      <c r="C35" s="5"/>
      <c r="D35" s="106"/>
    </row>
    <row r="36" spans="6:13" ht="13.5" thickBot="1">
      <c r="F36" s="28" t="s">
        <v>68</v>
      </c>
      <c r="G36" s="24"/>
      <c r="H36" s="24"/>
      <c r="I36" s="24"/>
      <c r="J36" s="24"/>
      <c r="K36" s="24"/>
      <c r="L36" s="24"/>
      <c r="M36" s="24"/>
    </row>
    <row r="37" ht="12.75">
      <c r="M37" s="1"/>
    </row>
    <row r="39" spans="6:13" ht="12.75">
      <c r="F39" s="37" t="s">
        <v>14</v>
      </c>
      <c r="G39" t="s">
        <v>13</v>
      </c>
      <c r="H39" t="s">
        <v>15</v>
      </c>
      <c r="I39" t="s">
        <v>12</v>
      </c>
      <c r="J39" t="s">
        <v>18</v>
      </c>
      <c r="K39" t="s">
        <v>19</v>
      </c>
      <c r="L39" t="s">
        <v>20</v>
      </c>
      <c r="M39" t="s">
        <v>21</v>
      </c>
    </row>
    <row r="40" spans="6:13" ht="12.75">
      <c r="F40" s="37" t="s">
        <v>64</v>
      </c>
      <c r="G40" s="41"/>
      <c r="H40" s="41"/>
      <c r="I40" s="41"/>
      <c r="J40" s="41"/>
      <c r="K40" s="41"/>
      <c r="L40" s="42">
        <f>-LN(1-D8)/($B$19/2)</f>
        <v>0</v>
      </c>
      <c r="M40" s="41"/>
    </row>
    <row r="41" spans="6:13" ht="12.75">
      <c r="F41" s="38">
        <v>0.044</v>
      </c>
      <c r="G41" s="31">
        <v>0.01</v>
      </c>
      <c r="H41" s="33">
        <f>EXP(-F41*$B$19)</f>
        <v>0.8025187979624785</v>
      </c>
      <c r="I41" s="33">
        <f>1-(1-H41)*C9-(1-EXP(-G41*$B$19))*(1-C9)</f>
        <v>0.951229424500714</v>
      </c>
      <c r="J41" s="33">
        <f>2*(I41*D9-H41*C9)</f>
        <v>0</v>
      </c>
      <c r="K41" s="33">
        <f>$B$19*(1-C9+I41*(1-D9))</f>
        <v>9.75614712250357</v>
      </c>
      <c r="L41" s="33">
        <f>MAX(0,J41/K41)</f>
        <v>0</v>
      </c>
      <c r="M41" s="32">
        <f>$B$22*L40+$C$22*L41</f>
        <v>0</v>
      </c>
    </row>
    <row r="42" spans="6:13" ht="12.75">
      <c r="F42" s="38">
        <v>0.06</v>
      </c>
      <c r="G42" s="31">
        <v>0.01</v>
      </c>
      <c r="H42" s="33">
        <f aca="true" t="shared" si="12" ref="H42:H47">EXP(-F42*$B$19)</f>
        <v>0.7408182206817179</v>
      </c>
      <c r="I42" s="33">
        <f aca="true" t="shared" si="13" ref="I42:I47">1-(1-H42)*C10-(1-EXP(-G42*$B$19))*(1-C10)</f>
        <v>0.951229424500714</v>
      </c>
      <c r="J42" s="33">
        <f aca="true" t="shared" si="14" ref="J42:J47">2*(I42*D10-H42*C10)</f>
        <v>0</v>
      </c>
      <c r="K42" s="33">
        <f aca="true" t="shared" si="15" ref="K42:K47">$B$19*(1-C10+I42*(1-D10))</f>
        <v>9.75614712250357</v>
      </c>
      <c r="L42" s="33">
        <f aca="true" t="shared" si="16" ref="L42:L47">MAX(0,J42/K42)</f>
        <v>0</v>
      </c>
      <c r="M42" s="32">
        <f aca="true" t="shared" si="17" ref="M42:M47">$B$22*L41+$C$22*L42</f>
        <v>0</v>
      </c>
    </row>
    <row r="43" spans="6:13" ht="12.75">
      <c r="F43" s="38">
        <v>0.077</v>
      </c>
      <c r="G43" s="31">
        <v>0.01</v>
      </c>
      <c r="H43" s="33">
        <f t="shared" si="12"/>
        <v>0.6804506362045877</v>
      </c>
      <c r="I43" s="33">
        <f t="shared" si="13"/>
        <v>0.951229424500714</v>
      </c>
      <c r="J43" s="33">
        <f t="shared" si="14"/>
        <v>0</v>
      </c>
      <c r="K43" s="33">
        <f t="shared" si="15"/>
        <v>9.75614712250357</v>
      </c>
      <c r="L43" s="33">
        <f t="shared" si="16"/>
        <v>0</v>
      </c>
      <c r="M43" s="32">
        <f t="shared" si="17"/>
        <v>0</v>
      </c>
    </row>
    <row r="44" spans="6:13" ht="12.75">
      <c r="F44" s="38">
        <v>0.095</v>
      </c>
      <c r="G44" s="31">
        <v>0.01</v>
      </c>
      <c r="H44" s="33">
        <f t="shared" si="12"/>
        <v>0.6218850564650201</v>
      </c>
      <c r="I44" s="33">
        <f t="shared" si="13"/>
        <v>0.951229424500714</v>
      </c>
      <c r="J44" s="33">
        <f t="shared" si="14"/>
        <v>0</v>
      </c>
      <c r="K44" s="33">
        <f t="shared" si="15"/>
        <v>9.75614712250357</v>
      </c>
      <c r="L44" s="33">
        <f t="shared" si="16"/>
        <v>0</v>
      </c>
      <c r="M44" s="32">
        <f t="shared" si="17"/>
        <v>0</v>
      </c>
    </row>
    <row r="45" spans="6:13" ht="12.75">
      <c r="F45" s="38">
        <v>0.114</v>
      </c>
      <c r="G45" s="31">
        <v>0.01</v>
      </c>
      <c r="H45" s="33">
        <f t="shared" si="12"/>
        <v>0.5655254386995371</v>
      </c>
      <c r="I45" s="33">
        <f t="shared" si="13"/>
        <v>0.951229424500714</v>
      </c>
      <c r="J45" s="33">
        <f t="shared" si="14"/>
        <v>0</v>
      </c>
      <c r="K45" s="33">
        <f t="shared" si="15"/>
        <v>9.75614712250357</v>
      </c>
      <c r="L45" s="33">
        <f t="shared" si="16"/>
        <v>0</v>
      </c>
      <c r="M45" s="32">
        <f t="shared" si="17"/>
        <v>0</v>
      </c>
    </row>
    <row r="46" spans="6:13" ht="12.75">
      <c r="F46" s="38">
        <v>0.134</v>
      </c>
      <c r="G46" s="31">
        <v>0.01</v>
      </c>
      <c r="H46" s="33">
        <f t="shared" si="12"/>
        <v>0.5117085777865424</v>
      </c>
      <c r="I46" s="33">
        <f t="shared" si="13"/>
        <v>0.951229424500714</v>
      </c>
      <c r="J46" s="33">
        <f t="shared" si="14"/>
        <v>0</v>
      </c>
      <c r="K46" s="33">
        <f t="shared" si="15"/>
        <v>9.75614712250357</v>
      </c>
      <c r="L46" s="33">
        <f t="shared" si="16"/>
        <v>0</v>
      </c>
      <c r="M46" s="32">
        <f t="shared" si="17"/>
        <v>0</v>
      </c>
    </row>
    <row r="47" spans="6:13" ht="12.75">
      <c r="F47" s="38">
        <v>0.154</v>
      </c>
      <c r="G47" s="31">
        <v>0.01</v>
      </c>
      <c r="H47" s="33">
        <f t="shared" si="12"/>
        <v>0.46301306831122807</v>
      </c>
      <c r="I47" s="33">
        <f t="shared" si="13"/>
        <v>0.951229424500714</v>
      </c>
      <c r="J47" s="33">
        <f t="shared" si="14"/>
        <v>0</v>
      </c>
      <c r="K47" s="33">
        <f t="shared" si="15"/>
        <v>9.75614712250357</v>
      </c>
      <c r="L47" s="33">
        <f t="shared" si="16"/>
        <v>0</v>
      </c>
      <c r="M47" s="32">
        <f t="shared" si="17"/>
        <v>0</v>
      </c>
    </row>
  </sheetData>
  <sheetProtection password="CDB6" sheet="1" objects="1" scenarios="1"/>
  <protectedRanges>
    <protectedRange sqref="F9:F15 F25:F31 F41:F47" name="Range1"/>
  </protectedRanges>
  <printOptions/>
  <pageMargins left="0.75" right="0.75" top="1" bottom="1" header="0.5" footer="0.5"/>
  <pageSetup orientation="portrait" paperSize="9"/>
  <drawing r:id="rId7"/>
  <legacyDrawing r:id="rId6"/>
  <oleObjects>
    <oleObject progId="Equation.3" shapeId="6793113" r:id="rId2"/>
    <oleObject progId="Equation.3" shapeId="6793114" r:id="rId3"/>
    <oleObject progId="Equation.3" shapeId="6793115" r:id="rId4"/>
    <oleObject progId="Equation.3" shapeId="679311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T98"/>
  <sheetViews>
    <sheetView workbookViewId="0" topLeftCell="A1">
      <selection activeCell="B20" sqref="B20"/>
    </sheetView>
  </sheetViews>
  <sheetFormatPr defaultColWidth="9.140625" defaultRowHeight="12.75"/>
  <cols>
    <col min="1" max="1" width="2.57421875" style="0" customWidth="1"/>
    <col min="2" max="2" width="16.140625" style="0" customWidth="1"/>
    <col min="3" max="3" width="24.57421875" style="0" customWidth="1"/>
    <col min="4" max="4" width="13.28125" style="0" customWidth="1"/>
    <col min="5" max="5" width="14.421875" style="0" customWidth="1"/>
    <col min="7" max="7" width="28.140625" style="0" customWidth="1"/>
    <col min="8" max="8" width="22.28125" style="0" customWidth="1"/>
    <col min="9" max="9" width="14.28125" style="0" customWidth="1"/>
    <col min="10" max="10" width="23.28125" style="0" customWidth="1"/>
    <col min="11" max="11" width="32.7109375" style="0" customWidth="1"/>
    <col min="12" max="12" width="26.57421875" style="0" customWidth="1"/>
    <col min="13" max="13" width="23.7109375" style="0" customWidth="1"/>
    <col min="14" max="17" width="13.7109375" style="0" bestFit="1" customWidth="1"/>
  </cols>
  <sheetData>
    <row r="4" spans="7:14" ht="13.5" thickBot="1">
      <c r="G4" s="28" t="s">
        <v>10</v>
      </c>
      <c r="H4" s="24"/>
      <c r="I4" s="24"/>
      <c r="J4" s="24"/>
      <c r="K4" s="24"/>
      <c r="L4" s="24"/>
      <c r="M4" s="24"/>
      <c r="N4" s="24"/>
    </row>
    <row r="5" spans="2:14" ht="12.75">
      <c r="B5" s="39" t="str">
        <f>Summary!B4</f>
        <v>Input: Prevalence Data</v>
      </c>
      <c r="C5" s="39"/>
      <c r="D5" s="39"/>
      <c r="E5" s="39"/>
      <c r="G5" s="5"/>
      <c r="N5" s="1"/>
    </row>
    <row r="6" spans="2:7" ht="12.75">
      <c r="B6" s="29"/>
      <c r="C6" s="29"/>
      <c r="D6" s="40" t="str">
        <f>Summary!C6</f>
        <v>First Survey</v>
      </c>
      <c r="E6" s="40" t="str">
        <f>Summary!C16</f>
        <v>Second Survey</v>
      </c>
      <c r="G6" s="5"/>
    </row>
    <row r="7" spans="2:16" ht="12.75">
      <c r="B7" s="61" t="str">
        <f>Summary!B6</f>
        <v>Cohort's age group (at first survey)</v>
      </c>
      <c r="C7" s="61" t="s">
        <v>30</v>
      </c>
      <c r="D7" s="62" t="s">
        <v>16</v>
      </c>
      <c r="E7" s="62" t="s">
        <v>17</v>
      </c>
      <c r="G7" s="43"/>
      <c r="H7" t="s">
        <v>13</v>
      </c>
      <c r="I7" s="35" t="s">
        <v>15</v>
      </c>
      <c r="J7" t="s">
        <v>12</v>
      </c>
      <c r="K7" t="s">
        <v>18</v>
      </c>
      <c r="L7" t="s">
        <v>19</v>
      </c>
      <c r="M7" t="s">
        <v>20</v>
      </c>
      <c r="N7" t="s">
        <v>21</v>
      </c>
      <c r="P7" s="59"/>
    </row>
    <row r="8" spans="2:14" ht="12.75">
      <c r="B8" s="29" t="str">
        <f>Summary!B7</f>
        <v>10-14</v>
      </c>
      <c r="C8" s="29"/>
      <c r="D8" s="30">
        <v>0</v>
      </c>
      <c r="E8" s="30">
        <f>Summary!C17</f>
        <v>0</v>
      </c>
      <c r="G8" s="74" t="s">
        <v>58</v>
      </c>
      <c r="H8" s="41"/>
      <c r="I8" s="69"/>
      <c r="J8" s="41"/>
      <c r="K8" s="41"/>
      <c r="L8" s="41"/>
      <c r="M8" s="93">
        <f>-LN(1-E8)/($B$19/2)</f>
        <v>0</v>
      </c>
      <c r="N8" s="41"/>
    </row>
    <row r="9" spans="2:16" ht="12.75">
      <c r="B9" s="29" t="str">
        <f>Summary!B8</f>
        <v>15-19</v>
      </c>
      <c r="C9" s="34">
        <v>17.5</v>
      </c>
      <c r="D9" s="30">
        <f>Summary!C8</f>
        <v>0</v>
      </c>
      <c r="E9" s="30">
        <f>Summary!C18</f>
        <v>0</v>
      </c>
      <c r="G9" s="74">
        <v>1</v>
      </c>
      <c r="H9" s="31">
        <v>0.01</v>
      </c>
      <c r="I9" s="38">
        <f>(1-WEIBULL(2.5+$B$19,$D$29,$E$29,1))/(1-WEIBULL(2.5,$D$29,$E$29,1))</f>
        <v>0.8236470785421219</v>
      </c>
      <c r="J9" s="94">
        <f aca="true" t="shared" si="0" ref="J9:J15">1-(1-I9)*D9-(1-EXP(-H9*$B$19))*(1-D9)</f>
        <v>0.951229424500714</v>
      </c>
      <c r="K9" s="33">
        <f aca="true" t="shared" si="1" ref="K9:K15">2*(J9*E9-I9*D9)</f>
        <v>0</v>
      </c>
      <c r="L9" s="33">
        <f aca="true" t="shared" si="2" ref="L9:L15">$B$19*(1-D9+J9*(1-E9))</f>
        <v>9.75614712250357</v>
      </c>
      <c r="M9" s="33">
        <f aca="true" t="shared" si="3" ref="M9:M15">MAX(0,K9/L9)</f>
        <v>0</v>
      </c>
      <c r="N9" s="33">
        <f aca="true" t="shared" si="4" ref="N9:N15">$B$23*M8+$D$23*M9</f>
        <v>0</v>
      </c>
      <c r="P9" s="31"/>
    </row>
    <row r="10" spans="2:16" ht="12.75">
      <c r="B10" s="29" t="str">
        <f>Summary!B9</f>
        <v>20-24</v>
      </c>
      <c r="C10" s="34">
        <v>22.5</v>
      </c>
      <c r="D10" s="30">
        <f>Summary!C9</f>
        <v>0</v>
      </c>
      <c r="E10" s="30">
        <f>Summary!C19</f>
        <v>0</v>
      </c>
      <c r="G10" s="74">
        <v>2</v>
      </c>
      <c r="H10" s="31">
        <v>0.01</v>
      </c>
      <c r="I10" s="38" t="e">
        <f aca="true" t="shared" si="5" ref="I10:I15">N84/N93</f>
        <v>#DIV/0!</v>
      </c>
      <c r="J10" s="33" t="e">
        <f t="shared" si="0"/>
        <v>#DIV/0!</v>
      </c>
      <c r="K10" s="33" t="e">
        <f t="shared" si="1"/>
        <v>#DIV/0!</v>
      </c>
      <c r="L10" s="33" t="e">
        <f t="shared" si="2"/>
        <v>#DIV/0!</v>
      </c>
      <c r="M10" s="33" t="e">
        <f t="shared" si="3"/>
        <v>#DIV/0!</v>
      </c>
      <c r="N10" s="33" t="e">
        <f t="shared" si="4"/>
        <v>#DIV/0!</v>
      </c>
      <c r="P10" s="31"/>
    </row>
    <row r="11" spans="2:16" ht="12.75">
      <c r="B11" s="29" t="str">
        <f>Summary!B10</f>
        <v>25-29</v>
      </c>
      <c r="C11" s="34">
        <v>27.5</v>
      </c>
      <c r="D11" s="30">
        <f>Summary!C10</f>
        <v>0</v>
      </c>
      <c r="E11" s="30">
        <f>Summary!C20</f>
        <v>0</v>
      </c>
      <c r="G11" s="74">
        <v>3</v>
      </c>
      <c r="H11" s="31">
        <v>0.01</v>
      </c>
      <c r="I11" s="38" t="e">
        <f t="shared" si="5"/>
        <v>#DIV/0!</v>
      </c>
      <c r="J11" s="33" t="e">
        <f t="shared" si="0"/>
        <v>#DIV/0!</v>
      </c>
      <c r="K11" s="33" t="e">
        <f t="shared" si="1"/>
        <v>#DIV/0!</v>
      </c>
      <c r="L11" s="33" t="e">
        <f t="shared" si="2"/>
        <v>#DIV/0!</v>
      </c>
      <c r="M11" s="33" t="e">
        <f t="shared" si="3"/>
        <v>#DIV/0!</v>
      </c>
      <c r="N11" s="33" t="e">
        <f t="shared" si="4"/>
        <v>#DIV/0!</v>
      </c>
      <c r="P11" s="31"/>
    </row>
    <row r="12" spans="2:16" ht="12.75">
      <c r="B12" s="29" t="str">
        <f>Summary!B11</f>
        <v>30-34</v>
      </c>
      <c r="C12" s="34">
        <v>32.5</v>
      </c>
      <c r="D12" s="30">
        <f>Summary!C11</f>
        <v>0</v>
      </c>
      <c r="E12" s="30">
        <f>Summary!C21</f>
        <v>0</v>
      </c>
      <c r="G12" s="74">
        <v>4</v>
      </c>
      <c r="H12" s="31">
        <v>0.01</v>
      </c>
      <c r="I12" s="38" t="e">
        <f t="shared" si="5"/>
        <v>#DIV/0!</v>
      </c>
      <c r="J12" s="33" t="e">
        <f t="shared" si="0"/>
        <v>#DIV/0!</v>
      </c>
      <c r="K12" s="33" t="e">
        <f t="shared" si="1"/>
        <v>#DIV/0!</v>
      </c>
      <c r="L12" s="33" t="e">
        <f t="shared" si="2"/>
        <v>#DIV/0!</v>
      </c>
      <c r="M12" s="33" t="e">
        <f t="shared" si="3"/>
        <v>#DIV/0!</v>
      </c>
      <c r="N12" s="33" t="e">
        <f t="shared" si="4"/>
        <v>#DIV/0!</v>
      </c>
      <c r="P12" s="31"/>
    </row>
    <row r="13" spans="2:16" ht="12.75">
      <c r="B13" s="29" t="str">
        <f>Summary!B12</f>
        <v>35-39</v>
      </c>
      <c r="C13" s="34">
        <v>37.5</v>
      </c>
      <c r="D13" s="30">
        <f>Summary!C12</f>
        <v>0</v>
      </c>
      <c r="E13" s="30">
        <f>Summary!C22</f>
        <v>0</v>
      </c>
      <c r="G13" s="74">
        <v>5</v>
      </c>
      <c r="H13" s="31">
        <v>0.01</v>
      </c>
      <c r="I13" s="38" t="e">
        <f t="shared" si="5"/>
        <v>#DIV/0!</v>
      </c>
      <c r="J13" s="33" t="e">
        <f t="shared" si="0"/>
        <v>#DIV/0!</v>
      </c>
      <c r="K13" s="33" t="e">
        <f t="shared" si="1"/>
        <v>#DIV/0!</v>
      </c>
      <c r="L13" s="33" t="e">
        <f t="shared" si="2"/>
        <v>#DIV/0!</v>
      </c>
      <c r="M13" s="33" t="e">
        <f t="shared" si="3"/>
        <v>#DIV/0!</v>
      </c>
      <c r="N13" s="33" t="e">
        <f t="shared" si="4"/>
        <v>#DIV/0!</v>
      </c>
      <c r="P13" s="31"/>
    </row>
    <row r="14" spans="2:16" ht="12.75">
      <c r="B14" s="29" t="str">
        <f>Summary!B13</f>
        <v>40-44</v>
      </c>
      <c r="C14" s="34">
        <v>42.5</v>
      </c>
      <c r="D14" s="30">
        <f>Summary!C13</f>
        <v>0</v>
      </c>
      <c r="E14" s="30">
        <f>Summary!C23</f>
        <v>0</v>
      </c>
      <c r="G14" s="74">
        <v>6</v>
      </c>
      <c r="H14" s="31">
        <v>0.01</v>
      </c>
      <c r="I14" s="38" t="e">
        <f t="shared" si="5"/>
        <v>#DIV/0!</v>
      </c>
      <c r="J14" s="33" t="e">
        <f t="shared" si="0"/>
        <v>#DIV/0!</v>
      </c>
      <c r="K14" s="33" t="e">
        <f t="shared" si="1"/>
        <v>#DIV/0!</v>
      </c>
      <c r="L14" s="33" t="e">
        <f t="shared" si="2"/>
        <v>#DIV/0!</v>
      </c>
      <c r="M14" s="33" t="e">
        <f t="shared" si="3"/>
        <v>#DIV/0!</v>
      </c>
      <c r="N14" s="33" t="e">
        <f t="shared" si="4"/>
        <v>#DIV/0!</v>
      </c>
      <c r="P14" s="31"/>
    </row>
    <row r="15" spans="2:14" ht="12.75">
      <c r="B15" s="29" t="str">
        <f>Summary!B14</f>
        <v>45-49</v>
      </c>
      <c r="C15" s="34">
        <v>47.5</v>
      </c>
      <c r="D15" s="30">
        <f>Summary!C14</f>
        <v>0</v>
      </c>
      <c r="E15" s="30">
        <f>Summary!C24</f>
        <v>0</v>
      </c>
      <c r="G15" s="74">
        <v>7</v>
      </c>
      <c r="H15" s="31">
        <v>0.01</v>
      </c>
      <c r="I15" s="38" t="e">
        <f t="shared" si="5"/>
        <v>#DIV/0!</v>
      </c>
      <c r="J15" s="33" t="e">
        <f t="shared" si="0"/>
        <v>#DIV/0!</v>
      </c>
      <c r="K15" s="33" t="e">
        <f t="shared" si="1"/>
        <v>#DIV/0!</v>
      </c>
      <c r="L15" s="33" t="e">
        <f t="shared" si="2"/>
        <v>#DIV/0!</v>
      </c>
      <c r="M15" s="33" t="e">
        <f t="shared" si="3"/>
        <v>#DIV/0!</v>
      </c>
      <c r="N15" s="33" t="e">
        <f t="shared" si="4"/>
        <v>#DIV/0!</v>
      </c>
    </row>
    <row r="16" spans="2:7" ht="12.75">
      <c r="B16" s="5"/>
      <c r="C16" s="5"/>
      <c r="G16" s="5"/>
    </row>
    <row r="17" spans="2:7" ht="12.75">
      <c r="B17" s="39" t="str">
        <f>Summary!B16</f>
        <v>Cohort's age group (at second survey)</v>
      </c>
      <c r="C17" s="39"/>
      <c r="D17" s="39"/>
      <c r="E17" s="39"/>
      <c r="G17" s="5"/>
    </row>
    <row r="18" spans="2:16" ht="12.75">
      <c r="B18" s="29" t="str">
        <f>Summary!B17</f>
        <v>15-19</v>
      </c>
      <c r="C18" s="29"/>
      <c r="D18" s="29"/>
      <c r="E18" s="29"/>
      <c r="K18" s="3"/>
      <c r="L18" s="3"/>
      <c r="M18" s="3"/>
      <c r="N18" s="3"/>
      <c r="O18" s="3"/>
      <c r="P18" s="3"/>
    </row>
    <row r="19" spans="2:20" ht="13.5" thickBot="1">
      <c r="B19" s="29">
        <v>5</v>
      </c>
      <c r="C19" s="29"/>
      <c r="D19" s="29"/>
      <c r="E19" s="29"/>
      <c r="G19" s="3"/>
      <c r="H19" s="3"/>
      <c r="I19" s="3"/>
      <c r="J19" s="3"/>
      <c r="K19" s="3"/>
      <c r="L19" s="64" t="s">
        <v>56</v>
      </c>
      <c r="M19" s="54"/>
      <c r="N19" s="54"/>
      <c r="O19" s="55"/>
      <c r="P19" s="26"/>
      <c r="Q19" s="26"/>
      <c r="R19" s="1"/>
      <c r="S19" s="1"/>
      <c r="T19" s="1"/>
    </row>
    <row r="20" spans="2:20" ht="12.75">
      <c r="B20" s="29"/>
      <c r="C20" s="29"/>
      <c r="D20" s="29"/>
      <c r="E20" s="29"/>
      <c r="G20" s="3"/>
      <c r="H20" s="3"/>
      <c r="I20" s="3"/>
      <c r="J20" s="3"/>
      <c r="K20" s="91" t="s">
        <v>62</v>
      </c>
      <c r="L20" s="73">
        <v>1</v>
      </c>
      <c r="M20" s="73">
        <v>2</v>
      </c>
      <c r="N20" s="73">
        <v>3</v>
      </c>
      <c r="O20" s="73">
        <v>4</v>
      </c>
      <c r="P20" s="73">
        <v>5</v>
      </c>
      <c r="Q20" s="73">
        <v>6</v>
      </c>
      <c r="R20" s="1"/>
      <c r="S20" s="1"/>
      <c r="T20" s="1"/>
    </row>
    <row r="21" spans="2:20" ht="12.75">
      <c r="B21" s="5"/>
      <c r="C21" s="5"/>
      <c r="G21" s="8"/>
      <c r="H21" s="3"/>
      <c r="I21" s="3"/>
      <c r="J21" s="3"/>
      <c r="K21" s="59" t="s">
        <v>52</v>
      </c>
      <c r="L21" s="58" t="s">
        <v>46</v>
      </c>
      <c r="M21" s="58" t="s">
        <v>47</v>
      </c>
      <c r="N21" s="58" t="s">
        <v>48</v>
      </c>
      <c r="O21" s="58" t="s">
        <v>49</v>
      </c>
      <c r="P21" s="58" t="s">
        <v>50</v>
      </c>
      <c r="Q21" s="58" t="s">
        <v>51</v>
      </c>
      <c r="R21" s="1"/>
      <c r="S21" s="1"/>
      <c r="T21" s="1"/>
    </row>
    <row r="22" spans="2:20" ht="12.75">
      <c r="B22" s="39" t="s">
        <v>23</v>
      </c>
      <c r="C22" s="39"/>
      <c r="D22" s="39" t="s">
        <v>24</v>
      </c>
      <c r="E22" s="39"/>
      <c r="G22" s="3"/>
      <c r="H22" s="3"/>
      <c r="I22" s="3"/>
      <c r="J22" s="3"/>
      <c r="K22" s="59" t="s">
        <v>60</v>
      </c>
      <c r="L22" s="44">
        <v>20</v>
      </c>
      <c r="M22" s="44">
        <f>L22+5</f>
        <v>25</v>
      </c>
      <c r="N22" s="44">
        <f>M22+5</f>
        <v>30</v>
      </c>
      <c r="O22" s="44">
        <f>N22+5</f>
        <v>35</v>
      </c>
      <c r="P22" s="44">
        <f>O22+5</f>
        <v>40</v>
      </c>
      <c r="Q22" s="44">
        <f>P22+5</f>
        <v>45</v>
      </c>
      <c r="R22" s="1"/>
      <c r="S22" s="1"/>
      <c r="T22" s="1"/>
    </row>
    <row r="23" spans="2:20" ht="12.75">
      <c r="B23" s="29">
        <f>$B$19/(2*5)</f>
        <v>0.5</v>
      </c>
      <c r="C23" s="29"/>
      <c r="D23" s="29">
        <f>1-B23</f>
        <v>0.5</v>
      </c>
      <c r="E23" s="29"/>
      <c r="G23" s="3"/>
      <c r="H23" s="3"/>
      <c r="I23" s="3"/>
      <c r="J23" s="3"/>
      <c r="K23" s="60" t="s">
        <v>53</v>
      </c>
      <c r="L23" s="76">
        <f>M9</f>
        <v>0</v>
      </c>
      <c r="M23" s="76" t="e">
        <f>M10</f>
        <v>#DIV/0!</v>
      </c>
      <c r="N23" s="76" t="e">
        <f>M11</f>
        <v>#DIV/0!</v>
      </c>
      <c r="O23" s="76" t="e">
        <f>M12</f>
        <v>#DIV/0!</v>
      </c>
      <c r="P23" s="76" t="e">
        <f>M13</f>
        <v>#DIV/0!</v>
      </c>
      <c r="Q23" s="76" t="e">
        <f>M14</f>
        <v>#DIV/0!</v>
      </c>
      <c r="R23" s="1"/>
      <c r="S23" s="1"/>
      <c r="T23" s="1"/>
    </row>
    <row r="24" spans="2:20" ht="12.75">
      <c r="B24" s="5"/>
      <c r="C24" s="5"/>
      <c r="D24" s="5"/>
      <c r="E24" s="5"/>
      <c r="F24" s="5"/>
      <c r="G24" s="8"/>
      <c r="H24" s="3"/>
      <c r="I24" s="3"/>
      <c r="J24" s="8" t="s">
        <v>38</v>
      </c>
      <c r="K24" s="57" t="s">
        <v>36</v>
      </c>
      <c r="L24" s="50">
        <f>D30</f>
        <v>2.0118835</v>
      </c>
      <c r="M24" s="50">
        <f>D31</f>
        <v>2.0118835</v>
      </c>
      <c r="N24" s="50">
        <f>D32</f>
        <v>2.0118835</v>
      </c>
      <c r="O24" s="50">
        <f>D33</f>
        <v>2.0118835</v>
      </c>
      <c r="P24" s="50">
        <f>D34</f>
        <v>2.0118835</v>
      </c>
      <c r="Q24" s="50">
        <f>D35</f>
        <v>2.0118835</v>
      </c>
      <c r="R24" s="1"/>
      <c r="S24" s="1"/>
      <c r="T24" s="1"/>
    </row>
    <row r="25" spans="2:20" ht="13.5" thickBot="1">
      <c r="B25" s="5"/>
      <c r="C25" s="5"/>
      <c r="D25" s="5"/>
      <c r="E25" s="5"/>
      <c r="F25" s="5"/>
      <c r="G25" s="3"/>
      <c r="H25" s="3"/>
      <c r="I25" s="3"/>
      <c r="J25" s="3"/>
      <c r="K25" s="57" t="s">
        <v>37</v>
      </c>
      <c r="L25" s="50">
        <f>E30</f>
        <v>15.39803774</v>
      </c>
      <c r="M25" s="50">
        <f>E31</f>
        <v>14.0757107</v>
      </c>
      <c r="N25" s="50">
        <f>E32</f>
        <v>12.0578303</v>
      </c>
      <c r="O25" s="50">
        <f>E33</f>
        <v>10.9545607</v>
      </c>
      <c r="P25" s="50">
        <f>E34</f>
        <v>10.0657819</v>
      </c>
      <c r="Q25" s="50">
        <f>E35</f>
        <v>7.90818596</v>
      </c>
      <c r="R25" s="1"/>
      <c r="S25" s="1"/>
      <c r="T25" s="1"/>
    </row>
    <row r="26" spans="2:20" ht="12.75">
      <c r="B26" s="77" t="s">
        <v>27</v>
      </c>
      <c r="C26" s="78"/>
      <c r="D26" s="78"/>
      <c r="E26" s="79"/>
      <c r="F26" s="5"/>
      <c r="I26" s="45"/>
      <c r="K26" s="45"/>
      <c r="L26" s="45"/>
      <c r="M26" s="45"/>
      <c r="N26" s="46"/>
      <c r="O26" s="3"/>
      <c r="P26" s="3"/>
      <c r="R26" s="1"/>
      <c r="S26" s="1"/>
      <c r="T26" s="1"/>
    </row>
    <row r="27" spans="2:20" ht="12.75">
      <c r="B27" s="80"/>
      <c r="C27" s="63"/>
      <c r="D27" s="63"/>
      <c r="E27" s="81"/>
      <c r="F27" s="5"/>
      <c r="J27" s="75" t="s">
        <v>59</v>
      </c>
      <c r="L27" s="1"/>
      <c r="M27" s="1"/>
      <c r="N27" s="1"/>
      <c r="O27" s="1"/>
      <c r="P27" s="1"/>
      <c r="Q27" s="1"/>
      <c r="R27" s="1"/>
      <c r="S27" s="1"/>
      <c r="T27" s="1"/>
    </row>
    <row r="28" spans="2:20" ht="13.5" thickBot="1">
      <c r="B28" s="82"/>
      <c r="C28" s="83"/>
      <c r="D28" s="83" t="s">
        <v>28</v>
      </c>
      <c r="E28" s="84" t="s">
        <v>29</v>
      </c>
      <c r="F28" s="3"/>
      <c r="H28" s="74" t="s">
        <v>58</v>
      </c>
      <c r="I28" s="70" t="s">
        <v>31</v>
      </c>
      <c r="J28" s="70" t="s">
        <v>32</v>
      </c>
      <c r="K28" s="70" t="s">
        <v>33</v>
      </c>
      <c r="L28" s="28" t="s">
        <v>35</v>
      </c>
      <c r="M28" s="24"/>
      <c r="N28" s="24"/>
      <c r="O28" s="24"/>
      <c r="P28" s="24"/>
      <c r="Q28" s="24"/>
      <c r="R28" s="1"/>
      <c r="S28" s="1"/>
      <c r="T28" s="1"/>
    </row>
    <row r="29" spans="2:20" ht="12.75">
      <c r="B29" s="80" t="s">
        <v>0</v>
      </c>
      <c r="C29" s="63"/>
      <c r="D29" s="85">
        <v>2.0118835</v>
      </c>
      <c r="E29" s="86">
        <v>15.9943623</v>
      </c>
      <c r="F29" s="45"/>
      <c r="H29" s="74">
        <v>1</v>
      </c>
      <c r="I29" s="71" t="s">
        <v>0</v>
      </c>
      <c r="J29" s="72">
        <v>17.5</v>
      </c>
      <c r="K29" s="72">
        <f>J29+$B$19</f>
        <v>22.5</v>
      </c>
      <c r="L29" s="56">
        <f aca="true" t="shared" si="6" ref="L29:Q35">IF($J29&gt;L$22,1-WEIBULL($J29-L$22,L$24,L$25,1),"")</f>
      </c>
      <c r="M29" s="56">
        <f t="shared" si="6"/>
      </c>
      <c r="N29" s="56">
        <f t="shared" si="6"/>
      </c>
      <c r="O29" s="56">
        <f t="shared" si="6"/>
      </c>
      <c r="P29" s="56">
        <f t="shared" si="6"/>
      </c>
      <c r="Q29" s="56">
        <f t="shared" si="6"/>
      </c>
      <c r="R29" s="1"/>
      <c r="S29" s="1"/>
      <c r="T29" s="1"/>
    </row>
    <row r="30" spans="2:20" ht="12.75">
      <c r="B30" s="80" t="s">
        <v>1</v>
      </c>
      <c r="C30" s="63"/>
      <c r="D30" s="85">
        <v>2.0118835</v>
      </c>
      <c r="E30" s="86">
        <v>15.39803774</v>
      </c>
      <c r="F30" s="45"/>
      <c r="H30" s="74">
        <v>2</v>
      </c>
      <c r="I30" s="71" t="s">
        <v>1</v>
      </c>
      <c r="J30" s="72">
        <v>22.5</v>
      </c>
      <c r="K30" s="72">
        <f aca="true" t="shared" si="7" ref="K30:K35">J30+$B$19</f>
        <v>27.5</v>
      </c>
      <c r="L30" s="45">
        <f>IF($J30&gt;L$22,1-WEIBULL($J30-L$22,L$24,L$25,1),"")</f>
        <v>0.9745330311434063</v>
      </c>
      <c r="M30" s="45">
        <f t="shared" si="6"/>
      </c>
      <c r="N30" s="56">
        <f t="shared" si="6"/>
      </c>
      <c r="O30" s="56">
        <f t="shared" si="6"/>
      </c>
      <c r="P30" s="56">
        <f t="shared" si="6"/>
      </c>
      <c r="Q30" s="56">
        <f t="shared" si="6"/>
      </c>
      <c r="R30" s="1"/>
      <c r="S30" s="1"/>
      <c r="T30" s="1"/>
    </row>
    <row r="31" spans="2:20" ht="12.75">
      <c r="B31" s="80" t="s">
        <v>3</v>
      </c>
      <c r="C31" s="63"/>
      <c r="D31" s="85">
        <v>2.0118835</v>
      </c>
      <c r="E31" s="86">
        <v>14.0757107</v>
      </c>
      <c r="F31" s="45"/>
      <c r="H31" s="74">
        <v>3</v>
      </c>
      <c r="I31" s="71" t="s">
        <v>3</v>
      </c>
      <c r="J31" s="72">
        <v>27.5</v>
      </c>
      <c r="K31" s="72">
        <f t="shared" si="7"/>
        <v>32.5</v>
      </c>
      <c r="L31" s="45">
        <f t="shared" si="6"/>
        <v>0.7903947738745059</v>
      </c>
      <c r="M31" s="45">
        <f t="shared" si="6"/>
        <v>0.9695682518055596</v>
      </c>
      <c r="N31" s="56">
        <f t="shared" si="6"/>
      </c>
      <c r="O31" s="56">
        <f t="shared" si="6"/>
      </c>
      <c r="P31" s="56">
        <f t="shared" si="6"/>
      </c>
      <c r="Q31" s="56">
        <f t="shared" si="6"/>
      </c>
      <c r="R31" s="1"/>
      <c r="S31" s="1"/>
      <c r="T31" s="1"/>
    </row>
    <row r="32" spans="2:20" ht="12.75">
      <c r="B32" s="80" t="s">
        <v>4</v>
      </c>
      <c r="C32" s="63"/>
      <c r="D32" s="85">
        <v>2.0118835</v>
      </c>
      <c r="E32" s="86">
        <v>12.0578303</v>
      </c>
      <c r="F32" s="45"/>
      <c r="H32" s="74">
        <v>4</v>
      </c>
      <c r="I32" s="72" t="s">
        <v>4</v>
      </c>
      <c r="J32" s="72">
        <v>32.5</v>
      </c>
      <c r="K32" s="72">
        <f t="shared" si="7"/>
        <v>37.5</v>
      </c>
      <c r="L32" s="56">
        <f t="shared" si="6"/>
        <v>0.5182098765973586</v>
      </c>
      <c r="M32" s="56">
        <f t="shared" si="6"/>
        <v>0.7544285600615104</v>
      </c>
      <c r="N32" s="56">
        <f t="shared" si="6"/>
        <v>0.9586865122297413</v>
      </c>
      <c r="O32" s="56">
        <f t="shared" si="6"/>
      </c>
      <c r="P32" s="56">
        <f t="shared" si="6"/>
      </c>
      <c r="Q32" s="56">
        <f t="shared" si="6"/>
      </c>
      <c r="R32" s="1"/>
      <c r="S32" s="1"/>
      <c r="T32" s="1"/>
    </row>
    <row r="33" spans="2:20" ht="12.75">
      <c r="B33" s="80" t="s">
        <v>5</v>
      </c>
      <c r="C33" s="63"/>
      <c r="D33" s="85">
        <v>2.0118835</v>
      </c>
      <c r="E33" s="86">
        <v>10.9545607</v>
      </c>
      <c r="F33" s="45"/>
      <c r="H33" s="74">
        <v>5</v>
      </c>
      <c r="I33" s="72" t="s">
        <v>5</v>
      </c>
      <c r="J33" s="72">
        <v>37.5</v>
      </c>
      <c r="K33" s="72">
        <f t="shared" si="7"/>
        <v>42.5</v>
      </c>
      <c r="L33" s="56">
        <f t="shared" si="6"/>
        <v>0.27427690955518247</v>
      </c>
      <c r="M33" s="56">
        <f t="shared" si="6"/>
        <v>0.4549675586698718</v>
      </c>
      <c r="N33" s="56">
        <f t="shared" si="6"/>
        <v>0.6806478477475325</v>
      </c>
      <c r="O33" s="56">
        <f t="shared" si="6"/>
        <v>0.9501115883964907</v>
      </c>
      <c r="P33" s="56">
        <f t="shared" si="6"/>
      </c>
      <c r="Q33" s="56">
        <f t="shared" si="6"/>
      </c>
      <c r="R33" s="1"/>
      <c r="S33" s="1"/>
      <c r="T33" s="1"/>
    </row>
    <row r="34" spans="2:20" ht="12.75">
      <c r="B34" s="80" t="s">
        <v>6</v>
      </c>
      <c r="C34" s="63"/>
      <c r="D34" s="85">
        <v>2.0118835</v>
      </c>
      <c r="E34" s="86">
        <v>10.0657819</v>
      </c>
      <c r="F34" s="45"/>
      <c r="H34" s="74">
        <v>6</v>
      </c>
      <c r="I34" s="72" t="s">
        <v>6</v>
      </c>
      <c r="J34" s="72">
        <v>42.5</v>
      </c>
      <c r="K34" s="72">
        <f t="shared" si="7"/>
        <v>47.5</v>
      </c>
      <c r="L34" s="56">
        <f t="shared" si="6"/>
        <v>0.11708862419448796</v>
      </c>
      <c r="M34" s="56">
        <f t="shared" si="6"/>
        <v>0.21230287313264007</v>
      </c>
      <c r="N34" s="56">
        <f t="shared" si="6"/>
        <v>0.34124783168302064</v>
      </c>
      <c r="O34" s="56">
        <f t="shared" si="6"/>
        <v>0.6271089109109172</v>
      </c>
      <c r="P34" s="45">
        <f t="shared" si="6"/>
        <v>0.9411307949891394</v>
      </c>
      <c r="Q34" s="56">
        <f t="shared" si="6"/>
      </c>
      <c r="R34" s="1"/>
      <c r="S34" s="1"/>
      <c r="T34" s="1"/>
    </row>
    <row r="35" spans="2:20" ht="13.5" thickBot="1">
      <c r="B35" s="87" t="s">
        <v>7</v>
      </c>
      <c r="C35" s="88"/>
      <c r="D35" s="89">
        <v>2.0118835</v>
      </c>
      <c r="E35" s="90">
        <v>7.90818596</v>
      </c>
      <c r="F35" s="45"/>
      <c r="H35" s="74">
        <v>7</v>
      </c>
      <c r="I35" s="72" t="s">
        <v>7</v>
      </c>
      <c r="J35" s="72">
        <v>47.5</v>
      </c>
      <c r="K35" s="72">
        <f t="shared" si="7"/>
        <v>52.5</v>
      </c>
      <c r="L35" s="56">
        <f t="shared" si="6"/>
        <v>0.04029023383842045</v>
      </c>
      <c r="M35" s="56">
        <f t="shared" si="6"/>
        <v>0.07657537959375782</v>
      </c>
      <c r="N35" s="56">
        <f t="shared" si="6"/>
        <v>0.12054531873872498</v>
      </c>
      <c r="O35" s="56">
        <f t="shared" si="6"/>
        <v>0.2714164539344951</v>
      </c>
      <c r="P35" s="56">
        <f t="shared" si="6"/>
        <v>0.5750869069714348</v>
      </c>
      <c r="Q35" s="56">
        <f t="shared" si="6"/>
        <v>0.906124417308726</v>
      </c>
      <c r="R35" s="1"/>
      <c r="S35" s="1"/>
      <c r="T35" s="1"/>
    </row>
    <row r="36" spans="2:20" ht="12.75">
      <c r="B36" s="5"/>
      <c r="C36" s="5"/>
      <c r="D36" s="5"/>
      <c r="E36" s="5"/>
      <c r="F36" s="5"/>
      <c r="I36" s="52"/>
      <c r="J36" s="52"/>
      <c r="K36" s="53"/>
      <c r="L36" s="1"/>
      <c r="M36" s="3"/>
      <c r="N36" s="3"/>
      <c r="O36" s="3"/>
      <c r="P36" s="3"/>
      <c r="Q36" s="3"/>
      <c r="R36" s="1"/>
      <c r="S36" s="1"/>
      <c r="T36" s="1"/>
    </row>
    <row r="37" spans="6:20" ht="13.5" thickBot="1">
      <c r="F37" s="5"/>
      <c r="G37" s="8"/>
      <c r="H37" s="74" t="s">
        <v>58</v>
      </c>
      <c r="I37" s="70" t="s">
        <v>31</v>
      </c>
      <c r="J37" s="70" t="s">
        <v>32</v>
      </c>
      <c r="K37" s="70" t="s">
        <v>33</v>
      </c>
      <c r="L37" s="28" t="s">
        <v>34</v>
      </c>
      <c r="M37" s="24"/>
      <c r="N37" s="24"/>
      <c r="O37" s="24"/>
      <c r="P37" s="24"/>
      <c r="Q37" s="24"/>
      <c r="R37" s="1"/>
      <c r="S37" s="1"/>
      <c r="T37" s="1"/>
    </row>
    <row r="38" spans="6:20" ht="12.75">
      <c r="F38" s="5"/>
      <c r="G38" s="3"/>
      <c r="H38" s="74">
        <v>1</v>
      </c>
      <c r="I38" s="71" t="s">
        <v>0</v>
      </c>
      <c r="J38" s="72">
        <v>17.5</v>
      </c>
      <c r="K38" s="72">
        <f>J38+$B$19</f>
        <v>22.5</v>
      </c>
      <c r="L38" s="56">
        <f aca="true" t="shared" si="8" ref="L38:Q44">IF($J38&gt;L$22,1-WEIBULL($K38-L$22,L$24,L$25,1),"")</f>
      </c>
      <c r="M38" s="56">
        <f t="shared" si="8"/>
      </c>
      <c r="N38" s="56">
        <f t="shared" si="8"/>
      </c>
      <c r="O38" s="56">
        <f t="shared" si="8"/>
      </c>
      <c r="P38" s="56">
        <f t="shared" si="8"/>
      </c>
      <c r="Q38" s="56">
        <f t="shared" si="8"/>
      </c>
      <c r="R38" s="1"/>
      <c r="S38" s="1"/>
      <c r="T38" s="1"/>
    </row>
    <row r="39" spans="6:20" ht="12.75">
      <c r="F39" s="5"/>
      <c r="G39" s="3"/>
      <c r="H39" s="74">
        <v>2</v>
      </c>
      <c r="I39" s="71" t="s">
        <v>1</v>
      </c>
      <c r="J39" s="72">
        <v>22.5</v>
      </c>
      <c r="K39" s="72">
        <f aca="true" t="shared" si="9" ref="K39:K44">J39+$B$19</f>
        <v>27.5</v>
      </c>
      <c r="L39" s="45">
        <f t="shared" si="8"/>
        <v>0.7903947738745059</v>
      </c>
      <c r="M39" s="45">
        <f t="shared" si="8"/>
      </c>
      <c r="N39" s="56">
        <f t="shared" si="8"/>
      </c>
      <c r="O39" s="56">
        <f t="shared" si="8"/>
      </c>
      <c r="P39" s="56">
        <f t="shared" si="8"/>
      </c>
      <c r="Q39" s="56">
        <f t="shared" si="8"/>
      </c>
      <c r="R39" s="1"/>
      <c r="S39" s="1"/>
      <c r="T39" s="1"/>
    </row>
    <row r="40" spans="6:20" ht="12.75">
      <c r="F40" s="5"/>
      <c r="G40" s="8"/>
      <c r="H40" s="74">
        <v>3</v>
      </c>
      <c r="I40" s="71" t="s">
        <v>3</v>
      </c>
      <c r="J40" s="72">
        <v>27.5</v>
      </c>
      <c r="K40" s="72">
        <f t="shared" si="9"/>
        <v>32.5</v>
      </c>
      <c r="L40" s="45">
        <f t="shared" si="8"/>
        <v>0.5182098765973586</v>
      </c>
      <c r="M40" s="45">
        <f t="shared" si="8"/>
        <v>0.7544285600615104</v>
      </c>
      <c r="N40" s="56">
        <f t="shared" si="8"/>
      </c>
      <c r="O40" s="56">
        <f t="shared" si="8"/>
      </c>
      <c r="P40" s="56">
        <f t="shared" si="8"/>
      </c>
      <c r="Q40" s="56">
        <f t="shared" si="8"/>
      </c>
      <c r="R40" s="1"/>
      <c r="S40" s="1"/>
      <c r="T40" s="1"/>
    </row>
    <row r="41" spans="6:20" ht="12.75">
      <c r="F41" s="5"/>
      <c r="G41" s="3"/>
      <c r="H41" s="74">
        <v>4</v>
      </c>
      <c r="I41" s="72" t="s">
        <v>4</v>
      </c>
      <c r="J41" s="72">
        <v>32.5</v>
      </c>
      <c r="K41" s="72">
        <f t="shared" si="9"/>
        <v>37.5</v>
      </c>
      <c r="L41" s="45">
        <f t="shared" si="8"/>
        <v>0.27427690955518247</v>
      </c>
      <c r="M41" s="45">
        <f t="shared" si="8"/>
        <v>0.4549675586698718</v>
      </c>
      <c r="N41" s="56">
        <f t="shared" si="8"/>
        <v>0.6806478477475325</v>
      </c>
      <c r="O41" s="56">
        <f t="shared" si="8"/>
      </c>
      <c r="P41" s="56">
        <f t="shared" si="8"/>
      </c>
      <c r="Q41" s="56">
        <f t="shared" si="8"/>
      </c>
      <c r="R41" s="1"/>
      <c r="S41" s="1"/>
      <c r="T41" s="1"/>
    </row>
    <row r="42" spans="7:20" ht="12.75">
      <c r="G42" s="45"/>
      <c r="H42" s="74">
        <v>5</v>
      </c>
      <c r="I42" s="72" t="s">
        <v>5</v>
      </c>
      <c r="J42" s="72">
        <v>37.5</v>
      </c>
      <c r="K42" s="72">
        <f t="shared" si="9"/>
        <v>42.5</v>
      </c>
      <c r="L42" s="56">
        <f t="shared" si="8"/>
        <v>0.11708862419448796</v>
      </c>
      <c r="M42" s="56">
        <f t="shared" si="8"/>
        <v>0.21230287313264007</v>
      </c>
      <c r="N42" s="56">
        <f t="shared" si="8"/>
        <v>0.34124783168302064</v>
      </c>
      <c r="O42" s="56">
        <f t="shared" si="8"/>
        <v>0.6271089109109172</v>
      </c>
      <c r="P42" s="56">
        <f t="shared" si="8"/>
      </c>
      <c r="Q42" s="56">
        <f t="shared" si="8"/>
      </c>
      <c r="R42" s="1"/>
      <c r="S42" s="1"/>
      <c r="T42" s="1"/>
    </row>
    <row r="43" spans="7:20" ht="12.75">
      <c r="G43" s="45"/>
      <c r="H43" s="74">
        <v>6</v>
      </c>
      <c r="I43" s="72" t="s">
        <v>6</v>
      </c>
      <c r="J43" s="72">
        <v>42.5</v>
      </c>
      <c r="K43" s="72">
        <f t="shared" si="9"/>
        <v>47.5</v>
      </c>
      <c r="L43" s="56">
        <f t="shared" si="8"/>
        <v>0.04029023383842045</v>
      </c>
      <c r="M43" s="56">
        <f t="shared" si="8"/>
        <v>0.07657537959375782</v>
      </c>
      <c r="N43" s="56">
        <f t="shared" si="8"/>
        <v>0.12054531873872498</v>
      </c>
      <c r="O43" s="56">
        <f t="shared" si="8"/>
        <v>0.2714164539344951</v>
      </c>
      <c r="P43" s="45">
        <f t="shared" si="8"/>
        <v>0.5750869069714348</v>
      </c>
      <c r="Q43" s="56">
        <f t="shared" si="8"/>
      </c>
      <c r="R43" s="1"/>
      <c r="S43" s="1"/>
      <c r="T43" s="1"/>
    </row>
    <row r="44" spans="7:20" ht="12.75">
      <c r="G44" s="45"/>
      <c r="H44" s="74">
        <v>7</v>
      </c>
      <c r="I44" s="72" t="s">
        <v>7</v>
      </c>
      <c r="J44" s="72">
        <v>47.5</v>
      </c>
      <c r="K44" s="72">
        <f t="shared" si="9"/>
        <v>52.5</v>
      </c>
      <c r="L44" s="56">
        <f t="shared" si="8"/>
        <v>0.011169131646719621</v>
      </c>
      <c r="M44" s="56">
        <f t="shared" si="8"/>
        <v>0.02133251894071897</v>
      </c>
      <c r="N44" s="56">
        <f t="shared" si="8"/>
        <v>0.029960031119156794</v>
      </c>
      <c r="O44" s="56">
        <f t="shared" si="8"/>
        <v>0.07682090518190288</v>
      </c>
      <c r="P44" s="56">
        <f t="shared" si="8"/>
        <v>0.21307340862443847</v>
      </c>
      <c r="Q44" s="56">
        <f t="shared" si="8"/>
        <v>0.40703070070679803</v>
      </c>
      <c r="R44" s="1"/>
      <c r="S44" s="1"/>
      <c r="T44" s="1"/>
    </row>
    <row r="45" spans="7:17" ht="12.75">
      <c r="G45" s="3"/>
      <c r="H45" s="3"/>
      <c r="I45" s="52"/>
      <c r="J45" s="52"/>
      <c r="K45" s="51"/>
      <c r="L45" s="45"/>
      <c r="M45" s="45"/>
      <c r="N45" s="45"/>
      <c r="O45" s="46"/>
      <c r="P45" s="3"/>
      <c r="Q45" s="3"/>
    </row>
    <row r="46" spans="7:17" ht="13.5" thickBot="1">
      <c r="G46" s="3"/>
      <c r="H46" s="74" t="s">
        <v>58</v>
      </c>
      <c r="I46" s="70" t="s">
        <v>31</v>
      </c>
      <c r="J46" s="70" t="s">
        <v>32</v>
      </c>
      <c r="K46" s="70" t="s">
        <v>33</v>
      </c>
      <c r="L46" s="28" t="s">
        <v>39</v>
      </c>
      <c r="M46" s="24"/>
      <c r="N46" s="24"/>
      <c r="O46" s="24"/>
      <c r="P46" s="24"/>
      <c r="Q46" s="24"/>
    </row>
    <row r="47" spans="7:17" ht="12.75">
      <c r="G47" s="3"/>
      <c r="H47" s="74">
        <v>1</v>
      </c>
      <c r="I47" s="71" t="s">
        <v>0</v>
      </c>
      <c r="J47" s="72">
        <v>17.5</v>
      </c>
      <c r="K47" s="72">
        <f>J47+$B$19</f>
        <v>22.5</v>
      </c>
      <c r="L47" s="56">
        <f aca="true" t="shared" si="10" ref="L47:Q47">IF($J47&gt;L$22,L$23,0)</f>
        <v>0</v>
      </c>
      <c r="M47" s="56">
        <f t="shared" si="10"/>
        <v>0</v>
      </c>
      <c r="N47" s="56">
        <f t="shared" si="10"/>
        <v>0</v>
      </c>
      <c r="O47" s="56">
        <f t="shared" si="10"/>
        <v>0</v>
      </c>
      <c r="P47" s="56">
        <f t="shared" si="10"/>
        <v>0</v>
      </c>
      <c r="Q47" s="56">
        <f t="shared" si="10"/>
        <v>0</v>
      </c>
    </row>
    <row r="48" spans="7:17" ht="12.75">
      <c r="G48" s="3"/>
      <c r="H48" s="74">
        <v>2</v>
      </c>
      <c r="I48" s="71" t="s">
        <v>1</v>
      </c>
      <c r="J48" s="72">
        <v>22.5</v>
      </c>
      <c r="K48" s="72">
        <f aca="true" t="shared" si="11" ref="K48:K53">J48+$B$19</f>
        <v>27.5</v>
      </c>
      <c r="L48" s="56">
        <f aca="true" t="shared" si="12" ref="L48:Q53">IF($J48&gt;L$22,L$23,0)</f>
        <v>0</v>
      </c>
      <c r="M48" s="56">
        <f t="shared" si="12"/>
        <v>0</v>
      </c>
      <c r="N48" s="56">
        <f t="shared" si="12"/>
        <v>0</v>
      </c>
      <c r="O48" s="56">
        <f t="shared" si="12"/>
        <v>0</v>
      </c>
      <c r="P48" s="56">
        <f t="shared" si="12"/>
        <v>0</v>
      </c>
      <c r="Q48" s="56">
        <f t="shared" si="12"/>
        <v>0</v>
      </c>
    </row>
    <row r="49" spans="7:17" ht="12.75">
      <c r="G49" s="3"/>
      <c r="H49" s="74">
        <v>3</v>
      </c>
      <c r="I49" s="71" t="s">
        <v>3</v>
      </c>
      <c r="J49" s="72">
        <v>27.5</v>
      </c>
      <c r="K49" s="72">
        <f t="shared" si="11"/>
        <v>32.5</v>
      </c>
      <c r="L49" s="45">
        <f t="shared" si="12"/>
        <v>0</v>
      </c>
      <c r="M49" s="45" t="e">
        <f t="shared" si="12"/>
        <v>#DIV/0!</v>
      </c>
      <c r="N49" s="45">
        <f t="shared" si="12"/>
        <v>0</v>
      </c>
      <c r="O49" s="45">
        <f t="shared" si="12"/>
        <v>0</v>
      </c>
      <c r="P49" s="45">
        <f t="shared" si="12"/>
        <v>0</v>
      </c>
      <c r="Q49" s="45">
        <f t="shared" si="12"/>
        <v>0</v>
      </c>
    </row>
    <row r="50" spans="7:17" ht="12.75">
      <c r="G50" s="3"/>
      <c r="H50" s="74">
        <v>4</v>
      </c>
      <c r="I50" s="72" t="s">
        <v>4</v>
      </c>
      <c r="J50" s="72">
        <v>32.5</v>
      </c>
      <c r="K50" s="72">
        <f t="shared" si="11"/>
        <v>37.5</v>
      </c>
      <c r="L50" s="45">
        <f t="shared" si="12"/>
        <v>0</v>
      </c>
      <c r="M50" s="45" t="e">
        <f t="shared" si="12"/>
        <v>#DIV/0!</v>
      </c>
      <c r="N50" s="45" t="e">
        <f t="shared" si="12"/>
        <v>#DIV/0!</v>
      </c>
      <c r="O50" s="45">
        <f t="shared" si="12"/>
        <v>0</v>
      </c>
      <c r="P50" s="45">
        <f t="shared" si="12"/>
        <v>0</v>
      </c>
      <c r="Q50" s="45">
        <f t="shared" si="12"/>
        <v>0</v>
      </c>
    </row>
    <row r="51" spans="7:17" ht="12.75">
      <c r="G51" s="3"/>
      <c r="H51" s="74">
        <v>5</v>
      </c>
      <c r="I51" s="72" t="s">
        <v>5</v>
      </c>
      <c r="J51" s="72">
        <v>37.5</v>
      </c>
      <c r="K51" s="72">
        <f t="shared" si="11"/>
        <v>42.5</v>
      </c>
      <c r="L51" s="45">
        <f>IF($J51&gt;L$22,L$23,0)</f>
        <v>0</v>
      </c>
      <c r="M51" s="45" t="e">
        <f t="shared" si="12"/>
        <v>#DIV/0!</v>
      </c>
      <c r="N51" s="45" t="e">
        <f t="shared" si="12"/>
        <v>#DIV/0!</v>
      </c>
      <c r="O51" s="45" t="e">
        <f t="shared" si="12"/>
        <v>#DIV/0!</v>
      </c>
      <c r="P51" s="45">
        <f t="shared" si="12"/>
        <v>0</v>
      </c>
      <c r="Q51" s="45">
        <f t="shared" si="12"/>
        <v>0</v>
      </c>
    </row>
    <row r="52" spans="7:17" ht="12.75">
      <c r="G52" s="3"/>
      <c r="H52" s="74">
        <v>6</v>
      </c>
      <c r="I52" s="72" t="s">
        <v>6</v>
      </c>
      <c r="J52" s="72">
        <v>42.5</v>
      </c>
      <c r="K52" s="72">
        <f t="shared" si="11"/>
        <v>47.5</v>
      </c>
      <c r="L52" s="45">
        <f t="shared" si="12"/>
        <v>0</v>
      </c>
      <c r="M52" s="45" t="e">
        <f t="shared" si="12"/>
        <v>#DIV/0!</v>
      </c>
      <c r="N52" s="45" t="e">
        <f t="shared" si="12"/>
        <v>#DIV/0!</v>
      </c>
      <c r="O52" s="45" t="e">
        <f t="shared" si="12"/>
        <v>#DIV/0!</v>
      </c>
      <c r="P52" s="45" t="e">
        <f t="shared" si="12"/>
        <v>#DIV/0!</v>
      </c>
      <c r="Q52" s="45">
        <f t="shared" si="12"/>
        <v>0</v>
      </c>
    </row>
    <row r="53" spans="8:17" ht="12.75">
      <c r="H53" s="74">
        <v>7</v>
      </c>
      <c r="I53" s="72" t="s">
        <v>7</v>
      </c>
      <c r="J53" s="72">
        <v>47.5</v>
      </c>
      <c r="K53" s="72">
        <f t="shared" si="11"/>
        <v>52.5</v>
      </c>
      <c r="L53" s="56">
        <f t="shared" si="12"/>
        <v>0</v>
      </c>
      <c r="M53" s="56" t="e">
        <f t="shared" si="12"/>
        <v>#DIV/0!</v>
      </c>
      <c r="N53" s="56" t="e">
        <f t="shared" si="12"/>
        <v>#DIV/0!</v>
      </c>
      <c r="O53" s="56" t="e">
        <f t="shared" si="12"/>
        <v>#DIV/0!</v>
      </c>
      <c r="P53" s="56" t="e">
        <f t="shared" si="12"/>
        <v>#DIV/0!</v>
      </c>
      <c r="Q53" s="56" t="e">
        <f t="shared" si="12"/>
        <v>#DIV/0!</v>
      </c>
    </row>
    <row r="54" ht="12.75">
      <c r="L54" s="3"/>
    </row>
    <row r="55" spans="8:17" ht="13.5" thickBot="1">
      <c r="H55" s="74" t="s">
        <v>58</v>
      </c>
      <c r="I55" s="70" t="s">
        <v>31</v>
      </c>
      <c r="J55" s="70" t="s">
        <v>32</v>
      </c>
      <c r="K55" s="70" t="s">
        <v>33</v>
      </c>
      <c r="L55" s="28" t="s">
        <v>57</v>
      </c>
      <c r="M55" s="24"/>
      <c r="N55" s="24"/>
      <c r="O55" s="24"/>
      <c r="P55" s="24"/>
      <c r="Q55" s="24"/>
    </row>
    <row r="56" spans="8:17" ht="12.75">
      <c r="H56" s="74">
        <v>1</v>
      </c>
      <c r="I56" s="71" t="s">
        <v>0</v>
      </c>
      <c r="J56" s="72">
        <v>17.5</v>
      </c>
      <c r="K56" s="72">
        <f>J56+$B$19</f>
        <v>22.5</v>
      </c>
      <c r="L56" s="45">
        <f>$M$8</f>
        <v>0</v>
      </c>
      <c r="M56" s="45">
        <f>L56+L47</f>
        <v>0</v>
      </c>
      <c r="N56" s="45">
        <f>M56+M47</f>
        <v>0</v>
      </c>
      <c r="O56" s="45">
        <f>N56+N47</f>
        <v>0</v>
      </c>
      <c r="P56" s="45">
        <f>O56+O47</f>
        <v>0</v>
      </c>
      <c r="Q56" s="45">
        <f>P56+P47</f>
        <v>0</v>
      </c>
    </row>
    <row r="57" spans="8:17" ht="12.75">
      <c r="H57" s="74">
        <v>2</v>
      </c>
      <c r="I57" s="71" t="s">
        <v>1</v>
      </c>
      <c r="J57" s="72">
        <v>22.5</v>
      </c>
      <c r="K57" s="72">
        <f aca="true" t="shared" si="13" ref="K57:K62">J57+$B$19</f>
        <v>27.5</v>
      </c>
      <c r="L57" s="45">
        <f aca="true" t="shared" si="14" ref="L57:L62">$M$8</f>
        <v>0</v>
      </c>
      <c r="M57" s="45">
        <f aca="true" t="shared" si="15" ref="M57:Q62">L57+L48</f>
        <v>0</v>
      </c>
      <c r="N57" s="45">
        <f t="shared" si="15"/>
        <v>0</v>
      </c>
      <c r="O57" s="45">
        <f t="shared" si="15"/>
        <v>0</v>
      </c>
      <c r="P57" s="45">
        <f t="shared" si="15"/>
        <v>0</v>
      </c>
      <c r="Q57" s="45">
        <f t="shared" si="15"/>
        <v>0</v>
      </c>
    </row>
    <row r="58" spans="8:17" ht="12.75">
      <c r="H58" s="74">
        <v>3</v>
      </c>
      <c r="I58" s="71" t="s">
        <v>3</v>
      </c>
      <c r="J58" s="72">
        <v>27.5</v>
      </c>
      <c r="K58" s="72">
        <f t="shared" si="13"/>
        <v>32.5</v>
      </c>
      <c r="L58" s="45">
        <f t="shared" si="14"/>
        <v>0</v>
      </c>
      <c r="M58" s="45">
        <f t="shared" si="15"/>
        <v>0</v>
      </c>
      <c r="N58" s="45" t="e">
        <f t="shared" si="15"/>
        <v>#DIV/0!</v>
      </c>
      <c r="O58" s="45" t="e">
        <f t="shared" si="15"/>
        <v>#DIV/0!</v>
      </c>
      <c r="P58" s="45" t="e">
        <f t="shared" si="15"/>
        <v>#DIV/0!</v>
      </c>
      <c r="Q58" s="45" t="e">
        <f t="shared" si="15"/>
        <v>#DIV/0!</v>
      </c>
    </row>
    <row r="59" spans="8:17" ht="12.75">
      <c r="H59" s="74">
        <v>4</v>
      </c>
      <c r="I59" s="72" t="s">
        <v>4</v>
      </c>
      <c r="J59" s="72">
        <v>32.5</v>
      </c>
      <c r="K59" s="72">
        <f t="shared" si="13"/>
        <v>37.5</v>
      </c>
      <c r="L59" s="45">
        <f t="shared" si="14"/>
        <v>0</v>
      </c>
      <c r="M59" s="45">
        <f t="shared" si="15"/>
        <v>0</v>
      </c>
      <c r="N59" s="45" t="e">
        <f t="shared" si="15"/>
        <v>#DIV/0!</v>
      </c>
      <c r="O59" s="45" t="e">
        <f t="shared" si="15"/>
        <v>#DIV/0!</v>
      </c>
      <c r="P59" s="45" t="e">
        <f t="shared" si="15"/>
        <v>#DIV/0!</v>
      </c>
      <c r="Q59" s="45" t="e">
        <f t="shared" si="15"/>
        <v>#DIV/0!</v>
      </c>
    </row>
    <row r="60" spans="8:17" ht="12.75">
      <c r="H60" s="74">
        <v>5</v>
      </c>
      <c r="I60" s="72" t="s">
        <v>5</v>
      </c>
      <c r="J60" s="72">
        <v>37.5</v>
      </c>
      <c r="K60" s="72">
        <f t="shared" si="13"/>
        <v>42.5</v>
      </c>
      <c r="L60" s="45">
        <f t="shared" si="14"/>
        <v>0</v>
      </c>
      <c r="M60" s="45">
        <f t="shared" si="15"/>
        <v>0</v>
      </c>
      <c r="N60" s="45" t="e">
        <f t="shared" si="15"/>
        <v>#DIV/0!</v>
      </c>
      <c r="O60" s="45" t="e">
        <f t="shared" si="15"/>
        <v>#DIV/0!</v>
      </c>
      <c r="P60" s="45" t="e">
        <f t="shared" si="15"/>
        <v>#DIV/0!</v>
      </c>
      <c r="Q60" s="45" t="e">
        <f t="shared" si="15"/>
        <v>#DIV/0!</v>
      </c>
    </row>
    <row r="61" spans="8:17" ht="12.75">
      <c r="H61" s="74">
        <v>6</v>
      </c>
      <c r="I61" s="72" t="s">
        <v>6</v>
      </c>
      <c r="J61" s="72">
        <v>42.5</v>
      </c>
      <c r="K61" s="72">
        <f t="shared" si="13"/>
        <v>47.5</v>
      </c>
      <c r="L61" s="45">
        <f t="shared" si="14"/>
        <v>0</v>
      </c>
      <c r="M61" s="45">
        <f t="shared" si="15"/>
        <v>0</v>
      </c>
      <c r="N61" s="45" t="e">
        <f t="shared" si="15"/>
        <v>#DIV/0!</v>
      </c>
      <c r="O61" s="45" t="e">
        <f t="shared" si="15"/>
        <v>#DIV/0!</v>
      </c>
      <c r="P61" s="45" t="e">
        <f t="shared" si="15"/>
        <v>#DIV/0!</v>
      </c>
      <c r="Q61" s="45" t="e">
        <f t="shared" si="15"/>
        <v>#DIV/0!</v>
      </c>
    </row>
    <row r="62" spans="8:17" ht="12.75">
      <c r="H62" s="74">
        <v>7</v>
      </c>
      <c r="I62" s="72" t="s">
        <v>7</v>
      </c>
      <c r="J62" s="72">
        <v>47.5</v>
      </c>
      <c r="K62" s="72">
        <f t="shared" si="13"/>
        <v>52.5</v>
      </c>
      <c r="L62" s="45">
        <f t="shared" si="14"/>
        <v>0</v>
      </c>
      <c r="M62" s="45">
        <f t="shared" si="15"/>
        <v>0</v>
      </c>
      <c r="N62" s="45" t="e">
        <f t="shared" si="15"/>
        <v>#DIV/0!</v>
      </c>
      <c r="O62" s="45" t="e">
        <f t="shared" si="15"/>
        <v>#DIV/0!</v>
      </c>
      <c r="P62" s="45" t="e">
        <f t="shared" si="15"/>
        <v>#DIV/0!</v>
      </c>
      <c r="Q62" s="45" t="e">
        <f t="shared" si="15"/>
        <v>#DIV/0!</v>
      </c>
    </row>
    <row r="64" spans="8:17" ht="13.5" thickBot="1">
      <c r="H64" s="74" t="s">
        <v>58</v>
      </c>
      <c r="I64" s="70" t="s">
        <v>31</v>
      </c>
      <c r="J64" s="70" t="s">
        <v>32</v>
      </c>
      <c r="K64" s="70" t="s">
        <v>33</v>
      </c>
      <c r="L64" s="28" t="s">
        <v>40</v>
      </c>
      <c r="M64" s="24"/>
      <c r="N64" s="24"/>
      <c r="O64" s="24"/>
      <c r="P64" s="24"/>
      <c r="Q64" s="24"/>
    </row>
    <row r="65" spans="8:17" ht="12.75">
      <c r="H65" s="74">
        <v>1</v>
      </c>
      <c r="I65" s="71" t="s">
        <v>0</v>
      </c>
      <c r="J65" s="72">
        <v>17.5</v>
      </c>
      <c r="K65" s="72">
        <f>J65+$B$19</f>
        <v>22.5</v>
      </c>
      <c r="L65" s="45">
        <f aca="true" t="shared" si="16" ref="L65:Q65">EXP(-L56)</f>
        <v>1</v>
      </c>
      <c r="M65" s="45">
        <f t="shared" si="16"/>
        <v>1</v>
      </c>
      <c r="N65" s="45">
        <f t="shared" si="16"/>
        <v>1</v>
      </c>
      <c r="O65" s="45">
        <f t="shared" si="16"/>
        <v>1</v>
      </c>
      <c r="P65" s="45">
        <f t="shared" si="16"/>
        <v>1</v>
      </c>
      <c r="Q65" s="45">
        <f t="shared" si="16"/>
        <v>1</v>
      </c>
    </row>
    <row r="66" spans="8:17" ht="12.75">
      <c r="H66" s="74">
        <v>2</v>
      </c>
      <c r="I66" s="71" t="s">
        <v>1</v>
      </c>
      <c r="J66" s="72">
        <v>22.5</v>
      </c>
      <c r="K66" s="72">
        <f aca="true" t="shared" si="17" ref="K66:K71">J66+$B$19</f>
        <v>27.5</v>
      </c>
      <c r="L66" s="45">
        <f aca="true" t="shared" si="18" ref="L66:Q71">EXP(-L57)</f>
        <v>1</v>
      </c>
      <c r="M66" s="45">
        <f t="shared" si="18"/>
        <v>1</v>
      </c>
      <c r="N66" s="45">
        <f t="shared" si="18"/>
        <v>1</v>
      </c>
      <c r="O66" s="45">
        <f t="shared" si="18"/>
        <v>1</v>
      </c>
      <c r="P66" s="45">
        <f t="shared" si="18"/>
        <v>1</v>
      </c>
      <c r="Q66" s="45">
        <f t="shared" si="18"/>
        <v>1</v>
      </c>
    </row>
    <row r="67" spans="8:17" ht="12.75">
      <c r="H67" s="74">
        <v>3</v>
      </c>
      <c r="I67" s="71" t="s">
        <v>3</v>
      </c>
      <c r="J67" s="72">
        <v>27.5</v>
      </c>
      <c r="K67" s="72">
        <f t="shared" si="17"/>
        <v>32.5</v>
      </c>
      <c r="L67" s="45">
        <f t="shared" si="18"/>
        <v>1</v>
      </c>
      <c r="M67" s="45">
        <f t="shared" si="18"/>
        <v>1</v>
      </c>
      <c r="N67" s="45" t="e">
        <f t="shared" si="18"/>
        <v>#DIV/0!</v>
      </c>
      <c r="O67" s="45" t="e">
        <f t="shared" si="18"/>
        <v>#DIV/0!</v>
      </c>
      <c r="P67" s="45" t="e">
        <f t="shared" si="18"/>
        <v>#DIV/0!</v>
      </c>
      <c r="Q67" s="45" t="e">
        <f t="shared" si="18"/>
        <v>#DIV/0!</v>
      </c>
    </row>
    <row r="68" spans="8:17" ht="12.75">
      <c r="H68" s="74">
        <v>4</v>
      </c>
      <c r="I68" s="72" t="s">
        <v>4</v>
      </c>
      <c r="J68" s="72">
        <v>32.5</v>
      </c>
      <c r="K68" s="72">
        <f t="shared" si="17"/>
        <v>37.5</v>
      </c>
      <c r="L68" s="45">
        <f t="shared" si="18"/>
        <v>1</v>
      </c>
      <c r="M68" s="45">
        <f t="shared" si="18"/>
        <v>1</v>
      </c>
      <c r="N68" s="45" t="e">
        <f t="shared" si="18"/>
        <v>#DIV/0!</v>
      </c>
      <c r="O68" s="45" t="e">
        <f t="shared" si="18"/>
        <v>#DIV/0!</v>
      </c>
      <c r="P68" s="45" t="e">
        <f t="shared" si="18"/>
        <v>#DIV/0!</v>
      </c>
      <c r="Q68" s="45" t="e">
        <f t="shared" si="18"/>
        <v>#DIV/0!</v>
      </c>
    </row>
    <row r="69" spans="8:17" ht="12.75">
      <c r="H69" s="74">
        <v>5</v>
      </c>
      <c r="I69" s="72" t="s">
        <v>5</v>
      </c>
      <c r="J69" s="72">
        <v>37.5</v>
      </c>
      <c r="K69" s="72">
        <f t="shared" si="17"/>
        <v>42.5</v>
      </c>
      <c r="L69" s="45">
        <f t="shared" si="18"/>
        <v>1</v>
      </c>
      <c r="M69" s="45">
        <f t="shared" si="18"/>
        <v>1</v>
      </c>
      <c r="N69" s="45" t="e">
        <f t="shared" si="18"/>
        <v>#DIV/0!</v>
      </c>
      <c r="O69" s="45" t="e">
        <f t="shared" si="18"/>
        <v>#DIV/0!</v>
      </c>
      <c r="P69" s="45" t="e">
        <f t="shared" si="18"/>
        <v>#DIV/0!</v>
      </c>
      <c r="Q69" s="45" t="e">
        <f t="shared" si="18"/>
        <v>#DIV/0!</v>
      </c>
    </row>
    <row r="70" spans="8:17" ht="12.75">
      <c r="H70" s="74">
        <v>6</v>
      </c>
      <c r="I70" s="72" t="s">
        <v>6</v>
      </c>
      <c r="J70" s="72">
        <v>42.5</v>
      </c>
      <c r="K70" s="72">
        <f t="shared" si="17"/>
        <v>47.5</v>
      </c>
      <c r="L70" s="45">
        <f t="shared" si="18"/>
        <v>1</v>
      </c>
      <c r="M70" s="45">
        <f t="shared" si="18"/>
        <v>1</v>
      </c>
      <c r="N70" s="45" t="e">
        <f t="shared" si="18"/>
        <v>#DIV/0!</v>
      </c>
      <c r="O70" s="45" t="e">
        <f t="shared" si="18"/>
        <v>#DIV/0!</v>
      </c>
      <c r="P70" s="45" t="e">
        <f t="shared" si="18"/>
        <v>#DIV/0!</v>
      </c>
      <c r="Q70" s="45" t="e">
        <f t="shared" si="18"/>
        <v>#DIV/0!</v>
      </c>
    </row>
    <row r="71" spans="8:17" ht="12.75">
      <c r="H71" s="74">
        <v>7</v>
      </c>
      <c r="I71" s="72" t="s">
        <v>7</v>
      </c>
      <c r="J71" s="72">
        <v>47.5</v>
      </c>
      <c r="K71" s="72">
        <f t="shared" si="17"/>
        <v>52.5</v>
      </c>
      <c r="L71" s="45">
        <f t="shared" si="18"/>
        <v>1</v>
      </c>
      <c r="M71" s="45">
        <f t="shared" si="18"/>
        <v>1</v>
      </c>
      <c r="N71" s="45" t="e">
        <f t="shared" si="18"/>
        <v>#DIV/0!</v>
      </c>
      <c r="O71" s="45" t="e">
        <f t="shared" si="18"/>
        <v>#DIV/0!</v>
      </c>
      <c r="P71" s="45" t="e">
        <f t="shared" si="18"/>
        <v>#DIV/0!</v>
      </c>
      <c r="Q71" s="45" t="e">
        <f t="shared" si="18"/>
        <v>#DIV/0!</v>
      </c>
    </row>
    <row r="73" spans="8:17" ht="13.5" thickBot="1">
      <c r="H73" s="74" t="s">
        <v>58</v>
      </c>
      <c r="I73" s="70" t="s">
        <v>31</v>
      </c>
      <c r="J73" s="70" t="s">
        <v>32</v>
      </c>
      <c r="K73" s="70" t="s">
        <v>33</v>
      </c>
      <c r="L73" s="28" t="s">
        <v>65</v>
      </c>
      <c r="M73" s="24"/>
      <c r="N73" s="24"/>
      <c r="O73" s="24"/>
      <c r="P73" s="24"/>
      <c r="Q73" s="24"/>
    </row>
    <row r="74" spans="8:17" ht="12.75">
      <c r="H74" s="74">
        <v>1</v>
      </c>
      <c r="I74" s="71" t="s">
        <v>0</v>
      </c>
      <c r="J74" s="72">
        <v>17.5</v>
      </c>
      <c r="K74" s="72">
        <f>J74+$B$19</f>
        <v>22.5</v>
      </c>
      <c r="L74" s="56">
        <f aca="true" t="shared" si="19" ref="L74:Q74">L47*L65</f>
        <v>0</v>
      </c>
      <c r="M74" s="56">
        <f t="shared" si="19"/>
        <v>0</v>
      </c>
      <c r="N74" s="56">
        <f t="shared" si="19"/>
        <v>0</v>
      </c>
      <c r="O74" s="56">
        <f t="shared" si="19"/>
        <v>0</v>
      </c>
      <c r="P74" s="56">
        <f t="shared" si="19"/>
        <v>0</v>
      </c>
      <c r="Q74" s="56">
        <f t="shared" si="19"/>
        <v>0</v>
      </c>
    </row>
    <row r="75" spans="8:17" ht="12.75">
      <c r="H75" s="74">
        <v>2</v>
      </c>
      <c r="I75" s="71" t="s">
        <v>1</v>
      </c>
      <c r="J75" s="72">
        <v>22.5</v>
      </c>
      <c r="K75" s="72">
        <f aca="true" t="shared" si="20" ref="K75:K80">J75+$B$19</f>
        <v>27.5</v>
      </c>
      <c r="L75" s="45">
        <f aca="true" t="shared" si="21" ref="L75:Q80">L48*L66</f>
        <v>0</v>
      </c>
      <c r="M75" s="45">
        <f t="shared" si="21"/>
        <v>0</v>
      </c>
      <c r="N75" s="45">
        <f t="shared" si="21"/>
        <v>0</v>
      </c>
      <c r="O75" s="56">
        <f t="shared" si="21"/>
        <v>0</v>
      </c>
      <c r="P75" s="56">
        <f t="shared" si="21"/>
        <v>0</v>
      </c>
      <c r="Q75" s="56">
        <f t="shared" si="21"/>
        <v>0</v>
      </c>
    </row>
    <row r="76" spans="8:17" ht="12.75">
      <c r="H76" s="74">
        <v>3</v>
      </c>
      <c r="I76" s="71" t="s">
        <v>3</v>
      </c>
      <c r="J76" s="72">
        <v>27.5</v>
      </c>
      <c r="K76" s="72">
        <f t="shared" si="20"/>
        <v>32.5</v>
      </c>
      <c r="L76" s="45">
        <f t="shared" si="21"/>
        <v>0</v>
      </c>
      <c r="M76" s="45" t="e">
        <f t="shared" si="21"/>
        <v>#DIV/0!</v>
      </c>
      <c r="N76" s="45" t="e">
        <f t="shared" si="21"/>
        <v>#DIV/0!</v>
      </c>
      <c r="O76" s="56" t="e">
        <f t="shared" si="21"/>
        <v>#DIV/0!</v>
      </c>
      <c r="P76" s="56" t="e">
        <f t="shared" si="21"/>
        <v>#DIV/0!</v>
      </c>
      <c r="Q76" s="56" t="e">
        <f t="shared" si="21"/>
        <v>#DIV/0!</v>
      </c>
    </row>
    <row r="77" spans="8:17" ht="12.75">
      <c r="H77" s="74">
        <v>4</v>
      </c>
      <c r="I77" s="72" t="s">
        <v>4</v>
      </c>
      <c r="J77" s="72">
        <v>32.5</v>
      </c>
      <c r="K77" s="72">
        <f t="shared" si="20"/>
        <v>37.5</v>
      </c>
      <c r="L77" s="45">
        <f t="shared" si="21"/>
        <v>0</v>
      </c>
      <c r="M77" s="45" t="e">
        <f t="shared" si="21"/>
        <v>#DIV/0!</v>
      </c>
      <c r="N77" s="45" t="e">
        <f t="shared" si="21"/>
        <v>#DIV/0!</v>
      </c>
      <c r="O77" s="56" t="e">
        <f t="shared" si="21"/>
        <v>#DIV/0!</v>
      </c>
      <c r="P77" s="56" t="e">
        <f t="shared" si="21"/>
        <v>#DIV/0!</v>
      </c>
      <c r="Q77" s="56" t="e">
        <f t="shared" si="21"/>
        <v>#DIV/0!</v>
      </c>
    </row>
    <row r="78" spans="8:17" ht="12.75">
      <c r="H78" s="74">
        <v>5</v>
      </c>
      <c r="I78" s="72" t="s">
        <v>5</v>
      </c>
      <c r="J78" s="72">
        <v>37.5</v>
      </c>
      <c r="K78" s="72">
        <f t="shared" si="20"/>
        <v>42.5</v>
      </c>
      <c r="L78" s="45">
        <f t="shared" si="21"/>
        <v>0</v>
      </c>
      <c r="M78" s="45" t="e">
        <f t="shared" si="21"/>
        <v>#DIV/0!</v>
      </c>
      <c r="N78" s="45" t="e">
        <f t="shared" si="21"/>
        <v>#DIV/0!</v>
      </c>
      <c r="O78" s="56" t="e">
        <f t="shared" si="21"/>
        <v>#DIV/0!</v>
      </c>
      <c r="P78" s="56" t="e">
        <f t="shared" si="21"/>
        <v>#DIV/0!</v>
      </c>
      <c r="Q78" s="56" t="e">
        <f t="shared" si="21"/>
        <v>#DIV/0!</v>
      </c>
    </row>
    <row r="79" spans="8:17" ht="12.75">
      <c r="H79" s="74">
        <v>6</v>
      </c>
      <c r="I79" s="72" t="s">
        <v>6</v>
      </c>
      <c r="J79" s="72">
        <v>42.5</v>
      </c>
      <c r="K79" s="72">
        <f t="shared" si="20"/>
        <v>47.5</v>
      </c>
      <c r="L79" s="56">
        <f t="shared" si="21"/>
        <v>0</v>
      </c>
      <c r="M79" s="56" t="e">
        <f t="shared" si="21"/>
        <v>#DIV/0!</v>
      </c>
      <c r="N79" s="56" t="e">
        <f t="shared" si="21"/>
        <v>#DIV/0!</v>
      </c>
      <c r="O79" s="56" t="e">
        <f t="shared" si="21"/>
        <v>#DIV/0!</v>
      </c>
      <c r="P79" s="56" t="e">
        <f t="shared" si="21"/>
        <v>#DIV/0!</v>
      </c>
      <c r="Q79" s="56" t="e">
        <f t="shared" si="21"/>
        <v>#DIV/0!</v>
      </c>
    </row>
    <row r="80" spans="8:17" ht="12.75">
      <c r="H80" s="74">
        <v>7</v>
      </c>
      <c r="I80" s="72" t="s">
        <v>7</v>
      </c>
      <c r="J80" s="72">
        <v>47.5</v>
      </c>
      <c r="K80" s="72">
        <f t="shared" si="20"/>
        <v>52.5</v>
      </c>
      <c r="L80" s="56">
        <f t="shared" si="21"/>
        <v>0</v>
      </c>
      <c r="M80" s="56" t="e">
        <f t="shared" si="21"/>
        <v>#DIV/0!</v>
      </c>
      <c r="N80" s="56" t="e">
        <f t="shared" si="21"/>
        <v>#DIV/0!</v>
      </c>
      <c r="O80" s="56" t="e">
        <f t="shared" si="21"/>
        <v>#DIV/0!</v>
      </c>
      <c r="P80" s="56" t="e">
        <f t="shared" si="21"/>
        <v>#DIV/0!</v>
      </c>
      <c r="Q80" s="56" t="e">
        <f t="shared" si="21"/>
        <v>#DIV/0!</v>
      </c>
    </row>
    <row r="82" spans="8:17" ht="13.5" thickBot="1">
      <c r="H82" s="74" t="s">
        <v>58</v>
      </c>
      <c r="I82" s="70" t="s">
        <v>31</v>
      </c>
      <c r="J82" s="70" t="s">
        <v>32</v>
      </c>
      <c r="K82" s="70" t="s">
        <v>33</v>
      </c>
      <c r="L82" s="28" t="s">
        <v>44</v>
      </c>
      <c r="M82" s="28" t="s">
        <v>61</v>
      </c>
      <c r="N82" s="28" t="s">
        <v>54</v>
      </c>
      <c r="O82" s="1"/>
      <c r="P82" s="1"/>
      <c r="Q82" s="1"/>
    </row>
    <row r="83" spans="8:17" ht="12.75">
      <c r="H83" s="74">
        <v>1</v>
      </c>
      <c r="I83" s="71" t="s">
        <v>0</v>
      </c>
      <c r="J83" s="72">
        <v>17.5</v>
      </c>
      <c r="K83" s="72">
        <f>J83+$B$19</f>
        <v>22.5</v>
      </c>
      <c r="L83" s="56"/>
      <c r="N83" s="56"/>
      <c r="O83" s="2"/>
      <c r="P83" s="2"/>
      <c r="Q83" s="2"/>
    </row>
    <row r="84" spans="8:17" ht="12.75">
      <c r="H84" s="74">
        <v>2</v>
      </c>
      <c r="I84" s="71" t="s">
        <v>1</v>
      </c>
      <c r="J84" s="72">
        <v>22.5</v>
      </c>
      <c r="K84" s="72">
        <f aca="true" t="shared" si="22" ref="K84:K89">J84+$B$19</f>
        <v>27.5</v>
      </c>
      <c r="L84" s="45">
        <f aca="true" t="shared" si="23" ref="L84:L89">SUMPRODUCT(L75:Q75,L39:Q39)</f>
        <v>0</v>
      </c>
      <c r="M84" s="92">
        <f aca="true" t="shared" si="24" ref="M84:M89">(1-WEIBULL(J84-$J$83+2.5+$B$19,$D$29,$E$29,1))*$M$8</f>
        <v>0</v>
      </c>
      <c r="N84" s="45">
        <f aca="true" t="shared" si="25" ref="N84:N89">M84+L84</f>
        <v>0</v>
      </c>
      <c r="O84" s="45"/>
      <c r="P84" s="56"/>
      <c r="Q84" s="56"/>
    </row>
    <row r="85" spans="8:17" ht="12.75">
      <c r="H85" s="74">
        <v>3</v>
      </c>
      <c r="I85" s="71" t="s">
        <v>3</v>
      </c>
      <c r="J85" s="72">
        <v>27.5</v>
      </c>
      <c r="K85" s="72">
        <f t="shared" si="22"/>
        <v>32.5</v>
      </c>
      <c r="L85" s="45" t="e">
        <f t="shared" si="23"/>
        <v>#DIV/0!</v>
      </c>
      <c r="M85" s="92">
        <f t="shared" si="24"/>
        <v>0</v>
      </c>
      <c r="N85" s="45" t="e">
        <f t="shared" si="25"/>
        <v>#DIV/0!</v>
      </c>
      <c r="O85" s="56"/>
      <c r="P85" s="56"/>
      <c r="Q85" s="56"/>
    </row>
    <row r="86" spans="8:17" ht="12.75">
      <c r="H86" s="74">
        <v>4</v>
      </c>
      <c r="I86" s="72" t="s">
        <v>4</v>
      </c>
      <c r="J86" s="72">
        <v>32.5</v>
      </c>
      <c r="K86" s="72">
        <f t="shared" si="22"/>
        <v>37.5</v>
      </c>
      <c r="L86" s="45" t="e">
        <f t="shared" si="23"/>
        <v>#DIV/0!</v>
      </c>
      <c r="M86" s="92">
        <f t="shared" si="24"/>
        <v>0</v>
      </c>
      <c r="N86" s="45" t="e">
        <f t="shared" si="25"/>
        <v>#DIV/0!</v>
      </c>
      <c r="O86" s="56"/>
      <c r="P86" s="56"/>
      <c r="Q86" s="56"/>
    </row>
    <row r="87" spans="8:17" ht="12.75">
      <c r="H87" s="74">
        <v>5</v>
      </c>
      <c r="I87" s="72" t="s">
        <v>5</v>
      </c>
      <c r="J87" s="72">
        <v>37.5</v>
      </c>
      <c r="K87" s="72">
        <f t="shared" si="22"/>
        <v>42.5</v>
      </c>
      <c r="L87" s="45" t="e">
        <f t="shared" si="23"/>
        <v>#DIV/0!</v>
      </c>
      <c r="M87" s="92">
        <f t="shared" si="24"/>
        <v>0</v>
      </c>
      <c r="N87" s="45" t="e">
        <f t="shared" si="25"/>
        <v>#DIV/0!</v>
      </c>
      <c r="O87" s="56"/>
      <c r="P87" s="56"/>
      <c r="Q87" s="56"/>
    </row>
    <row r="88" spans="8:17" ht="12.75">
      <c r="H88" s="74">
        <v>6</v>
      </c>
      <c r="I88" s="72" t="s">
        <v>6</v>
      </c>
      <c r="J88" s="72">
        <v>42.5</v>
      </c>
      <c r="K88" s="72">
        <f t="shared" si="22"/>
        <v>47.5</v>
      </c>
      <c r="L88" s="56" t="e">
        <f t="shared" si="23"/>
        <v>#DIV/0!</v>
      </c>
      <c r="M88" s="33">
        <f t="shared" si="24"/>
        <v>0</v>
      </c>
      <c r="N88" s="56" t="e">
        <f t="shared" si="25"/>
        <v>#DIV/0!</v>
      </c>
      <c r="O88" s="56"/>
      <c r="P88" s="56"/>
      <c r="Q88" s="56"/>
    </row>
    <row r="89" spans="8:17" ht="12.75">
      <c r="H89" s="74">
        <v>7</v>
      </c>
      <c r="I89" s="72" t="s">
        <v>7</v>
      </c>
      <c r="J89" s="72">
        <v>47.5</v>
      </c>
      <c r="K89" s="72">
        <f t="shared" si="22"/>
        <v>52.5</v>
      </c>
      <c r="L89" s="56" t="e">
        <f t="shared" si="23"/>
        <v>#DIV/0!</v>
      </c>
      <c r="M89" s="33">
        <f t="shared" si="24"/>
        <v>0</v>
      </c>
      <c r="N89" s="56" t="e">
        <f t="shared" si="25"/>
        <v>#DIV/0!</v>
      </c>
      <c r="O89" s="56"/>
      <c r="P89" s="56"/>
      <c r="Q89" s="56"/>
    </row>
    <row r="90" ht="12.75">
      <c r="L90" s="2"/>
    </row>
    <row r="91" spans="8:14" ht="13.5" thickBot="1">
      <c r="H91" s="74" t="s">
        <v>58</v>
      </c>
      <c r="I91" s="70" t="s">
        <v>31</v>
      </c>
      <c r="J91" s="70" t="s">
        <v>32</v>
      </c>
      <c r="K91" s="70" t="s">
        <v>33</v>
      </c>
      <c r="L91" s="28" t="s">
        <v>45</v>
      </c>
      <c r="M91" s="28" t="s">
        <v>61</v>
      </c>
      <c r="N91" s="28" t="s">
        <v>55</v>
      </c>
    </row>
    <row r="92" spans="8:14" ht="12.75">
      <c r="H92" s="74">
        <v>1</v>
      </c>
      <c r="I92" s="71" t="s">
        <v>0</v>
      </c>
      <c r="J92" s="72">
        <v>17.5</v>
      </c>
      <c r="K92" s="72">
        <f>J92+$B$19</f>
        <v>22.5</v>
      </c>
      <c r="L92" s="56"/>
      <c r="N92" s="33"/>
    </row>
    <row r="93" spans="8:15" ht="12.75">
      <c r="H93" s="74">
        <v>2</v>
      </c>
      <c r="I93" s="71" t="s">
        <v>1</v>
      </c>
      <c r="J93" s="72">
        <v>22.5</v>
      </c>
      <c r="K93" s="72">
        <f aca="true" t="shared" si="26" ref="K93:K98">J93+$B$19</f>
        <v>27.5</v>
      </c>
      <c r="L93" s="45">
        <f aca="true" t="shared" si="27" ref="L93:L98">SUMPRODUCT(L75:Q75,L30:Q30)</f>
        <v>0</v>
      </c>
      <c r="M93" s="92">
        <f aca="true" t="shared" si="28" ref="M93:M98">(1-WEIBULL(J93-$J$92+2.5,$D$29,$E$29,1))*$M$8</f>
        <v>0</v>
      </c>
      <c r="N93" s="92">
        <f aca="true" t="shared" si="29" ref="N93:N98">L93+M93</f>
        <v>0</v>
      </c>
      <c r="O93" s="5"/>
    </row>
    <row r="94" spans="8:14" ht="12.75">
      <c r="H94" s="74">
        <v>3</v>
      </c>
      <c r="I94" s="71" t="s">
        <v>3</v>
      </c>
      <c r="J94" s="72">
        <v>27.5</v>
      </c>
      <c r="K94" s="72">
        <f t="shared" si="26"/>
        <v>32.5</v>
      </c>
      <c r="L94" s="45" t="e">
        <f t="shared" si="27"/>
        <v>#DIV/0!</v>
      </c>
      <c r="M94" s="92">
        <f t="shared" si="28"/>
        <v>0</v>
      </c>
      <c r="N94" s="92" t="e">
        <f t="shared" si="29"/>
        <v>#DIV/0!</v>
      </c>
    </row>
    <row r="95" spans="8:14" ht="12.75">
      <c r="H95" s="74">
        <v>4</v>
      </c>
      <c r="I95" s="72" t="s">
        <v>4</v>
      </c>
      <c r="J95" s="72">
        <v>32.5</v>
      </c>
      <c r="K95" s="72">
        <f t="shared" si="26"/>
        <v>37.5</v>
      </c>
      <c r="L95" s="45" t="e">
        <f t="shared" si="27"/>
        <v>#DIV/0!</v>
      </c>
      <c r="M95" s="92">
        <f t="shared" si="28"/>
        <v>0</v>
      </c>
      <c r="N95" s="92" t="e">
        <f t="shared" si="29"/>
        <v>#DIV/0!</v>
      </c>
    </row>
    <row r="96" spans="8:14" ht="12.75">
      <c r="H96" s="74">
        <v>5</v>
      </c>
      <c r="I96" s="72" t="s">
        <v>5</v>
      </c>
      <c r="J96" s="72">
        <v>37.5</v>
      </c>
      <c r="K96" s="72">
        <f t="shared" si="26"/>
        <v>42.5</v>
      </c>
      <c r="L96" s="45" t="e">
        <f t="shared" si="27"/>
        <v>#DIV/0!</v>
      </c>
      <c r="M96" s="92">
        <f t="shared" si="28"/>
        <v>0</v>
      </c>
      <c r="N96" s="92" t="e">
        <f t="shared" si="29"/>
        <v>#DIV/0!</v>
      </c>
    </row>
    <row r="97" spans="8:14" ht="12.75">
      <c r="H97" s="74">
        <v>6</v>
      </c>
      <c r="I97" s="72" t="s">
        <v>6</v>
      </c>
      <c r="J97" s="72">
        <v>42.5</v>
      </c>
      <c r="K97" s="72">
        <f t="shared" si="26"/>
        <v>47.5</v>
      </c>
      <c r="L97" s="56" t="e">
        <f t="shared" si="27"/>
        <v>#DIV/0!</v>
      </c>
      <c r="M97" s="92">
        <f t="shared" si="28"/>
        <v>0</v>
      </c>
      <c r="N97" s="92" t="e">
        <f t="shared" si="29"/>
        <v>#DIV/0!</v>
      </c>
    </row>
    <row r="98" spans="8:14" ht="12.75">
      <c r="H98" s="74">
        <v>7</v>
      </c>
      <c r="I98" s="72" t="s">
        <v>7</v>
      </c>
      <c r="J98" s="72">
        <v>47.5</v>
      </c>
      <c r="K98" s="72">
        <f t="shared" si="26"/>
        <v>52.5</v>
      </c>
      <c r="L98" s="56" t="e">
        <f t="shared" si="27"/>
        <v>#DIV/0!</v>
      </c>
      <c r="M98" s="92">
        <f t="shared" si="28"/>
        <v>0</v>
      </c>
      <c r="N98" s="92" t="e">
        <f t="shared" si="29"/>
        <v>#DIV/0!</v>
      </c>
    </row>
  </sheetData>
  <sheetProtection password="CDB6" sheet="1" objects="1" scenarios="1"/>
  <protectedRanges>
    <protectedRange sqref="D29:E35" name="Range1"/>
  </protectedRanges>
  <printOptions/>
  <pageMargins left="0.75" right="0.75" top="1" bottom="1" header="0.5" footer="0.5"/>
  <pageSetup horizontalDpi="600" verticalDpi="600" orientation="portrait" paperSize="9" r:id="rId15"/>
  <drawing r:id="rId14"/>
  <legacyDrawing r:id="rId13"/>
  <oleObjects>
    <oleObject progId="Equation.3" shapeId="54582368" r:id="rId2"/>
    <oleObject progId="Equation.3" shapeId="54582369" r:id="rId3"/>
    <oleObject progId="Equation.3" shapeId="54582370" r:id="rId4"/>
    <oleObject progId="Equation.3" shapeId="54582371" r:id="rId5"/>
    <oleObject progId="Equation.3" shapeId="54594089" r:id="rId6"/>
    <oleObject progId="Equation.3" shapeId="54597246" r:id="rId7"/>
    <oleObject progId="Equation.3" shapeId="54613930" r:id="rId8"/>
    <oleObject progId="Equation.3" shapeId="54616346" r:id="rId9"/>
    <oleObject progId="Equation.3" shapeId="54617163" r:id="rId10"/>
    <oleObject progId="Equation.3" shapeId="54667027" r:id="rId11"/>
    <oleObject progId="Equation.3" shapeId="54668147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tbh03</dc:creator>
  <cp:keywords/>
  <dc:description/>
  <cp:lastModifiedBy>tbh03</cp:lastModifiedBy>
  <cp:lastPrinted>2007-10-22T15:26:48Z</cp:lastPrinted>
  <dcterms:created xsi:type="dcterms:W3CDTF">2007-08-30T14:22:35Z</dcterms:created>
  <dcterms:modified xsi:type="dcterms:W3CDTF">2008-03-14T23:40:04Z</dcterms:modified>
  <cp:category/>
  <cp:version/>
  <cp:contentType/>
  <cp:contentStatus/>
</cp:coreProperties>
</file>