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ean/Desktop/For final review-conversion-upload/"/>
    </mc:Choice>
  </mc:AlternateContent>
  <xr:revisionPtr revIDLastSave="0" documentId="13_ncr:1_{BADBA23E-E9D5-8E49-B0B6-8B5BA1604048}" xr6:coauthVersionLast="47" xr6:coauthVersionMax="47" xr10:uidLastSave="{00000000-0000-0000-0000-000000000000}"/>
  <bookViews>
    <workbookView xWindow="1240" yWindow="1260" windowWidth="30580" windowHeight="19200" activeTab="10" xr2:uid="{00000000-000D-0000-FFFF-FFFF00000000}"/>
  </bookViews>
  <sheets>
    <sheet name="Fig 3O" sheetId="1" r:id="rId1"/>
    <sheet name="Fig 3P" sheetId="3" r:id="rId2"/>
    <sheet name="Fig 5O" sheetId="4" r:id="rId3"/>
    <sheet name="Fig 5P" sheetId="5" r:id="rId4"/>
    <sheet name="Fig 6V" sheetId="9" r:id="rId5"/>
    <sheet name="Figs 6W and 6X" sheetId="10" r:id="rId6"/>
    <sheet name="Fig 6Y" sheetId="11" r:id="rId7"/>
    <sheet name="Figs 6 Z and AA" sheetId="12" r:id="rId8"/>
    <sheet name="Figure 7M" sheetId="7" r:id="rId9"/>
    <sheet name="Fig 7N" sheetId="8" r:id="rId10"/>
    <sheet name="S6Q Fig " sheetId="6" r:id="rId11"/>
  </sheets>
  <definedNames>
    <definedName name="_xlnm.Print_Area" localSheetId="4">'Fig 6V'!$A$1:$D$35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2" l="1"/>
  <c r="C5" i="12"/>
  <c r="D5" i="12"/>
  <c r="E5" i="12" s="1"/>
  <c r="D6" i="12"/>
  <c r="E6" i="12" s="1"/>
  <c r="D7" i="12"/>
  <c r="E7" i="12"/>
  <c r="D10" i="12"/>
  <c r="E10" i="12" s="1"/>
  <c r="C11" i="12"/>
  <c r="D11" i="12"/>
  <c r="E11" i="12"/>
  <c r="C12" i="12"/>
  <c r="E12" i="12" s="1"/>
  <c r="D15" i="12"/>
  <c r="E15" i="12"/>
  <c r="D16" i="12"/>
  <c r="E16" i="12" s="1"/>
  <c r="D17" i="12"/>
  <c r="E17" i="12"/>
  <c r="E19" i="12"/>
  <c r="E20" i="12"/>
  <c r="D21" i="12"/>
  <c r="E21" i="12"/>
  <c r="D24" i="12"/>
  <c r="E24" i="12" s="1"/>
  <c r="D25" i="12"/>
  <c r="E25" i="12"/>
  <c r="E26" i="12"/>
  <c r="D28" i="12"/>
  <c r="E28" i="12"/>
  <c r="E29" i="12"/>
  <c r="D30" i="12"/>
  <c r="E30" i="12" s="1"/>
  <c r="D32" i="12"/>
  <c r="E32" i="12"/>
  <c r="D33" i="12"/>
  <c r="E33" i="12" s="1"/>
  <c r="D34" i="12"/>
  <c r="E34" i="12"/>
  <c r="D36" i="12"/>
  <c r="E36" i="12" s="1"/>
  <c r="D37" i="12"/>
  <c r="E37" i="12"/>
  <c r="D38" i="12"/>
  <c r="E38" i="12" s="1"/>
  <c r="E3" i="11" l="1"/>
  <c r="G3" i="11"/>
  <c r="E4" i="11"/>
  <c r="G4" i="11"/>
  <c r="G5" i="11"/>
  <c r="E6" i="11"/>
  <c r="G6" i="11" s="1"/>
  <c r="E7" i="11"/>
  <c r="G7" i="11" s="1"/>
  <c r="G8" i="11"/>
  <c r="G10" i="11"/>
  <c r="G11" i="11"/>
  <c r="E12" i="11"/>
  <c r="G12" i="11" s="1"/>
  <c r="E14" i="11"/>
  <c r="G14" i="11"/>
  <c r="E15" i="11"/>
  <c r="G15" i="11" s="1"/>
  <c r="G16" i="11"/>
  <c r="E17" i="11"/>
  <c r="G17" i="11" s="1"/>
  <c r="E19" i="11"/>
  <c r="G19" i="11"/>
  <c r="G20" i="11"/>
  <c r="E21" i="11"/>
  <c r="G21" i="11" s="1"/>
  <c r="E23" i="11"/>
  <c r="G23" i="11"/>
  <c r="G24" i="11"/>
  <c r="G25" i="11"/>
  <c r="G26" i="11"/>
  <c r="E28" i="11"/>
  <c r="G28" i="11" s="1"/>
  <c r="G29" i="11"/>
  <c r="E30" i="11"/>
  <c r="G30" i="11"/>
  <c r="E33" i="11"/>
  <c r="G33" i="11" s="1"/>
  <c r="E34" i="11"/>
  <c r="G34" i="11"/>
  <c r="G35" i="11"/>
  <c r="E3" i="10"/>
  <c r="I3" i="10"/>
  <c r="K3" i="10"/>
  <c r="E4" i="10"/>
  <c r="I4" i="10"/>
  <c r="K4" i="10"/>
  <c r="E5" i="10"/>
  <c r="K5" i="10" s="1"/>
  <c r="I5" i="10"/>
  <c r="E6" i="10"/>
  <c r="K6" i="10" s="1"/>
  <c r="I6" i="10"/>
  <c r="E7" i="10"/>
  <c r="K7" i="10" s="1"/>
  <c r="I7" i="10"/>
  <c r="E8" i="10"/>
  <c r="K8" i="10" s="1"/>
  <c r="I8" i="10"/>
  <c r="I11" i="10"/>
  <c r="K11" i="10"/>
  <c r="E12" i="10"/>
  <c r="I12" i="10"/>
  <c r="K12" i="10"/>
  <c r="I13" i="10"/>
  <c r="K13" i="10"/>
  <c r="E16" i="10"/>
  <c r="I16" i="10"/>
  <c r="K16" i="10"/>
  <c r="E17" i="10"/>
  <c r="I17" i="10"/>
  <c r="K17" i="10"/>
  <c r="E18" i="10"/>
  <c r="I18" i="10"/>
  <c r="K18" i="10"/>
  <c r="E21" i="10"/>
  <c r="I21" i="10"/>
  <c r="K21" i="10"/>
  <c r="E22" i="10"/>
  <c r="I22" i="10"/>
  <c r="K22" i="10"/>
  <c r="I23" i="10"/>
  <c r="K23" i="10"/>
  <c r="E24" i="10"/>
  <c r="I24" i="10"/>
  <c r="K24" i="10"/>
  <c r="E25" i="10"/>
  <c r="I25" i="10"/>
  <c r="K25" i="10"/>
  <c r="E26" i="10"/>
  <c r="K26" i="10" s="1"/>
  <c r="I26" i="10"/>
  <c r="E29" i="10"/>
  <c r="I29" i="10"/>
  <c r="K29" i="10"/>
  <c r="E30" i="10"/>
  <c r="I30" i="10"/>
  <c r="K30" i="10"/>
  <c r="E31" i="10"/>
  <c r="K31" i="10" s="1"/>
  <c r="I31" i="10"/>
  <c r="E34" i="10"/>
  <c r="K34" i="10" s="1"/>
  <c r="I34" i="10"/>
  <c r="E35" i="10"/>
  <c r="I35" i="10"/>
  <c r="K35" i="10"/>
  <c r="E36" i="10"/>
  <c r="I36" i="10"/>
  <c r="K36" i="10"/>
  <c r="E37" i="10"/>
  <c r="I37" i="10"/>
  <c r="K37" i="10"/>
  <c r="E40" i="10"/>
  <c r="I40" i="10"/>
  <c r="K40" i="10"/>
  <c r="E41" i="10"/>
  <c r="I41" i="10"/>
  <c r="K41" i="10"/>
  <c r="E42" i="10"/>
  <c r="I42" i="10"/>
  <c r="K42" i="10"/>
  <c r="F3" i="9"/>
  <c r="F4" i="9"/>
  <c r="F5" i="9"/>
  <c r="F6" i="9"/>
  <c r="F7" i="9"/>
  <c r="F8" i="9"/>
  <c r="F10" i="9"/>
  <c r="F11" i="9"/>
  <c r="F12" i="9"/>
  <c r="F14" i="9"/>
  <c r="F15" i="9"/>
  <c r="F16" i="9"/>
  <c r="F18" i="9"/>
  <c r="F19" i="9"/>
  <c r="F20" i="9"/>
  <c r="F21" i="9"/>
  <c r="F22" i="9"/>
  <c r="F23" i="9"/>
  <c r="F25" i="9"/>
  <c r="F26" i="9"/>
  <c r="F27" i="9"/>
  <c r="F29" i="9"/>
  <c r="F30" i="9"/>
  <c r="F31" i="9"/>
  <c r="F32" i="9"/>
  <c r="F34" i="9"/>
  <c r="F35" i="9"/>
  <c r="F36" i="9"/>
  <c r="E3" i="8" l="1"/>
  <c r="E4" i="8"/>
  <c r="E5" i="8"/>
  <c r="D8" i="8"/>
  <c r="E8" i="8"/>
  <c r="E9" i="8"/>
  <c r="D10" i="8"/>
  <c r="E10" i="8"/>
  <c r="E13" i="8"/>
  <c r="E14" i="8"/>
  <c r="E15" i="8"/>
  <c r="E18" i="8"/>
  <c r="E19" i="8"/>
  <c r="E20" i="8"/>
  <c r="D23" i="8"/>
  <c r="E23" i="8"/>
  <c r="D24" i="8"/>
  <c r="E24" i="8" s="1"/>
  <c r="D25" i="8"/>
  <c r="E25" i="8"/>
  <c r="E28" i="8"/>
  <c r="E29" i="8"/>
  <c r="D30" i="8"/>
  <c r="E30" i="8"/>
  <c r="E3" i="7"/>
  <c r="D4" i="7"/>
  <c r="E4" i="7" s="1"/>
  <c r="E5" i="7"/>
  <c r="D9" i="7"/>
  <c r="E9" i="7"/>
  <c r="E10" i="7"/>
  <c r="D11" i="7"/>
  <c r="E11" i="7" s="1"/>
  <c r="D15" i="7"/>
  <c r="E15" i="7" s="1"/>
  <c r="D16" i="7"/>
  <c r="E16" i="7" s="1"/>
  <c r="D17" i="7"/>
  <c r="E17" i="7" s="1"/>
  <c r="D20" i="7"/>
  <c r="E20" i="7" s="1"/>
  <c r="E21" i="7"/>
  <c r="E22" i="7"/>
  <c r="D26" i="7"/>
  <c r="E26" i="7" s="1"/>
  <c r="D27" i="7"/>
  <c r="E27" i="7"/>
  <c r="D28" i="7"/>
  <c r="E28" i="7" s="1"/>
  <c r="E33" i="7"/>
  <c r="E34" i="7"/>
  <c r="D35" i="7"/>
  <c r="E35" i="7" s="1"/>
  <c r="I4" i="6"/>
  <c r="I5" i="6"/>
  <c r="I6" i="6"/>
  <c r="I7" i="6"/>
  <c r="I8" i="6"/>
  <c r="I9" i="6"/>
  <c r="I11" i="6"/>
  <c r="I12" i="6"/>
  <c r="I13" i="6"/>
  <c r="I14" i="6"/>
  <c r="I16" i="6"/>
  <c r="I17" i="6"/>
  <c r="I18" i="6"/>
  <c r="I20" i="6"/>
  <c r="I21" i="6"/>
  <c r="I22" i="6"/>
  <c r="I23" i="6"/>
  <c r="I24" i="6"/>
  <c r="I26" i="6"/>
  <c r="I27" i="6"/>
  <c r="I28" i="6"/>
  <c r="I29" i="6"/>
  <c r="I30" i="6"/>
  <c r="I32" i="6"/>
  <c r="E3" i="5" l="1"/>
  <c r="F3" i="5"/>
  <c r="H3" i="5" s="1"/>
  <c r="G3" i="5"/>
  <c r="E4" i="5"/>
  <c r="F4" i="5"/>
  <c r="H4" i="5" s="1"/>
  <c r="I4" i="5" s="1"/>
  <c r="G4" i="5"/>
  <c r="E5" i="5"/>
  <c r="F5" i="5"/>
  <c r="H5" i="5" s="1"/>
  <c r="I5" i="5" s="1"/>
  <c r="G5" i="5"/>
  <c r="E6" i="5"/>
  <c r="G6" i="5"/>
  <c r="H6" i="5" s="1"/>
  <c r="I6" i="5" s="1"/>
  <c r="E7" i="5"/>
  <c r="F7" i="5"/>
  <c r="H7" i="5" s="1"/>
  <c r="G7" i="5"/>
  <c r="E8" i="5"/>
  <c r="F8" i="5"/>
  <c r="H8" i="5" s="1"/>
  <c r="I8" i="5" s="1"/>
  <c r="G8" i="5"/>
  <c r="E9" i="5"/>
  <c r="F9" i="5"/>
  <c r="G9" i="5"/>
  <c r="H9" i="5" s="1"/>
  <c r="I9" i="5" s="1"/>
  <c r="E12" i="5"/>
  <c r="F12" i="5"/>
  <c r="G12" i="5"/>
  <c r="H12" i="5"/>
  <c r="I12" i="5" s="1"/>
  <c r="E13" i="5"/>
  <c r="F13" i="5"/>
  <c r="G13" i="5"/>
  <c r="H13" i="5" s="1"/>
  <c r="E14" i="5"/>
  <c r="F14" i="5"/>
  <c r="H14" i="5" s="1"/>
  <c r="G14" i="5"/>
  <c r="E17" i="5"/>
  <c r="F17" i="5"/>
  <c r="H17" i="5" s="1"/>
  <c r="I17" i="5" s="1"/>
  <c r="G17" i="5"/>
  <c r="E18" i="5"/>
  <c r="F18" i="5"/>
  <c r="G18" i="5"/>
  <c r="H18" i="5" s="1"/>
  <c r="I18" i="5" s="1"/>
  <c r="E19" i="5"/>
  <c r="F19" i="5"/>
  <c r="G19" i="5"/>
  <c r="H19" i="5" s="1"/>
  <c r="I19" i="5" s="1"/>
  <c r="E22" i="5"/>
  <c r="G22" i="5"/>
  <c r="H22" i="5" s="1"/>
  <c r="E23" i="5"/>
  <c r="F23" i="5"/>
  <c r="G23" i="5"/>
  <c r="E24" i="5"/>
  <c r="F24" i="5"/>
  <c r="G24" i="5"/>
  <c r="E25" i="5"/>
  <c r="F25" i="5"/>
  <c r="H25" i="5" s="1"/>
  <c r="I25" i="5" s="1"/>
  <c r="E28" i="5"/>
  <c r="F28" i="5"/>
  <c r="H28" i="5" s="1"/>
  <c r="I28" i="5" s="1"/>
  <c r="E29" i="5"/>
  <c r="F29" i="5"/>
  <c r="H29" i="5" s="1"/>
  <c r="I29" i="5" s="1"/>
  <c r="E30" i="5"/>
  <c r="I30" i="5" s="1"/>
  <c r="H30" i="5"/>
  <c r="E33" i="5"/>
  <c r="H33" i="5"/>
  <c r="I33" i="5" s="1"/>
  <c r="E34" i="5"/>
  <c r="F34" i="5"/>
  <c r="G34" i="5"/>
  <c r="E35" i="5"/>
  <c r="F35" i="5"/>
  <c r="H35" i="5" s="1"/>
  <c r="E38" i="5"/>
  <c r="H38" i="5"/>
  <c r="E39" i="5"/>
  <c r="F39" i="5"/>
  <c r="H39" i="5" s="1"/>
  <c r="G39" i="5"/>
  <c r="E40" i="5"/>
  <c r="H40" i="5"/>
  <c r="I40" i="5" s="1"/>
  <c r="E41" i="5"/>
  <c r="H41" i="5"/>
  <c r="E3" i="4"/>
  <c r="F3" i="4"/>
  <c r="G3" i="4"/>
  <c r="H3" i="4"/>
  <c r="I3" i="4"/>
  <c r="E4" i="4"/>
  <c r="F4" i="4"/>
  <c r="G4" i="4"/>
  <c r="H4" i="4"/>
  <c r="I4" i="4" s="1"/>
  <c r="E5" i="4"/>
  <c r="G5" i="4"/>
  <c r="H5" i="4"/>
  <c r="I5" i="4" s="1"/>
  <c r="E6" i="4"/>
  <c r="F6" i="4"/>
  <c r="G6" i="4"/>
  <c r="H6" i="4" s="1"/>
  <c r="I6" i="4" s="1"/>
  <c r="E7" i="4"/>
  <c r="F7" i="4"/>
  <c r="H7" i="4" s="1"/>
  <c r="I7" i="4" s="1"/>
  <c r="G7" i="4"/>
  <c r="E8" i="4"/>
  <c r="F8" i="4"/>
  <c r="H8" i="4" s="1"/>
  <c r="I8" i="4" s="1"/>
  <c r="G8" i="4"/>
  <c r="E9" i="4"/>
  <c r="H9" i="4"/>
  <c r="I9" i="4" s="1"/>
  <c r="E12" i="4"/>
  <c r="F12" i="4"/>
  <c r="H12" i="4" s="1"/>
  <c r="I12" i="4" s="1"/>
  <c r="G12" i="4"/>
  <c r="E13" i="4"/>
  <c r="F13" i="4"/>
  <c r="G13" i="4"/>
  <c r="H13" i="4"/>
  <c r="I13" i="4" s="1"/>
  <c r="E14" i="4"/>
  <c r="F14" i="4"/>
  <c r="G14" i="4"/>
  <c r="H14" i="4" s="1"/>
  <c r="I14" i="4" s="1"/>
  <c r="E17" i="4"/>
  <c r="F17" i="4"/>
  <c r="H17" i="4" s="1"/>
  <c r="I17" i="4" s="1"/>
  <c r="G17" i="4"/>
  <c r="E18" i="4"/>
  <c r="F18" i="4"/>
  <c r="G18" i="4"/>
  <c r="H18" i="4"/>
  <c r="I18" i="4"/>
  <c r="E19" i="4"/>
  <c r="F19" i="4"/>
  <c r="G19" i="4"/>
  <c r="H19" i="4"/>
  <c r="I19" i="4" s="1"/>
  <c r="E22" i="4"/>
  <c r="F22" i="4"/>
  <c r="G22" i="4"/>
  <c r="H22" i="4" s="1"/>
  <c r="I22" i="4" s="1"/>
  <c r="E23" i="4"/>
  <c r="F23" i="4"/>
  <c r="H23" i="4" s="1"/>
  <c r="I23" i="4" s="1"/>
  <c r="G23" i="4"/>
  <c r="E24" i="4"/>
  <c r="I24" i="4" s="1"/>
  <c r="H24" i="4"/>
  <c r="E27" i="4"/>
  <c r="H27" i="4"/>
  <c r="I27" i="4" s="1"/>
  <c r="E28" i="4"/>
  <c r="H28" i="4"/>
  <c r="I28" i="4"/>
  <c r="E29" i="4"/>
  <c r="F29" i="4"/>
  <c r="H29" i="4" s="1"/>
  <c r="I29" i="4" s="1"/>
  <c r="E32" i="4"/>
  <c r="F32" i="4"/>
  <c r="H32" i="4" s="1"/>
  <c r="I32" i="4" s="1"/>
  <c r="E33" i="4"/>
  <c r="F33" i="4"/>
  <c r="G33" i="4"/>
  <c r="H33" i="4"/>
  <c r="I33" i="4" s="1"/>
  <c r="E34" i="4"/>
  <c r="F34" i="4"/>
  <c r="H34" i="4"/>
  <c r="I34" i="4" s="1"/>
  <c r="E37" i="4"/>
  <c r="G37" i="4"/>
  <c r="H37" i="4"/>
  <c r="I37" i="4" s="1"/>
  <c r="E38" i="4"/>
  <c r="F38" i="4"/>
  <c r="G38" i="4"/>
  <c r="H38" i="4" s="1"/>
  <c r="I38" i="4" s="1"/>
  <c r="E39" i="4"/>
  <c r="F39" i="4"/>
  <c r="H39" i="4" s="1"/>
  <c r="I39" i="4" s="1"/>
  <c r="G39" i="4"/>
  <c r="E40" i="4"/>
  <c r="I40" i="4" s="1"/>
  <c r="H40" i="4"/>
  <c r="E41" i="4"/>
  <c r="H41" i="4"/>
  <c r="I41" i="4" s="1"/>
  <c r="H23" i="5" l="1"/>
  <c r="I23" i="5" s="1"/>
  <c r="I38" i="5"/>
  <c r="I3" i="5"/>
  <c r="H24" i="5"/>
  <c r="I24" i="5" s="1"/>
  <c r="I13" i="5"/>
  <c r="I41" i="5"/>
  <c r="H34" i="5"/>
  <c r="I34" i="5" s="1"/>
  <c r="I22" i="5"/>
  <c r="I39" i="5"/>
  <c r="I35" i="5"/>
  <c r="I14" i="5"/>
  <c r="I7" i="5"/>
</calcChain>
</file>

<file path=xl/sharedStrings.xml><?xml version="1.0" encoding="utf-8"?>
<sst xmlns="http://schemas.openxmlformats.org/spreadsheetml/2006/main" count="342" uniqueCount="232">
  <si>
    <t>Control</t>
  </si>
  <si>
    <t>Rx Rbpj</t>
  </si>
  <si>
    <t>Rx dnM</t>
  </si>
  <si>
    <t>Rx TKO</t>
  </si>
  <si>
    <t>Chx Rbpj</t>
  </si>
  <si>
    <t>Chx dnM</t>
  </si>
  <si>
    <t>Chx TKO</t>
  </si>
  <si>
    <t>ChxTKO</t>
  </si>
  <si>
    <t>ChxdnM</t>
  </si>
  <si>
    <t>ChxRbpj</t>
  </si>
  <si>
    <t>RxTKO</t>
  </si>
  <si>
    <t>RxdnM</t>
  </si>
  <si>
    <t>RxRbpj</t>
  </si>
  <si>
    <t>Pax2+Pax6+ cells at ONH boundaries</t>
  </si>
  <si>
    <t>Pax2+ cells in ONH</t>
  </si>
  <si>
    <t>Average Area Traces/ sec</t>
  </si>
  <si>
    <t>Average # Positive cells/ sec</t>
  </si>
  <si>
    <t>68-3 sl11 se1and se2</t>
  </si>
  <si>
    <t xml:space="preserve">65-3 sl13 se2 se3 </t>
  </si>
  <si>
    <t>35.6 sl3 se1 and sl4 se1</t>
  </si>
  <si>
    <t>35.7 sl 11 se2 and se3</t>
  </si>
  <si>
    <t>35.7 sl10 se2 and se3</t>
  </si>
  <si>
    <t xml:space="preserve">Chx10 Hes1ff Hes3-5KO </t>
  </si>
  <si>
    <t xml:space="preserve">74-6 sl4 se2 and se3 </t>
  </si>
  <si>
    <t>31-5 sl15 se2 and se3</t>
  </si>
  <si>
    <t>31-3 sl5 se2 and sl16 se1</t>
  </si>
  <si>
    <t>Chx10 dnM</t>
  </si>
  <si>
    <t>7-11 sl16 se3 and sl20 se2</t>
  </si>
  <si>
    <t>7.6 sl32 se1 and sl37 se2</t>
  </si>
  <si>
    <t>7-1 sl21 se3 and sl13 se2</t>
  </si>
  <si>
    <t>Chx10 RBPJ f/f</t>
  </si>
  <si>
    <t>10.1 sl4 se1 and se2</t>
  </si>
  <si>
    <t>9.8 sl10 se1 and se3</t>
  </si>
  <si>
    <t>9.4 sl9 se1 and se3</t>
  </si>
  <si>
    <t>RaxCreHes1ff Hes3-5Ko</t>
  </si>
  <si>
    <t>81-2 sl12 se2 and se3</t>
  </si>
  <si>
    <t>81-1 sl2 se2 and se3</t>
  </si>
  <si>
    <t>24-2 sl14 se2 and sl7 se3</t>
  </si>
  <si>
    <t>RaxCre dnM</t>
  </si>
  <si>
    <t>83.4 sl3 se2 and other eye</t>
  </si>
  <si>
    <t>26.4 sl15 se2 and other eye</t>
  </si>
  <si>
    <t>7.4 sl15 se2 and sl20 se2</t>
  </si>
  <si>
    <t>RaxCre Rbpj</t>
  </si>
  <si>
    <t>80.9 sl1 se1 and sl2 se2</t>
  </si>
  <si>
    <t>65.2 sl21 se1 and se3</t>
  </si>
  <si>
    <t>35.11 sl4 se2 and sl5 se2</t>
  </si>
  <si>
    <t>31-2 sl7 se2 and s2 other eye</t>
  </si>
  <si>
    <t>31-1 sl17 se2 and se3</t>
  </si>
  <si>
    <t>24-1 sl3 se2 and se3</t>
  </si>
  <si>
    <t>7.2 sl13 se1 and sl16 se1</t>
  </si>
  <si>
    <t xml:space="preserve">cells per 10000 um2 </t>
  </si>
  <si>
    <t>Retinal Area sec2</t>
  </si>
  <si>
    <t>Retinal Area sec1</t>
  </si>
  <si>
    <t>sec/replicate</t>
  </si>
  <si>
    <t>Chx10 RBPJ F/+</t>
  </si>
  <si>
    <t>GENOTYPE</t>
  </si>
  <si>
    <t>Ph3 CELL COUNTS</t>
  </si>
  <si>
    <t>Average Traces/ sec</t>
  </si>
  <si>
    <t>Average # Positive cells/sec</t>
  </si>
  <si>
    <t xml:space="preserve">68-3 sl11se1 and  se2 </t>
  </si>
  <si>
    <t>65-3 sl13 se2 and 3</t>
  </si>
  <si>
    <t>35-7 sl11 se2 and 3</t>
  </si>
  <si>
    <t>35.6 sl22 se2 and sl23 se2</t>
  </si>
  <si>
    <t>74-6 sl4 se2 and 3</t>
  </si>
  <si>
    <t xml:space="preserve">31-5 sl15 se2 and se3 </t>
  </si>
  <si>
    <t>31-3  sl5 se2 and sl16 se1</t>
  </si>
  <si>
    <t>7.6 sl32 se1 and sl20 se2</t>
  </si>
  <si>
    <t>7-1 sl11 se1 and sl13 se2</t>
  </si>
  <si>
    <t>11-2 sl9 se2 and sl18 se2</t>
  </si>
  <si>
    <t>11-5 sl11 se1 and se2</t>
  </si>
  <si>
    <t>9.8 sl7 se1 and se2</t>
  </si>
  <si>
    <t>9-4 sl6 se1 and se3</t>
  </si>
  <si>
    <t>10.2 sl11 se1 and sl12 se1</t>
  </si>
  <si>
    <t>11-6 sl3 se1 and sl4 se3</t>
  </si>
  <si>
    <t>65.2 sl9 se1 and 2</t>
  </si>
  <si>
    <t>31-4 sl12 se2 &amp; se3</t>
  </si>
  <si>
    <t>31-2 sl7 se2 other eye &amp; sl7 se2</t>
  </si>
  <si>
    <t>24-1 sl3 se2 &amp;  se3</t>
  </si>
  <si>
    <t>7.2 sl13  se1 and sl16 se1</t>
  </si>
  <si>
    <t xml:space="preserve">sec/REPLICATE </t>
  </si>
  <si>
    <t>Controls</t>
  </si>
  <si>
    <t>cPARP CELL COUNTS</t>
  </si>
  <si>
    <t>19-3</t>
  </si>
  <si>
    <t>Rx H1Mut E17</t>
  </si>
  <si>
    <t>19-2</t>
  </si>
  <si>
    <t xml:space="preserve">19-2 </t>
  </si>
  <si>
    <t>12--4</t>
  </si>
  <si>
    <t>RxH1 Mut E17</t>
  </si>
  <si>
    <t>Rx H1 Mut E17</t>
  </si>
  <si>
    <t>19-4</t>
  </si>
  <si>
    <t>RxH1 Het con E17</t>
  </si>
  <si>
    <t>19-1</t>
  </si>
  <si>
    <t>rxH1 Het con E17</t>
  </si>
  <si>
    <t>RxH1Het con E17</t>
  </si>
  <si>
    <t>12--1</t>
  </si>
  <si>
    <t>Con E17</t>
  </si>
  <si>
    <t xml:space="preserve">Con E17 </t>
  </si>
  <si>
    <t>rods/Crx</t>
  </si>
  <si>
    <t>Double+</t>
  </si>
  <si>
    <t>Nr2e3</t>
  </si>
  <si>
    <t>Crx</t>
  </si>
  <si>
    <t>section</t>
  </si>
  <si>
    <t>slide</t>
  </si>
  <si>
    <t>Animal #</t>
  </si>
  <si>
    <t>Genotype</t>
  </si>
  <si>
    <t>Rods =</t>
  </si>
  <si>
    <t>60-2 sl9 se2</t>
  </si>
  <si>
    <t>11.2 sl12 se2</t>
  </si>
  <si>
    <t xml:space="preserve">10.1 sl2 se3 </t>
  </si>
  <si>
    <t>Rax-Cre; Hes1ff; Hes3-5KO</t>
  </si>
  <si>
    <t>60-1 sl13 se2</t>
  </si>
  <si>
    <t xml:space="preserve">11.4 sl9 se2 </t>
  </si>
  <si>
    <t>10.5 sl8 se2</t>
  </si>
  <si>
    <t>Rax-Cre; Hes1ff; Hes3-5+/-</t>
  </si>
  <si>
    <t>8.2 sl13 se1</t>
  </si>
  <si>
    <t>8.1 sl10 se2</t>
  </si>
  <si>
    <t>82.3 sl5 se2</t>
  </si>
  <si>
    <t>Rax-Cre Hes1ff</t>
  </si>
  <si>
    <t>81.2 sl17 se2</t>
  </si>
  <si>
    <t>81.1 sl15 se2</t>
  </si>
  <si>
    <t>24-2 sl12 se2</t>
  </si>
  <si>
    <t>Rax-Cre dnM</t>
  </si>
  <si>
    <t>83-4 sl8 se3</t>
  </si>
  <si>
    <t>26.4 (no ONH) sl5 se3</t>
  </si>
  <si>
    <t>7.4 sl16 se2</t>
  </si>
  <si>
    <t>Rax-Cre Rbpjff</t>
  </si>
  <si>
    <t>26.3 sl3 se2 plane 2</t>
  </si>
  <si>
    <t>65.2 sl18 se1</t>
  </si>
  <si>
    <t>7.1 sl11 se3</t>
  </si>
  <si>
    <t>cells per 10000 um2</t>
  </si>
  <si>
    <t>Area Traces (um2)</t>
  </si>
  <si>
    <t>Positive Cells</t>
  </si>
  <si>
    <t>Replicate</t>
  </si>
  <si>
    <t>E13 Blimp1/Prdm1</t>
  </si>
  <si>
    <t>60-2 sl7 se2</t>
  </si>
  <si>
    <t>10.1 sl2 se3</t>
  </si>
  <si>
    <t>60-1 sl se2</t>
  </si>
  <si>
    <t xml:space="preserve">11.4 sl4 se2 </t>
  </si>
  <si>
    <t xml:space="preserve">10.5 sl9 se2 </t>
  </si>
  <si>
    <t>26.4 (no ONH) sl4 se3</t>
  </si>
  <si>
    <t>7.4 sl17 se2</t>
  </si>
  <si>
    <t xml:space="preserve">65.2 sl13 se2 </t>
  </si>
  <si>
    <t>26.3 sl3 s2 se3 plane2</t>
  </si>
  <si>
    <t>7.1 sl14 se3</t>
  </si>
  <si>
    <t>Ptf1a+ cells</t>
  </si>
  <si>
    <t>E13 Ptf1a</t>
  </si>
  <si>
    <t>80.9sl15se3</t>
  </si>
  <si>
    <t>65.3 sl11</t>
  </si>
  <si>
    <t>Chx10 H1-3-5</t>
  </si>
  <si>
    <t>71.8 sl6 se3</t>
  </si>
  <si>
    <t>71.8 sl1se2</t>
  </si>
  <si>
    <t>31.3 sl2se3</t>
  </si>
  <si>
    <t>74.6 sl7se2</t>
  </si>
  <si>
    <t>chx dnM</t>
  </si>
  <si>
    <t>7.6 sl18se2</t>
  </si>
  <si>
    <t>7.11 sl17 se2</t>
  </si>
  <si>
    <t>7.1 sl25se3</t>
  </si>
  <si>
    <t>Chx10Rbpjff</t>
  </si>
  <si>
    <t>60.2 sl14se1</t>
  </si>
  <si>
    <t>11.7 sl9se2</t>
  </si>
  <si>
    <t>11.7 sl9se1</t>
  </si>
  <si>
    <t>9.8 sl12se3</t>
  </si>
  <si>
    <t>9.4sl10se3</t>
  </si>
  <si>
    <t>Rx H1-3-5</t>
  </si>
  <si>
    <t>81.2 sl13 se3</t>
  </si>
  <si>
    <t>81.2 sl13 se2</t>
  </si>
  <si>
    <t>81.1 sl8se2</t>
  </si>
  <si>
    <t>rax dmM</t>
  </si>
  <si>
    <t>87.1 sl3se2</t>
  </si>
  <si>
    <t>83.4sl1se2</t>
  </si>
  <si>
    <t>7.4 sl12se2</t>
  </si>
  <si>
    <t>RaxRbpjff</t>
  </si>
  <si>
    <t>31.4 sl13</t>
  </si>
  <si>
    <t>65.7sl16se3</t>
  </si>
  <si>
    <t>65.7 sl16se1</t>
  </si>
  <si>
    <t>70.2 sl17se3</t>
  </si>
  <si>
    <t>65.2 sl11</t>
  </si>
  <si>
    <t>Atoh7+ cells</t>
  </si>
  <si>
    <t>E13 Atoh7</t>
  </si>
  <si>
    <t>65.7 sl16sec3</t>
  </si>
  <si>
    <t>65.7sl16se1</t>
  </si>
  <si>
    <t>Dbl+ per area</t>
  </si>
  <si>
    <t>Otx2+ per area</t>
  </si>
  <si>
    <t>AREA um2</t>
  </si>
  <si>
    <t>Double +</t>
  </si>
  <si>
    <t xml:space="preserve">Atoh7+ </t>
  </si>
  <si>
    <t>Otx2 retina</t>
  </si>
  <si>
    <t>65.13 sl11se3</t>
  </si>
  <si>
    <t>Chx H triple</t>
  </si>
  <si>
    <t>74-6 l7se2</t>
  </si>
  <si>
    <t>31-3 sl7se2</t>
  </si>
  <si>
    <t>31.5 sl13 se3</t>
  </si>
  <si>
    <t>7.6 sl12se3</t>
  </si>
  <si>
    <t>7.3 sl17sec3</t>
  </si>
  <si>
    <t>7.3 sl17se2</t>
  </si>
  <si>
    <t>7-6 sl34xe1</t>
  </si>
  <si>
    <t>Chx10 Rbpjff</t>
  </si>
  <si>
    <t>9.8 sl15</t>
  </si>
  <si>
    <t>70.7 sl3</t>
  </si>
  <si>
    <t>Rx H triple</t>
  </si>
  <si>
    <t>81.1 sl3se2</t>
  </si>
  <si>
    <t>81.1 sl3se3</t>
  </si>
  <si>
    <t>81-2 sl3se3</t>
  </si>
  <si>
    <t>24-2 sl10se3</t>
  </si>
  <si>
    <t>7.4 sl9 se2</t>
  </si>
  <si>
    <t>83.4 sl14se1</t>
  </si>
  <si>
    <t>83.4 sl7se2</t>
  </si>
  <si>
    <t>Rx Rbpj ff</t>
  </si>
  <si>
    <t>10.2 sl7se1</t>
  </si>
  <si>
    <t>24-1 sl7se2</t>
  </si>
  <si>
    <t>11.6 sl16</t>
  </si>
  <si>
    <t>35.11 sl19se1</t>
  </si>
  <si>
    <t>65.2 sl19se3</t>
  </si>
  <si>
    <t>26.3 sl2se2</t>
  </si>
  <si>
    <t>Cells per 10000 um2</t>
  </si>
  <si>
    <t>area traces (um2)</t>
  </si>
  <si>
    <t>Rbpms+</t>
  </si>
  <si>
    <t xml:space="preserve">Chx10-Cre; Hes1ff Hes3-5KO </t>
  </si>
  <si>
    <t>Chx10-Cre; dnM</t>
  </si>
  <si>
    <t>Chx10-Cre; RBPJ f/f</t>
  </si>
  <si>
    <t>RaxCre; Hes1ff Hes3-5Ko</t>
  </si>
  <si>
    <t>8.3 sl8 se2</t>
  </si>
  <si>
    <t>8.2 sl20 se2</t>
  </si>
  <si>
    <t>8.1 sl9 se2</t>
  </si>
  <si>
    <t xml:space="preserve">Rax-Cre Hes1ff </t>
  </si>
  <si>
    <t>24.2 sl10 se3</t>
  </si>
  <si>
    <t>RaxCre; dnM</t>
  </si>
  <si>
    <t>26.4 sl16 se2</t>
  </si>
  <si>
    <t>RaxCre; RbpjFF</t>
  </si>
  <si>
    <t>Cell counts</t>
  </si>
  <si>
    <t>Replicates</t>
  </si>
  <si>
    <t>E13.5 Crx Cell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</si>
</sst>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Helvetica"/>
      <family val="2"/>
    </font>
    <font>
      <sz val="12"/>
      <color theme="1"/>
      <name val="Helvetic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006100"/>
      <name val="Helvetica"/>
      <family val="2"/>
    </font>
    <font>
      <sz val="12"/>
      <color rgb="FF9C0006"/>
      <name val="Helvetica"/>
      <family val="2"/>
    </font>
    <font>
      <sz val="12"/>
      <color rgb="FF9C5700"/>
      <name val="Helvetica"/>
      <family val="2"/>
    </font>
    <font>
      <sz val="12"/>
      <color rgb="FF3F3F76"/>
      <name val="Helvetica"/>
      <family val="2"/>
    </font>
    <font>
      <b/>
      <sz val="12"/>
      <color rgb="FF3F3F3F"/>
      <name val="Helvetica"/>
      <family val="2"/>
    </font>
    <font>
      <b/>
      <sz val="12"/>
      <color rgb="FFFA7D00"/>
      <name val="Helvetica"/>
      <family val="2"/>
    </font>
    <font>
      <sz val="12"/>
      <color rgb="FFFA7D00"/>
      <name val="Helvetica"/>
      <family val="2"/>
    </font>
    <font>
      <b/>
      <sz val="12"/>
      <color theme="0"/>
      <name val="Helvetica"/>
      <family val="2"/>
    </font>
    <font>
      <sz val="12"/>
      <color rgb="FFFF0000"/>
      <name val="Helvetica"/>
      <family val="2"/>
    </font>
    <font>
      <i/>
      <sz val="12"/>
      <color rgb="FF7F7F7F"/>
      <name val="Helvetica"/>
      <family val="2"/>
    </font>
    <font>
      <b/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color theme="1"/>
      <name val="ArialMT"/>
      <family val="2"/>
    </font>
    <font>
      <u/>
      <sz val="10"/>
      <color theme="1"/>
      <name val="ArialMT"/>
      <family val="2"/>
    </font>
    <font>
      <sz val="12"/>
      <color theme="1"/>
      <name val="ArialMT"/>
      <family val="2"/>
    </font>
    <font>
      <sz val="10"/>
      <color theme="1"/>
      <name val="Arial"/>
      <family val="2"/>
    </font>
    <font>
      <b/>
      <u/>
      <sz val="10"/>
      <color theme="1"/>
      <name val="ArialMT"/>
    </font>
    <font>
      <b/>
      <sz val="12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2" fillId="0" borderId="0"/>
    <xf numFmtId="0" fontId="22" fillId="0" borderId="0"/>
  </cellStyleXfs>
  <cellXfs count="40">
    <xf numFmtId="0" fontId="0" fillId="0" borderId="0" xfId="0"/>
    <xf numFmtId="0" fontId="18" fillId="0" borderId="0" xfId="42"/>
    <xf numFmtId="0" fontId="19" fillId="0" borderId="0" xfId="42" applyFont="1" applyAlignment="1">
      <alignment horizontal="center"/>
    </xf>
    <xf numFmtId="0" fontId="19" fillId="0" borderId="0" xfId="42" applyFont="1"/>
    <xf numFmtId="0" fontId="20" fillId="0" borderId="0" xfId="42" applyFont="1"/>
    <xf numFmtId="0" fontId="21" fillId="0" borderId="0" xfId="42" applyFont="1"/>
    <xf numFmtId="0" fontId="22" fillId="0" borderId="0" xfId="43"/>
    <xf numFmtId="0" fontId="22" fillId="0" borderId="0" xfId="43" applyAlignment="1">
      <alignment horizontal="center"/>
    </xf>
    <xf numFmtId="0" fontId="22" fillId="33" borderId="0" xfId="43" applyFill="1" applyAlignment="1">
      <alignment horizontal="center"/>
    </xf>
    <xf numFmtId="0" fontId="22" fillId="33" borderId="0" xfId="43" applyFill="1"/>
    <xf numFmtId="16" fontId="22" fillId="0" borderId="0" xfId="43" applyNumberFormat="1" applyAlignment="1">
      <alignment horizontal="center"/>
    </xf>
    <xf numFmtId="0" fontId="23" fillId="33" borderId="0" xfId="43" applyFont="1" applyFill="1" applyAlignment="1">
      <alignment horizontal="center"/>
    </xf>
    <xf numFmtId="0" fontId="23" fillId="0" borderId="0" xfId="43" applyFont="1" applyAlignment="1">
      <alignment horizontal="center"/>
    </xf>
    <xf numFmtId="0" fontId="19" fillId="0" borderId="0" xfId="42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44" applyFont="1"/>
    <xf numFmtId="0" fontId="1" fillId="0" borderId="0" xfId="0" applyFont="1"/>
    <xf numFmtId="1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9" fillId="0" borderId="0" xfId="44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2" fillId="0" borderId="0" xfId="43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0" fontId="26" fillId="0" borderId="0" xfId="43" applyFont="1" applyAlignment="1">
      <alignment horizontal="left"/>
    </xf>
    <xf numFmtId="0" fontId="25" fillId="0" borderId="0" xfId="43" applyFont="1" applyAlignment="1">
      <alignment horizontal="center"/>
    </xf>
    <xf numFmtId="0" fontId="25" fillId="0" borderId="0" xfId="44" applyFont="1" applyAlignment="1">
      <alignment horizontal="center"/>
    </xf>
    <xf numFmtId="0" fontId="26" fillId="0" borderId="0" xfId="43" applyFont="1"/>
    <xf numFmtId="0" fontId="22" fillId="0" borderId="0" xfId="44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/>
    <xf numFmtId="0" fontId="18" fillId="0" borderId="0" xfId="42" applyAlignment="1">
      <alignment horizontal="right"/>
    </xf>
    <xf numFmtId="0" fontId="18" fillId="0" borderId="0" xfId="42" applyAlignment="1">
      <alignment horizontal="left"/>
    </xf>
    <xf numFmtId="0" fontId="19" fillId="0" borderId="0" xfId="42" applyFont="1" applyAlignment="1">
      <alignment horizontal="left"/>
    </xf>
    <xf numFmtId="0" fontId="20" fillId="0" borderId="0" xfId="42" applyFont="1" applyAlignment="1">
      <alignment horizontal="right"/>
    </xf>
    <xf numFmtId="0" fontId="27" fillId="0" borderId="0" xfId="42" applyFont="1" applyAlignment="1">
      <alignment horizontal="left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6694106-81B4-7B4F-B161-04180A6A3B3F}"/>
    <cellStyle name="Normal 2 2" xfId="44" xr:uid="{8A11C6D8-556C-3A4A-AD05-FD6BCD4BA50C}"/>
    <cellStyle name="Normal 3" xfId="43" xr:uid="{90F48408-7294-C548-919C-C08BA7C10C21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I1" sqref="I1"/>
    </sheetView>
  </sheetViews>
  <sheetFormatPr baseColWidth="10" defaultRowHeight="16"/>
  <sheetData>
    <row r="1" spans="1:7">
      <c r="A1" t="s">
        <v>14</v>
      </c>
    </row>
    <row r="3" spans="1: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5" spans="1:7">
      <c r="A5">
        <v>114</v>
      </c>
      <c r="B5">
        <v>158</v>
      </c>
      <c r="C5">
        <v>162</v>
      </c>
      <c r="D5">
        <v>70</v>
      </c>
      <c r="E5">
        <v>88</v>
      </c>
      <c r="F5">
        <v>115</v>
      </c>
      <c r="G5">
        <v>217</v>
      </c>
    </row>
    <row r="6" spans="1:7">
      <c r="A6">
        <v>136</v>
      </c>
      <c r="B6">
        <v>94</v>
      </c>
      <c r="C6">
        <v>159</v>
      </c>
      <c r="D6">
        <v>109</v>
      </c>
      <c r="E6">
        <v>177</v>
      </c>
      <c r="F6">
        <v>199</v>
      </c>
      <c r="G6">
        <v>248</v>
      </c>
    </row>
    <row r="7" spans="1:7">
      <c r="A7">
        <v>143</v>
      </c>
      <c r="B7">
        <v>107</v>
      </c>
      <c r="C7">
        <v>151</v>
      </c>
      <c r="D7">
        <v>112</v>
      </c>
      <c r="E7">
        <v>78</v>
      </c>
      <c r="F7">
        <v>132</v>
      </c>
      <c r="G7">
        <v>223</v>
      </c>
    </row>
    <row r="8" spans="1:7">
      <c r="A8">
        <v>83</v>
      </c>
      <c r="B8">
        <v>185</v>
      </c>
      <c r="E8">
        <v>69</v>
      </c>
      <c r="G8">
        <v>248</v>
      </c>
    </row>
    <row r="9" spans="1:7">
      <c r="A9">
        <v>152</v>
      </c>
      <c r="B9">
        <v>166</v>
      </c>
      <c r="E9">
        <v>146</v>
      </c>
    </row>
    <row r="10" spans="1:7">
      <c r="A10">
        <v>151</v>
      </c>
      <c r="B10">
        <v>109</v>
      </c>
    </row>
    <row r="11" spans="1:7">
      <c r="A11">
        <v>70</v>
      </c>
    </row>
    <row r="12" spans="1:7">
      <c r="A12">
        <v>83</v>
      </c>
    </row>
    <row r="13" spans="1:7">
      <c r="A13">
        <v>132</v>
      </c>
    </row>
    <row r="14" spans="1:7">
      <c r="A14">
        <v>92</v>
      </c>
    </row>
    <row r="15" spans="1:7">
      <c r="A15">
        <v>79</v>
      </c>
    </row>
    <row r="16" spans="1:7">
      <c r="A16">
        <v>133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8FB1D-B0F0-E940-A0E9-9F283ABDBE31}">
  <dimension ref="A1:M30"/>
  <sheetViews>
    <sheetView workbookViewId="0">
      <selection activeCell="G1" sqref="G1"/>
    </sheetView>
  </sheetViews>
  <sheetFormatPr baseColWidth="10" defaultRowHeight="16"/>
  <cols>
    <col min="1" max="1" width="21.140625" style="1" customWidth="1"/>
    <col min="2" max="2" width="16.85546875" style="1" customWidth="1"/>
    <col min="3" max="3" width="19.5703125" style="1" customWidth="1"/>
    <col min="4" max="4" width="18.7109375" style="1" customWidth="1"/>
    <col min="5" max="5" width="15.140625" style="1" customWidth="1"/>
    <col min="6" max="7" width="10.7109375" style="1"/>
    <col min="8" max="8" width="13.140625" style="1" customWidth="1"/>
    <col min="9" max="9" width="14.28515625" style="1" customWidth="1"/>
    <col min="10" max="10" width="14.42578125" style="1" customWidth="1"/>
    <col min="11" max="11" width="16.140625" style="1" customWidth="1"/>
    <col min="12" max="12" width="19.7109375" style="1" customWidth="1"/>
    <col min="13" max="13" width="19.85546875" style="1" customWidth="1"/>
    <col min="14" max="16384" width="10.7109375" style="1"/>
  </cols>
  <sheetData>
    <row r="1" spans="1:13">
      <c r="A1" s="3" t="s">
        <v>145</v>
      </c>
      <c r="B1" s="2" t="s">
        <v>132</v>
      </c>
      <c r="C1" s="2" t="s">
        <v>144</v>
      </c>
      <c r="D1" s="2" t="s">
        <v>130</v>
      </c>
      <c r="E1" s="2" t="s">
        <v>129</v>
      </c>
    </row>
    <row r="2" spans="1:13">
      <c r="A2" s="3" t="s">
        <v>80</v>
      </c>
    </row>
    <row r="3" spans="1:13">
      <c r="B3" s="1" t="s">
        <v>143</v>
      </c>
      <c r="C3" s="1">
        <v>107</v>
      </c>
      <c r="D3" s="1">
        <v>81256.077000000005</v>
      </c>
      <c r="E3" s="1">
        <f>(C3/D3)*10000</f>
        <v>13.16824586547539</v>
      </c>
    </row>
    <row r="4" spans="1:13">
      <c r="B4" s="1" t="s">
        <v>142</v>
      </c>
      <c r="C4" s="1">
        <v>123</v>
      </c>
      <c r="D4" s="1">
        <v>95249.683999999994</v>
      </c>
      <c r="E4" s="1">
        <f>(C4/D4)*10000</f>
        <v>12.9134286681728</v>
      </c>
    </row>
    <row r="5" spans="1:13">
      <c r="B5" s="1" t="s">
        <v>141</v>
      </c>
      <c r="C5" s="1">
        <v>102</v>
      </c>
      <c r="D5" s="1">
        <v>93702.425000000003</v>
      </c>
      <c r="E5" s="1">
        <f>(C5/D5)*10000</f>
        <v>10.885524040599803</v>
      </c>
    </row>
    <row r="7" spans="1:13">
      <c r="A7" s="3" t="s">
        <v>125</v>
      </c>
      <c r="H7" s="3"/>
      <c r="I7" s="3"/>
      <c r="J7" s="3"/>
      <c r="K7" s="3"/>
      <c r="L7" s="3"/>
      <c r="M7" s="3"/>
    </row>
    <row r="8" spans="1:13">
      <c r="B8" s="1" t="s">
        <v>140</v>
      </c>
      <c r="C8" s="1">
        <v>0</v>
      </c>
      <c r="D8" s="1">
        <f>35045.849+36162.486</f>
        <v>71208.334999999992</v>
      </c>
      <c r="E8" s="1">
        <f>(C8/D8)*10000</f>
        <v>0</v>
      </c>
    </row>
    <row r="9" spans="1:13">
      <c r="B9" s="1" t="s">
        <v>139</v>
      </c>
      <c r="C9" s="1">
        <v>0</v>
      </c>
      <c r="D9" s="1">
        <v>99166.391000000003</v>
      </c>
      <c r="E9" s="1">
        <f>(C9/D9)*10000</f>
        <v>0</v>
      </c>
    </row>
    <row r="10" spans="1:13">
      <c r="B10" s="1" t="s">
        <v>122</v>
      </c>
      <c r="C10" s="1">
        <v>0</v>
      </c>
      <c r="D10" s="1">
        <f>30663.252+30679.163</f>
        <v>61342.415000000001</v>
      </c>
      <c r="E10" s="1">
        <f>(C10/D10)*10000</f>
        <v>0</v>
      </c>
    </row>
    <row r="12" spans="1:13">
      <c r="A12" s="3" t="s">
        <v>121</v>
      </c>
    </row>
    <row r="13" spans="1:13">
      <c r="B13" s="1" t="s">
        <v>120</v>
      </c>
      <c r="C13" s="1">
        <v>43</v>
      </c>
      <c r="D13" s="1">
        <v>71473.092999999993</v>
      </c>
      <c r="E13" s="1">
        <f>(C13/D13)*10000</f>
        <v>6.016250059305535</v>
      </c>
    </row>
    <row r="14" spans="1:13">
      <c r="B14" s="1" t="s">
        <v>119</v>
      </c>
      <c r="C14" s="1">
        <v>65</v>
      </c>
      <c r="D14" s="1">
        <v>100777.73999999999</v>
      </c>
      <c r="E14" s="1">
        <f>(C14/D14)*10000</f>
        <v>6.449837037425131</v>
      </c>
    </row>
    <row r="15" spans="1:13">
      <c r="B15" s="1" t="s">
        <v>118</v>
      </c>
      <c r="C15" s="1">
        <v>78</v>
      </c>
      <c r="D15" s="1">
        <v>87040.33600000001</v>
      </c>
      <c r="E15" s="1">
        <f>(C15/D15)*10000</f>
        <v>8.9613624653287172</v>
      </c>
    </row>
    <row r="17" spans="1:5">
      <c r="A17" s="3" t="s">
        <v>117</v>
      </c>
    </row>
    <row r="18" spans="1:5">
      <c r="B18" s="1" t="s">
        <v>116</v>
      </c>
      <c r="C18" s="1">
        <v>71</v>
      </c>
      <c r="D18" s="1">
        <v>77304.837</v>
      </c>
      <c r="E18" s="1">
        <f>(C18/D18)*10000</f>
        <v>9.1844188223306134</v>
      </c>
    </row>
    <row r="19" spans="1:5">
      <c r="B19" s="1" t="s">
        <v>115</v>
      </c>
      <c r="C19" s="1">
        <v>89</v>
      </c>
      <c r="D19" s="1">
        <v>135807.28899999999</v>
      </c>
      <c r="E19" s="1">
        <f>(C19/D19)*10000</f>
        <v>6.5534037720169795</v>
      </c>
    </row>
    <row r="20" spans="1:5">
      <c r="B20" s="1" t="s">
        <v>114</v>
      </c>
      <c r="C20" s="1">
        <v>117</v>
      </c>
      <c r="D20" s="1">
        <v>132289.85699999999</v>
      </c>
      <c r="E20" s="1">
        <f>(C20/D20)*10000</f>
        <v>8.8442154714854677</v>
      </c>
    </row>
    <row r="22" spans="1:5">
      <c r="A22" s="3" t="s">
        <v>113</v>
      </c>
    </row>
    <row r="23" spans="1:5">
      <c r="B23" s="1" t="s">
        <v>138</v>
      </c>
      <c r="C23" s="1">
        <v>48</v>
      </c>
      <c r="D23" s="1">
        <f>44930.114+36813.557</f>
        <v>81743.671000000002</v>
      </c>
      <c r="E23" s="1">
        <f>(C23/D23)*10000</f>
        <v>5.8720142382643905</v>
      </c>
    </row>
    <row r="24" spans="1:5">
      <c r="B24" s="1" t="s">
        <v>137</v>
      </c>
      <c r="C24" s="1">
        <v>70</v>
      </c>
      <c r="D24" s="1">
        <f>42269.659+47493.119</f>
        <v>89762.777999999991</v>
      </c>
      <c r="E24" s="1">
        <f>(C24/D24)*10000</f>
        <v>7.7983326229052325</v>
      </c>
    </row>
    <row r="25" spans="1:5">
      <c r="B25" s="1" t="s">
        <v>136</v>
      </c>
      <c r="C25" s="1">
        <v>56</v>
      </c>
      <c r="D25" s="1">
        <f>48971.283+43533.952</f>
        <v>92505.235000000001</v>
      </c>
      <c r="E25" s="1">
        <f>(C25/D25)*10000</f>
        <v>6.0537114467089346</v>
      </c>
    </row>
    <row r="27" spans="1:5">
      <c r="A27" s="3" t="s">
        <v>109</v>
      </c>
    </row>
    <row r="28" spans="1:5">
      <c r="B28" s="1" t="s">
        <v>135</v>
      </c>
      <c r="C28" s="1">
        <v>76</v>
      </c>
      <c r="D28" s="1">
        <v>135201.951</v>
      </c>
      <c r="E28" s="1">
        <f>(C28/D28)*10000</f>
        <v>5.6212206582728976</v>
      </c>
    </row>
    <row r="29" spans="1:5">
      <c r="B29" s="1" t="s">
        <v>107</v>
      </c>
      <c r="C29" s="1">
        <v>57</v>
      </c>
      <c r="D29" s="1">
        <v>104960.261</v>
      </c>
      <c r="E29" s="1">
        <f>(C29/D29)*10000</f>
        <v>5.4306267397715411</v>
      </c>
    </row>
    <row r="30" spans="1:5">
      <c r="B30" s="1" t="s">
        <v>134</v>
      </c>
      <c r="C30" s="1">
        <v>52</v>
      </c>
      <c r="D30" s="1">
        <f>27083.966+36680.979</f>
        <v>63764.945</v>
      </c>
      <c r="E30" s="1">
        <f>(C30/D30)*10000</f>
        <v>8.1549509687493646</v>
      </c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8E2C-F545-644F-84B8-5F9B2FE5DE8D}">
  <dimension ref="A1:Q33"/>
  <sheetViews>
    <sheetView tabSelected="1" workbookViewId="0">
      <selection activeCell="K1" sqref="K1"/>
    </sheetView>
  </sheetViews>
  <sheetFormatPr baseColWidth="10" defaultRowHeight="13"/>
  <cols>
    <col min="1" max="1" width="14.140625" style="6" customWidth="1"/>
    <col min="2" max="16384" width="10.7109375" style="6"/>
  </cols>
  <sheetData>
    <row r="1" spans="1:17" ht="16">
      <c r="A1" s="12"/>
      <c r="B1" s="12"/>
      <c r="C1" s="12"/>
      <c r="D1" s="12"/>
      <c r="E1" s="12"/>
      <c r="F1" s="12"/>
      <c r="G1" s="12"/>
      <c r="H1" s="12" t="s">
        <v>105</v>
      </c>
      <c r="I1" s="11"/>
      <c r="J1"/>
      <c r="K1" s="7"/>
      <c r="L1" s="7"/>
      <c r="P1" s="7"/>
      <c r="Q1" s="7"/>
    </row>
    <row r="2" spans="1:17" ht="16">
      <c r="A2" s="12" t="s">
        <v>104</v>
      </c>
      <c r="B2" s="12" t="s">
        <v>103</v>
      </c>
      <c r="C2" s="12" t="s">
        <v>102</v>
      </c>
      <c r="D2" s="12" t="s">
        <v>101</v>
      </c>
      <c r="E2" s="12"/>
      <c r="F2" s="12" t="s">
        <v>100</v>
      </c>
      <c r="G2" s="12" t="s">
        <v>99</v>
      </c>
      <c r="H2" s="12" t="s">
        <v>98</v>
      </c>
      <c r="I2" s="11" t="s">
        <v>97</v>
      </c>
      <c r="J2"/>
      <c r="K2" s="7"/>
    </row>
    <row r="3" spans="1:17" ht="16">
      <c r="A3" s="7"/>
      <c r="B3" s="7"/>
      <c r="C3" s="7"/>
      <c r="D3" s="7"/>
      <c r="E3" s="7"/>
      <c r="F3" s="7"/>
      <c r="G3" s="7"/>
      <c r="H3" s="7"/>
      <c r="I3" s="8"/>
      <c r="J3"/>
      <c r="K3" s="7"/>
    </row>
    <row r="4" spans="1:17" ht="16">
      <c r="A4" s="7" t="s">
        <v>95</v>
      </c>
      <c r="B4" s="10" t="s">
        <v>94</v>
      </c>
      <c r="C4" s="7">
        <v>22</v>
      </c>
      <c r="D4" s="7">
        <v>2</v>
      </c>
      <c r="E4" s="7"/>
      <c r="F4" s="7">
        <v>1176</v>
      </c>
      <c r="G4" s="7">
        <v>258</v>
      </c>
      <c r="H4" s="7">
        <v>190</v>
      </c>
      <c r="I4" s="8">
        <f t="shared" ref="I4:I9" si="0">H4/F4</f>
        <v>0.16156462585034015</v>
      </c>
      <c r="J4"/>
      <c r="K4" s="7"/>
    </row>
    <row r="5" spans="1:17" ht="16">
      <c r="A5" s="7" t="s">
        <v>95</v>
      </c>
      <c r="B5" s="7" t="s">
        <v>94</v>
      </c>
      <c r="C5" s="7">
        <v>1</v>
      </c>
      <c r="D5" s="7">
        <v>4</v>
      </c>
      <c r="E5" s="7"/>
      <c r="F5" s="7">
        <v>1029</v>
      </c>
      <c r="G5" s="7">
        <v>291</v>
      </c>
      <c r="H5" s="7">
        <v>231</v>
      </c>
      <c r="I5" s="8">
        <f t="shared" si="0"/>
        <v>0.22448979591836735</v>
      </c>
      <c r="J5"/>
      <c r="K5" s="7"/>
    </row>
    <row r="6" spans="1:17" ht="16">
      <c r="A6" s="7" t="s">
        <v>95</v>
      </c>
      <c r="B6" s="7" t="s">
        <v>94</v>
      </c>
      <c r="C6" s="7">
        <v>14</v>
      </c>
      <c r="D6" s="7">
        <v>3</v>
      </c>
      <c r="E6" s="7"/>
      <c r="F6" s="7">
        <v>1294</v>
      </c>
      <c r="G6" s="7">
        <v>307</v>
      </c>
      <c r="H6" s="7">
        <v>233</v>
      </c>
      <c r="I6" s="8">
        <f t="shared" si="0"/>
        <v>0.18006182380216385</v>
      </c>
      <c r="J6"/>
      <c r="K6" s="7"/>
    </row>
    <row r="7" spans="1:17" ht="16">
      <c r="A7" s="7" t="s">
        <v>95</v>
      </c>
      <c r="B7" s="10" t="s">
        <v>94</v>
      </c>
      <c r="C7" s="7">
        <v>14</v>
      </c>
      <c r="D7" s="7">
        <v>2</v>
      </c>
      <c r="E7" s="7"/>
      <c r="F7" s="7">
        <v>1106</v>
      </c>
      <c r="G7" s="7">
        <v>232</v>
      </c>
      <c r="H7" s="7">
        <v>198</v>
      </c>
      <c r="I7" s="8">
        <f t="shared" si="0"/>
        <v>0.17902350813743217</v>
      </c>
      <c r="J7"/>
      <c r="K7" s="7"/>
    </row>
    <row r="8" spans="1:17" ht="16">
      <c r="A8" s="7" t="s">
        <v>96</v>
      </c>
      <c r="B8" s="10" t="s">
        <v>94</v>
      </c>
      <c r="C8" s="7">
        <v>14</v>
      </c>
      <c r="D8" s="7">
        <v>1</v>
      </c>
      <c r="E8" s="7"/>
      <c r="F8" s="7">
        <v>863</v>
      </c>
      <c r="G8" s="7">
        <v>214</v>
      </c>
      <c r="H8" s="7">
        <v>175</v>
      </c>
      <c r="I8" s="8">
        <f t="shared" si="0"/>
        <v>0.20278099652375434</v>
      </c>
      <c r="J8"/>
      <c r="K8" s="7"/>
    </row>
    <row r="9" spans="1:17" ht="16">
      <c r="A9" s="7" t="s">
        <v>95</v>
      </c>
      <c r="B9" s="7" t="s">
        <v>94</v>
      </c>
      <c r="C9" s="7">
        <v>1</v>
      </c>
      <c r="D9" s="7">
        <v>2</v>
      </c>
      <c r="E9" s="7"/>
      <c r="F9" s="7">
        <v>750</v>
      </c>
      <c r="G9" s="7">
        <v>236</v>
      </c>
      <c r="H9" s="7">
        <v>199</v>
      </c>
      <c r="I9" s="8">
        <f t="shared" si="0"/>
        <v>0.26533333333333331</v>
      </c>
      <c r="J9"/>
      <c r="K9" s="7"/>
    </row>
    <row r="10" spans="1:17" ht="16">
      <c r="A10" s="7"/>
      <c r="B10" s="7"/>
      <c r="C10" s="7"/>
      <c r="D10" s="7"/>
      <c r="E10" s="7"/>
      <c r="F10" s="7"/>
      <c r="G10" s="7"/>
      <c r="H10" s="7"/>
      <c r="I10" s="8"/>
      <c r="J10"/>
      <c r="K10" s="7"/>
    </row>
    <row r="11" spans="1:17" ht="16">
      <c r="A11" s="7" t="s">
        <v>90</v>
      </c>
      <c r="B11" s="7" t="s">
        <v>91</v>
      </c>
      <c r="C11" s="7">
        <v>3</v>
      </c>
      <c r="D11" s="7">
        <v>3</v>
      </c>
      <c r="E11" s="7"/>
      <c r="F11" s="7">
        <v>1036</v>
      </c>
      <c r="G11" s="7">
        <v>606</v>
      </c>
      <c r="H11" s="7">
        <v>422</v>
      </c>
      <c r="I11" s="8">
        <f>H11/F11</f>
        <v>0.40733590733590735</v>
      </c>
      <c r="J11"/>
      <c r="K11" s="7"/>
      <c r="L11" s="7"/>
      <c r="M11" s="7"/>
      <c r="N11" s="7"/>
      <c r="O11" s="7"/>
      <c r="P11" s="7"/>
      <c r="Q11" s="7"/>
    </row>
    <row r="12" spans="1:17" ht="16">
      <c r="A12" s="7" t="s">
        <v>90</v>
      </c>
      <c r="B12" s="7" t="s">
        <v>91</v>
      </c>
      <c r="C12" s="7">
        <v>10</v>
      </c>
      <c r="D12" s="7">
        <v>1</v>
      </c>
      <c r="E12" s="7"/>
      <c r="F12" s="7">
        <v>1238</v>
      </c>
      <c r="G12" s="7">
        <v>675</v>
      </c>
      <c r="H12" s="7">
        <v>454</v>
      </c>
      <c r="I12" s="8">
        <f>H12/F12</f>
        <v>0.3667205169628433</v>
      </c>
      <c r="J12"/>
      <c r="K12" s="7"/>
      <c r="L12" s="7"/>
      <c r="M12" s="7"/>
      <c r="N12" s="7"/>
      <c r="O12" s="7"/>
      <c r="P12" s="7"/>
      <c r="Q12" s="7"/>
    </row>
    <row r="13" spans="1:17" ht="16">
      <c r="A13" s="7" t="s">
        <v>93</v>
      </c>
      <c r="B13" s="7" t="s">
        <v>91</v>
      </c>
      <c r="C13" s="7">
        <v>7</v>
      </c>
      <c r="D13" s="7">
        <v>1</v>
      </c>
      <c r="E13" s="7"/>
      <c r="F13" s="7">
        <v>971</v>
      </c>
      <c r="G13" s="7">
        <v>612</v>
      </c>
      <c r="H13" s="7">
        <v>418</v>
      </c>
      <c r="I13" s="8">
        <f>H13/F13</f>
        <v>0.43048403707518024</v>
      </c>
      <c r="J13"/>
      <c r="K13" s="7"/>
      <c r="L13" s="7"/>
      <c r="M13" s="7"/>
      <c r="N13" s="7"/>
      <c r="O13" s="7"/>
      <c r="P13" s="7"/>
      <c r="Q13" s="7"/>
    </row>
    <row r="14" spans="1:17" ht="16">
      <c r="A14" s="7" t="s">
        <v>92</v>
      </c>
      <c r="B14" s="7" t="s">
        <v>91</v>
      </c>
      <c r="C14" s="7">
        <v>10</v>
      </c>
      <c r="D14" s="7">
        <v>2</v>
      </c>
      <c r="E14" s="7"/>
      <c r="F14" s="7">
        <v>1160</v>
      </c>
      <c r="G14" s="7">
        <v>709</v>
      </c>
      <c r="H14" s="7">
        <v>492</v>
      </c>
      <c r="I14" s="8">
        <f>H14/F14</f>
        <v>0.42413793103448277</v>
      </c>
      <c r="J14"/>
      <c r="K14" s="7"/>
      <c r="L14" s="7"/>
      <c r="M14" s="7"/>
      <c r="N14" s="7"/>
      <c r="O14" s="7"/>
      <c r="P14" s="7"/>
      <c r="Q14" s="7"/>
    </row>
    <row r="15" spans="1:17" ht="16">
      <c r="A15" s="7"/>
      <c r="B15" s="7"/>
      <c r="C15" s="7"/>
      <c r="D15" s="7"/>
      <c r="E15" s="7"/>
      <c r="F15" s="7"/>
      <c r="G15" s="7"/>
      <c r="H15" s="7"/>
      <c r="I15" s="8"/>
      <c r="J15"/>
      <c r="K15" s="7"/>
      <c r="L15" s="7"/>
      <c r="M15" s="7"/>
      <c r="N15" s="7"/>
      <c r="O15" s="7"/>
      <c r="P15" s="7"/>
      <c r="Q15" s="7"/>
    </row>
    <row r="16" spans="1:17" ht="16">
      <c r="A16" s="7" t="s">
        <v>90</v>
      </c>
      <c r="B16" s="7" t="s">
        <v>89</v>
      </c>
      <c r="C16" s="7">
        <v>3</v>
      </c>
      <c r="D16" s="7">
        <v>3</v>
      </c>
      <c r="E16" s="7"/>
      <c r="F16" s="7">
        <v>1530</v>
      </c>
      <c r="G16" s="7">
        <v>691</v>
      </c>
      <c r="H16" s="7">
        <v>536</v>
      </c>
      <c r="I16" s="8">
        <f>H16/F16</f>
        <v>0.35032679738562089</v>
      </c>
      <c r="J16"/>
      <c r="K16" s="7"/>
      <c r="L16" s="7"/>
      <c r="M16" s="7"/>
      <c r="N16" s="7"/>
      <c r="O16" s="7"/>
      <c r="P16" s="7"/>
      <c r="Q16" s="7"/>
    </row>
    <row r="17" spans="1:17" ht="16">
      <c r="A17" s="7" t="s">
        <v>90</v>
      </c>
      <c r="B17" s="7" t="s">
        <v>89</v>
      </c>
      <c r="C17" s="7">
        <v>26</v>
      </c>
      <c r="D17" s="7">
        <v>1</v>
      </c>
      <c r="E17" s="7"/>
      <c r="F17" s="7">
        <v>1288</v>
      </c>
      <c r="G17" s="7">
        <v>485</v>
      </c>
      <c r="H17" s="7">
        <v>384</v>
      </c>
      <c r="I17" s="8">
        <f>H17/F17</f>
        <v>0.29813664596273293</v>
      </c>
      <c r="J17"/>
      <c r="K17" s="7"/>
      <c r="L17" s="7"/>
      <c r="M17" s="7"/>
      <c r="N17" s="7"/>
      <c r="O17" s="7"/>
      <c r="P17" s="7"/>
      <c r="Q17" s="7"/>
    </row>
    <row r="18" spans="1:17" ht="16">
      <c r="A18" s="7" t="s">
        <v>90</v>
      </c>
      <c r="B18" s="7" t="s">
        <v>89</v>
      </c>
      <c r="C18" s="7">
        <v>23</v>
      </c>
      <c r="D18" s="7">
        <v>2</v>
      </c>
      <c r="E18" s="7"/>
      <c r="F18" s="7">
        <v>1587</v>
      </c>
      <c r="G18" s="7">
        <v>567</v>
      </c>
      <c r="H18" s="7">
        <v>430</v>
      </c>
      <c r="I18" s="8">
        <f>H18/F18</f>
        <v>0.27095148078134845</v>
      </c>
      <c r="J18"/>
      <c r="K18" s="7"/>
      <c r="L18" s="7"/>
      <c r="M18" s="7"/>
      <c r="N18" s="7"/>
      <c r="O18" s="7"/>
      <c r="P18" s="7"/>
      <c r="Q18" s="7"/>
    </row>
    <row r="19" spans="1:17" ht="16">
      <c r="A19" s="7"/>
      <c r="B19" s="7"/>
      <c r="C19" s="7"/>
      <c r="D19" s="7"/>
      <c r="E19" s="7"/>
      <c r="F19" s="7"/>
      <c r="G19" s="7"/>
      <c r="H19" s="7"/>
      <c r="I19" s="8"/>
      <c r="J19"/>
      <c r="K19" s="7"/>
      <c r="L19" s="7"/>
      <c r="M19" s="7"/>
      <c r="N19" s="7"/>
      <c r="O19" s="7"/>
      <c r="P19" s="7"/>
      <c r="Q19" s="7"/>
    </row>
    <row r="20" spans="1:17" ht="16">
      <c r="A20" s="7" t="s">
        <v>88</v>
      </c>
      <c r="B20" s="10" t="s">
        <v>86</v>
      </c>
      <c r="C20" s="7">
        <v>15</v>
      </c>
      <c r="D20" s="7">
        <v>2</v>
      </c>
      <c r="E20" s="7"/>
      <c r="F20" s="7">
        <v>1163</v>
      </c>
      <c r="G20" s="7">
        <v>245</v>
      </c>
      <c r="H20" s="7">
        <v>174</v>
      </c>
      <c r="I20" s="8">
        <f>H20/F20</f>
        <v>0.14961306964746346</v>
      </c>
      <c r="J20"/>
      <c r="K20" s="7"/>
      <c r="L20" s="7"/>
      <c r="M20" s="7"/>
      <c r="N20" s="7"/>
      <c r="O20" s="7"/>
      <c r="P20" s="7"/>
      <c r="Q20" s="7"/>
    </row>
    <row r="21" spans="1:17" ht="16">
      <c r="A21" s="7" t="s">
        <v>87</v>
      </c>
      <c r="B21" s="7" t="s">
        <v>86</v>
      </c>
      <c r="C21" s="7">
        <v>5</v>
      </c>
      <c r="D21" s="7">
        <v>1</v>
      </c>
      <c r="E21" s="7"/>
      <c r="F21" s="7">
        <v>623</v>
      </c>
      <c r="G21" s="7">
        <v>206</v>
      </c>
      <c r="H21" s="7">
        <v>142</v>
      </c>
      <c r="I21" s="8">
        <f>H21/F21</f>
        <v>0.22792937399678972</v>
      </c>
      <c r="J21"/>
      <c r="K21" s="7"/>
      <c r="L21" s="7"/>
      <c r="M21" s="7"/>
      <c r="N21" s="7"/>
      <c r="O21" s="7"/>
      <c r="P21" s="7"/>
    </row>
    <row r="22" spans="1:17" ht="16">
      <c r="A22" s="7" t="s">
        <v>87</v>
      </c>
      <c r="B22" s="7" t="s">
        <v>86</v>
      </c>
      <c r="C22" s="7">
        <v>14</v>
      </c>
      <c r="D22" s="7">
        <v>1</v>
      </c>
      <c r="E22" s="7"/>
      <c r="F22" s="7">
        <v>938</v>
      </c>
      <c r="G22" s="7">
        <v>219</v>
      </c>
      <c r="H22" s="7">
        <v>180</v>
      </c>
      <c r="I22" s="8">
        <f>H22/F22</f>
        <v>0.19189765458422176</v>
      </c>
      <c r="J22"/>
      <c r="K22" s="7"/>
      <c r="L22" s="7"/>
      <c r="M22" s="7"/>
      <c r="N22" s="7"/>
      <c r="O22" s="7"/>
      <c r="P22" s="7"/>
    </row>
    <row r="23" spans="1:17" ht="16">
      <c r="A23" s="7" t="s">
        <v>87</v>
      </c>
      <c r="B23" s="7" t="s">
        <v>86</v>
      </c>
      <c r="C23" s="7">
        <v>14</v>
      </c>
      <c r="D23" s="7">
        <v>2</v>
      </c>
      <c r="E23" s="7"/>
      <c r="F23" s="7">
        <v>880</v>
      </c>
      <c r="G23" s="7">
        <v>164</v>
      </c>
      <c r="H23" s="7">
        <v>122</v>
      </c>
      <c r="I23" s="8">
        <f>H23/F23</f>
        <v>0.13863636363636364</v>
      </c>
      <c r="J23"/>
      <c r="K23" s="7"/>
      <c r="L23" s="7"/>
      <c r="M23" s="7"/>
      <c r="N23" s="7"/>
      <c r="O23" s="7"/>
      <c r="P23" s="7"/>
    </row>
    <row r="24" spans="1:17" ht="16">
      <c r="A24" s="7" t="s">
        <v>87</v>
      </c>
      <c r="B24" s="10" t="s">
        <v>86</v>
      </c>
      <c r="C24" s="7">
        <v>5</v>
      </c>
      <c r="D24" s="7">
        <v>2</v>
      </c>
      <c r="E24" s="7"/>
      <c r="F24" s="7">
        <v>941</v>
      </c>
      <c r="G24" s="7">
        <v>129</v>
      </c>
      <c r="H24" s="7">
        <v>106</v>
      </c>
      <c r="I24" s="8">
        <f>H24/F24</f>
        <v>0.1126461211477152</v>
      </c>
      <c r="J24"/>
      <c r="K24" s="7"/>
      <c r="L24" s="7"/>
      <c r="M24" s="7"/>
      <c r="N24" s="7"/>
      <c r="O24" s="7"/>
      <c r="P24" s="7"/>
    </row>
    <row r="25" spans="1:17" ht="16">
      <c r="A25" s="7"/>
      <c r="B25" s="7"/>
      <c r="C25" s="7"/>
      <c r="D25" s="7"/>
      <c r="E25" s="7"/>
      <c r="F25" s="7"/>
      <c r="G25" s="7"/>
      <c r="H25" s="7"/>
      <c r="I25" s="8"/>
      <c r="J25"/>
      <c r="K25" s="7"/>
      <c r="L25" s="7"/>
      <c r="M25" s="7"/>
      <c r="N25" s="7"/>
      <c r="O25" s="7"/>
      <c r="P25" s="7"/>
    </row>
    <row r="26" spans="1:17" ht="16">
      <c r="A26" s="7" t="s">
        <v>83</v>
      </c>
      <c r="B26" s="7" t="s">
        <v>84</v>
      </c>
      <c r="C26" s="7">
        <v>9</v>
      </c>
      <c r="D26" s="7">
        <v>3</v>
      </c>
      <c r="E26" s="7"/>
      <c r="F26" s="7">
        <v>1386</v>
      </c>
      <c r="G26" s="7">
        <v>455</v>
      </c>
      <c r="H26" s="7">
        <v>366</v>
      </c>
      <c r="I26" s="8">
        <f>H26/F26</f>
        <v>0.26406926406926406</v>
      </c>
      <c r="J26"/>
      <c r="K26" s="7"/>
      <c r="M26" s="7"/>
      <c r="N26" s="7"/>
      <c r="O26" s="7"/>
      <c r="P26" s="7"/>
    </row>
    <row r="27" spans="1:17" ht="16">
      <c r="A27" s="7" t="s">
        <v>83</v>
      </c>
      <c r="B27" s="7" t="s">
        <v>84</v>
      </c>
      <c r="C27" s="7">
        <v>5</v>
      </c>
      <c r="D27" s="7">
        <v>2</v>
      </c>
      <c r="E27" s="7"/>
      <c r="F27" s="7">
        <v>857</v>
      </c>
      <c r="G27" s="7">
        <v>291</v>
      </c>
      <c r="H27" s="7">
        <v>258</v>
      </c>
      <c r="I27" s="8">
        <f>H27/F27</f>
        <v>0.30105017502917153</v>
      </c>
      <c r="J27"/>
      <c r="K27" s="7"/>
    </row>
    <row r="28" spans="1:17" ht="16">
      <c r="A28" s="7" t="s">
        <v>83</v>
      </c>
      <c r="B28" s="7" t="s">
        <v>85</v>
      </c>
      <c r="C28" s="7">
        <v>12</v>
      </c>
      <c r="D28" s="7">
        <v>1</v>
      </c>
      <c r="E28" s="7"/>
      <c r="F28" s="7">
        <v>1078</v>
      </c>
      <c r="G28" s="7">
        <v>432</v>
      </c>
      <c r="H28" s="7">
        <v>307</v>
      </c>
      <c r="I28" s="8">
        <f>H28/F28</f>
        <v>0.2847866419294991</v>
      </c>
      <c r="J28"/>
      <c r="K28" s="7"/>
    </row>
    <row r="29" spans="1:17" ht="16">
      <c r="A29" s="7" t="s">
        <v>83</v>
      </c>
      <c r="B29" s="7" t="s">
        <v>85</v>
      </c>
      <c r="C29" s="7">
        <v>5</v>
      </c>
      <c r="D29" s="7">
        <v>1</v>
      </c>
      <c r="E29" s="7"/>
      <c r="F29" s="7">
        <v>821</v>
      </c>
      <c r="G29" s="7">
        <v>335</v>
      </c>
      <c r="H29" s="7">
        <v>252</v>
      </c>
      <c r="I29" s="8">
        <f>H29/F29</f>
        <v>0.30694275274056027</v>
      </c>
      <c r="J29"/>
      <c r="K29" s="7"/>
    </row>
    <row r="30" spans="1:17" ht="16">
      <c r="A30" s="7" t="s">
        <v>83</v>
      </c>
      <c r="B30" s="7" t="s">
        <v>84</v>
      </c>
      <c r="C30" s="7">
        <v>19</v>
      </c>
      <c r="D30" s="7">
        <v>1</v>
      </c>
      <c r="E30" s="7"/>
      <c r="F30" s="7">
        <v>1062</v>
      </c>
      <c r="G30" s="7">
        <v>286</v>
      </c>
      <c r="H30" s="7">
        <v>202</v>
      </c>
      <c r="I30" s="8">
        <f>H30/F30</f>
        <v>0.19020715630885121</v>
      </c>
      <c r="J30"/>
      <c r="K30" s="7"/>
    </row>
    <row r="31" spans="1:17" ht="16">
      <c r="I31" s="9"/>
      <c r="J31"/>
      <c r="K31" s="7"/>
    </row>
    <row r="32" spans="1:17" ht="16">
      <c r="A32" s="7" t="s">
        <v>83</v>
      </c>
      <c r="B32" s="7" t="s">
        <v>82</v>
      </c>
      <c r="C32" s="7">
        <v>3</v>
      </c>
      <c r="D32" s="7">
        <v>3</v>
      </c>
      <c r="E32" s="7"/>
      <c r="F32" s="7">
        <v>1093</v>
      </c>
      <c r="G32" s="7">
        <v>717</v>
      </c>
      <c r="H32" s="7">
        <v>432</v>
      </c>
      <c r="I32" s="8">
        <f>H32/F32</f>
        <v>0.39524245196706315</v>
      </c>
      <c r="J32"/>
    </row>
    <row r="33" spans="10:10" ht="16">
      <c r="J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C5B82-F29C-B340-852F-125AE9CA3B51}">
  <dimension ref="A1:G14"/>
  <sheetViews>
    <sheetView workbookViewId="0">
      <selection activeCell="I1" sqref="I1"/>
    </sheetView>
  </sheetViews>
  <sheetFormatPr baseColWidth="10" defaultRowHeight="16"/>
  <sheetData>
    <row r="1" spans="1:7">
      <c r="A1" t="s">
        <v>13</v>
      </c>
    </row>
    <row r="3" spans="1:7">
      <c r="A3" t="s">
        <v>0</v>
      </c>
      <c r="B3" t="s">
        <v>12</v>
      </c>
      <c r="C3" t="s">
        <v>11</v>
      </c>
      <c r="D3" t="s">
        <v>10</v>
      </c>
      <c r="E3" t="s">
        <v>9</v>
      </c>
      <c r="F3" t="s">
        <v>8</v>
      </c>
      <c r="G3" t="s">
        <v>7</v>
      </c>
    </row>
    <row r="4" spans="1:7">
      <c r="A4">
        <v>15</v>
      </c>
      <c r="B4">
        <v>8</v>
      </c>
      <c r="C4">
        <v>4</v>
      </c>
      <c r="D4">
        <v>0</v>
      </c>
      <c r="E4">
        <v>4</v>
      </c>
      <c r="F4">
        <v>13</v>
      </c>
      <c r="G4">
        <v>10</v>
      </c>
    </row>
    <row r="5" spans="1:7">
      <c r="A5">
        <v>17</v>
      </c>
      <c r="B5">
        <v>7</v>
      </c>
      <c r="C5">
        <v>8</v>
      </c>
      <c r="D5">
        <v>2</v>
      </c>
      <c r="E5">
        <v>16</v>
      </c>
      <c r="F5">
        <v>9</v>
      </c>
      <c r="G5">
        <v>11</v>
      </c>
    </row>
    <row r="6" spans="1:7">
      <c r="A6">
        <v>4</v>
      </c>
      <c r="B6">
        <v>11</v>
      </c>
      <c r="C6">
        <v>4</v>
      </c>
      <c r="D6">
        <v>1</v>
      </c>
      <c r="E6">
        <v>10</v>
      </c>
      <c r="F6">
        <v>5</v>
      </c>
      <c r="G6">
        <v>9</v>
      </c>
    </row>
    <row r="7" spans="1:7">
      <c r="A7">
        <v>12</v>
      </c>
      <c r="B7">
        <v>4</v>
      </c>
      <c r="D7">
        <v>2</v>
      </c>
      <c r="E7">
        <v>6</v>
      </c>
      <c r="F7">
        <v>10</v>
      </c>
      <c r="G7">
        <v>6</v>
      </c>
    </row>
    <row r="8" spans="1:7">
      <c r="A8">
        <v>9</v>
      </c>
      <c r="B8">
        <v>2</v>
      </c>
      <c r="F8">
        <v>6</v>
      </c>
    </row>
    <row r="9" spans="1:7">
      <c r="A9">
        <v>10</v>
      </c>
    </row>
    <row r="10" spans="1:7">
      <c r="A10">
        <v>4</v>
      </c>
    </row>
    <row r="11" spans="1:7">
      <c r="A11">
        <v>11</v>
      </c>
    </row>
    <row r="12" spans="1:7">
      <c r="A12">
        <v>4</v>
      </c>
    </row>
    <row r="13" spans="1:7">
      <c r="A13">
        <v>12</v>
      </c>
    </row>
    <row r="14" spans="1:7">
      <c r="A14">
        <v>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F30C0-3089-F542-B473-63B6B4D418C0}">
  <dimension ref="A1:S88"/>
  <sheetViews>
    <sheetView workbookViewId="0">
      <selection activeCell="A4" sqref="A4"/>
    </sheetView>
  </sheetViews>
  <sheetFormatPr baseColWidth="10" defaultColWidth="9.42578125" defaultRowHeight="16"/>
  <cols>
    <col min="1" max="2" width="18.7109375" style="1" customWidth="1"/>
    <col min="3" max="3" width="17" style="1" customWidth="1"/>
    <col min="4" max="4" width="16.5703125" style="1" customWidth="1"/>
    <col min="5" max="5" width="22.42578125" style="1" customWidth="1"/>
    <col min="6" max="6" width="17.140625" style="1" customWidth="1"/>
    <col min="7" max="7" width="23.5703125" style="1" customWidth="1"/>
    <col min="8" max="8" width="25" style="1" customWidth="1"/>
    <col min="9" max="9" width="31.42578125" style="1" customWidth="1"/>
    <col min="10" max="10" width="13.42578125" style="1" customWidth="1"/>
    <col min="11" max="16384" width="9.42578125" style="1"/>
  </cols>
  <sheetData>
    <row r="1" spans="1:19">
      <c r="A1" s="3" t="s">
        <v>56</v>
      </c>
      <c r="B1" s="3" t="s">
        <v>55</v>
      </c>
    </row>
    <row r="2" spans="1:19">
      <c r="B2" s="3" t="s">
        <v>54</v>
      </c>
      <c r="C2" s="2" t="s">
        <v>53</v>
      </c>
      <c r="D2" s="2" t="s">
        <v>53</v>
      </c>
      <c r="E2" s="3" t="s">
        <v>16</v>
      </c>
      <c r="F2" s="2" t="s">
        <v>52</v>
      </c>
      <c r="G2" s="2" t="s">
        <v>51</v>
      </c>
      <c r="H2" s="2" t="s">
        <v>15</v>
      </c>
      <c r="I2" s="2" t="s">
        <v>50</v>
      </c>
      <c r="J2" s="3"/>
    </row>
    <row r="3" spans="1:19">
      <c r="B3" s="1" t="s">
        <v>49</v>
      </c>
      <c r="C3" s="1">
        <v>37</v>
      </c>
      <c r="D3" s="1">
        <v>48</v>
      </c>
      <c r="E3" s="1">
        <f t="shared" ref="E3:E9" si="0">AVERAGE(C3:D3)</f>
        <v>42.5</v>
      </c>
      <c r="F3" s="1">
        <f>88875+94673</f>
        <v>183548</v>
      </c>
      <c r="G3" s="1">
        <f>46985.589+51163.856</f>
        <v>98149.445000000007</v>
      </c>
      <c r="H3" s="1">
        <f t="shared" ref="H3:H9" si="1">AVERAGE(F3:G3)</f>
        <v>140848.7225</v>
      </c>
      <c r="I3" s="1">
        <f t="shared" ref="I3:I9" si="2">(10000/H3)*E3</f>
        <v>3.017421759008144</v>
      </c>
      <c r="M3" s="3"/>
      <c r="N3" s="3"/>
      <c r="O3" s="3"/>
      <c r="P3" s="3"/>
      <c r="Q3" s="3"/>
      <c r="R3" s="3"/>
      <c r="S3" s="3"/>
    </row>
    <row r="4" spans="1:19">
      <c r="B4" s="1" t="s">
        <v>48</v>
      </c>
      <c r="C4" s="1">
        <v>44</v>
      </c>
      <c r="D4" s="1">
        <v>48</v>
      </c>
      <c r="E4" s="1">
        <f t="shared" si="0"/>
        <v>46</v>
      </c>
      <c r="F4" s="1">
        <f>82325+87896+910</f>
        <v>171131</v>
      </c>
      <c r="G4" s="1">
        <f>88079+93161</f>
        <v>181240</v>
      </c>
      <c r="H4" s="1">
        <f t="shared" si="1"/>
        <v>176185.5</v>
      </c>
      <c r="I4" s="1">
        <f t="shared" si="2"/>
        <v>2.610884550658255</v>
      </c>
    </row>
    <row r="5" spans="1:19">
      <c r="B5" s="1" t="s">
        <v>47</v>
      </c>
      <c r="C5" s="1">
        <v>45</v>
      </c>
      <c r="D5" s="1">
        <v>44</v>
      </c>
      <c r="E5" s="1">
        <f t="shared" si="0"/>
        <v>44.5</v>
      </c>
      <c r="F5" s="1">
        <v>227607</v>
      </c>
      <c r="G5" s="1">
        <f>119531+109085</f>
        <v>228616</v>
      </c>
      <c r="H5" s="1">
        <f t="shared" si="1"/>
        <v>228111.5</v>
      </c>
      <c r="I5" s="1">
        <f t="shared" si="2"/>
        <v>1.950800376131848</v>
      </c>
    </row>
    <row r="6" spans="1:19">
      <c r="B6" s="1" t="s">
        <v>46</v>
      </c>
      <c r="C6" s="1">
        <v>47</v>
      </c>
      <c r="D6" s="1">
        <v>49</v>
      </c>
      <c r="E6" s="1">
        <f t="shared" si="0"/>
        <v>48</v>
      </c>
      <c r="F6" s="1">
        <f>76923+110618</f>
        <v>187541</v>
      </c>
      <c r="G6" s="1">
        <f>109703+102224</f>
        <v>211927</v>
      </c>
      <c r="H6" s="1">
        <f t="shared" si="1"/>
        <v>199734</v>
      </c>
      <c r="I6" s="1">
        <f t="shared" si="2"/>
        <v>2.4031962510138483</v>
      </c>
    </row>
    <row r="7" spans="1:19">
      <c r="B7" s="1" t="s">
        <v>45</v>
      </c>
      <c r="C7" s="1">
        <v>43</v>
      </c>
      <c r="D7" s="1">
        <v>45</v>
      </c>
      <c r="E7" s="1">
        <f t="shared" si="0"/>
        <v>44</v>
      </c>
      <c r="F7" s="1">
        <f>63695+59846</f>
        <v>123541</v>
      </c>
      <c r="G7" s="1">
        <f>78274+68116</f>
        <v>146390</v>
      </c>
      <c r="H7" s="1">
        <f t="shared" si="1"/>
        <v>134965.5</v>
      </c>
      <c r="I7" s="1">
        <f t="shared" si="2"/>
        <v>3.2600923939821658</v>
      </c>
    </row>
    <row r="8" spans="1:19">
      <c r="B8" s="1" t="s">
        <v>44</v>
      </c>
      <c r="C8" s="1">
        <v>45</v>
      </c>
      <c r="D8" s="1">
        <v>53</v>
      </c>
      <c r="E8" s="1">
        <f t="shared" si="0"/>
        <v>49</v>
      </c>
      <c r="F8" s="1">
        <f>81056+75641</f>
        <v>156697</v>
      </c>
      <c r="G8" s="1">
        <f>86873+77039</f>
        <v>163912</v>
      </c>
      <c r="H8" s="1">
        <f t="shared" si="1"/>
        <v>160304.5</v>
      </c>
      <c r="I8" s="1">
        <f t="shared" si="2"/>
        <v>3.0566827506401877</v>
      </c>
    </row>
    <row r="9" spans="1:19">
      <c r="B9" s="1" t="s">
        <v>43</v>
      </c>
      <c r="C9" s="1">
        <v>46</v>
      </c>
      <c r="D9" s="1">
        <v>46</v>
      </c>
      <c r="E9" s="1">
        <f t="shared" si="0"/>
        <v>46</v>
      </c>
      <c r="F9" s="1">
        <v>148097</v>
      </c>
      <c r="G9" s="1">
        <v>144093</v>
      </c>
      <c r="H9" s="1">
        <f t="shared" si="1"/>
        <v>146095</v>
      </c>
      <c r="I9" s="1">
        <f t="shared" si="2"/>
        <v>3.1486361614018277</v>
      </c>
    </row>
    <row r="10" spans="1:19">
      <c r="B10" s="3"/>
    </row>
    <row r="11" spans="1:19">
      <c r="B11" s="3" t="s">
        <v>42</v>
      </c>
      <c r="L11" s="3"/>
    </row>
    <row r="12" spans="1:19">
      <c r="B12" s="1" t="s">
        <v>41</v>
      </c>
      <c r="C12" s="1">
        <v>20</v>
      </c>
      <c r="D12" s="1">
        <v>25</v>
      </c>
      <c r="E12" s="1">
        <f>AVERAGE(C12:D12)</f>
        <v>22.5</v>
      </c>
      <c r="F12" s="1">
        <f>56588+52669</f>
        <v>109257</v>
      </c>
      <c r="G12" s="1">
        <f>66756+59209</f>
        <v>125965</v>
      </c>
      <c r="H12" s="1">
        <f>AVERAGE(F12:G12)</f>
        <v>117611</v>
      </c>
      <c r="I12" s="1">
        <f>(10000/H12)*E12</f>
        <v>1.9130863609696371</v>
      </c>
      <c r="L12" s="3"/>
    </row>
    <row r="13" spans="1:19">
      <c r="B13" s="1" t="s">
        <v>40</v>
      </c>
      <c r="C13" s="1">
        <v>23</v>
      </c>
      <c r="D13" s="1">
        <v>20</v>
      </c>
      <c r="E13" s="1">
        <f>AVERAGE(C13:D13)</f>
        <v>21.5</v>
      </c>
      <c r="F13" s="1">
        <f>90084+91362</f>
        <v>181446</v>
      </c>
      <c r="G13" s="1">
        <f>77605+75982</f>
        <v>153587</v>
      </c>
      <c r="H13" s="1">
        <f>AVERAGE(F13:G13)</f>
        <v>167516.5</v>
      </c>
      <c r="I13" s="1">
        <f>(10000/H13)*E13</f>
        <v>1.2834556595917417</v>
      </c>
      <c r="K13" s="4"/>
      <c r="L13" s="4"/>
      <c r="M13" s="4"/>
      <c r="N13" s="4"/>
      <c r="O13" s="4"/>
      <c r="P13" s="4"/>
      <c r="Q13" s="4"/>
      <c r="R13" s="4"/>
    </row>
    <row r="14" spans="1:19">
      <c r="B14" s="1" t="s">
        <v>39</v>
      </c>
      <c r="C14" s="1">
        <v>25</v>
      </c>
      <c r="D14" s="1">
        <v>26</v>
      </c>
      <c r="E14" s="1">
        <f>AVERAGE(C14:D14)</f>
        <v>25.5</v>
      </c>
      <c r="F14" s="1">
        <f>92026+74357</f>
        <v>166383</v>
      </c>
      <c r="G14" s="1">
        <f>73957+3839+79318</f>
        <v>157114</v>
      </c>
      <c r="H14" s="1">
        <f>AVERAGE(F14:G14)</f>
        <v>161748.5</v>
      </c>
      <c r="I14" s="1">
        <f>(10000/H14)*E14</f>
        <v>1.576521575161439</v>
      </c>
    </row>
    <row r="16" spans="1:19">
      <c r="B16" s="3" t="s">
        <v>38</v>
      </c>
    </row>
    <row r="17" spans="2:9">
      <c r="B17" s="1" t="s">
        <v>37</v>
      </c>
      <c r="C17" s="1">
        <v>45</v>
      </c>
      <c r="D17" s="1">
        <v>29</v>
      </c>
      <c r="E17" s="1">
        <f>AVERAGE(C17:D17)</f>
        <v>37</v>
      </c>
      <c r="F17" s="1">
        <f>80685+73177</f>
        <v>153862</v>
      </c>
      <c r="G17" s="1">
        <f>76683+80930</f>
        <v>157613</v>
      </c>
      <c r="H17" s="1">
        <f>AVERAGE(F17:G17)</f>
        <v>155737.5</v>
      </c>
      <c r="I17" s="1">
        <f>(10000/H17)*E17</f>
        <v>2.375792599727105</v>
      </c>
    </row>
    <row r="18" spans="2:9">
      <c r="B18" s="1" t="s">
        <v>36</v>
      </c>
      <c r="C18" s="1">
        <v>44</v>
      </c>
      <c r="D18" s="1">
        <v>42</v>
      </c>
      <c r="E18" s="1">
        <f>AVERAGE(C18:D18)</f>
        <v>43</v>
      </c>
      <c r="F18" s="1">
        <f>126994+106041</f>
        <v>233035</v>
      </c>
      <c r="G18" s="1">
        <f>124115+99068</f>
        <v>223183</v>
      </c>
      <c r="H18" s="1">
        <f>AVERAGE(F18:G18)</f>
        <v>228109</v>
      </c>
      <c r="I18" s="1">
        <f>(10000/H18)*E18</f>
        <v>1.8850637195375894</v>
      </c>
    </row>
    <row r="19" spans="2:9">
      <c r="B19" s="1" t="s">
        <v>35</v>
      </c>
      <c r="C19" s="1">
        <v>29</v>
      </c>
      <c r="D19" s="1">
        <v>29</v>
      </c>
      <c r="E19" s="1">
        <f>AVERAGE(C19:D19)</f>
        <v>29</v>
      </c>
      <c r="F19" s="1">
        <f>109158+88787</f>
        <v>197945</v>
      </c>
      <c r="G19" s="1">
        <f>65668+72766</f>
        <v>138434</v>
      </c>
      <c r="H19" s="1">
        <f>AVERAGE(F19:G19)</f>
        <v>168189.5</v>
      </c>
      <c r="I19" s="1">
        <f>(10000/H19)*E19</f>
        <v>1.724245568242964</v>
      </c>
    </row>
    <row r="21" spans="2:9">
      <c r="B21" s="3" t="s">
        <v>34</v>
      </c>
    </row>
    <row r="22" spans="2:9">
      <c r="B22" s="1" t="s">
        <v>33</v>
      </c>
      <c r="C22" s="1">
        <v>55</v>
      </c>
      <c r="D22" s="1">
        <v>46</v>
      </c>
      <c r="E22" s="1">
        <f>AVERAGE(C22:D22)</f>
        <v>50.5</v>
      </c>
      <c r="F22" s="1">
        <f>73151+70037</f>
        <v>143188</v>
      </c>
      <c r="G22" s="1">
        <f>86626+64307</f>
        <v>150933</v>
      </c>
      <c r="H22" s="1">
        <f>AVERAGE(F22:G22)</f>
        <v>147060.5</v>
      </c>
      <c r="I22" s="1">
        <f>(10000/H22)*E22</f>
        <v>3.4339608528462775</v>
      </c>
    </row>
    <row r="23" spans="2:9">
      <c r="B23" s="1" t="s">
        <v>32</v>
      </c>
      <c r="C23" s="1">
        <v>51</v>
      </c>
      <c r="D23" s="1">
        <v>43</v>
      </c>
      <c r="E23" s="1">
        <f>AVERAGE(C23:D23)</f>
        <v>47</v>
      </c>
      <c r="F23" s="1">
        <f>72284+88673</f>
        <v>160957</v>
      </c>
      <c r="G23" s="1">
        <f>87830+83808</f>
        <v>171638</v>
      </c>
      <c r="H23" s="1">
        <f>AVERAGE(F23:G23)</f>
        <v>166297.5</v>
      </c>
      <c r="I23" s="1">
        <f>(10000/H23)*E23</f>
        <v>2.826260166268284</v>
      </c>
    </row>
    <row r="24" spans="2:9">
      <c r="B24" s="1" t="s">
        <v>31</v>
      </c>
      <c r="C24" s="1">
        <v>49</v>
      </c>
      <c r="D24" s="1">
        <v>45</v>
      </c>
      <c r="E24" s="1">
        <f>AVERAGE(C24:D24)</f>
        <v>47</v>
      </c>
      <c r="F24" s="1">
        <v>212891</v>
      </c>
      <c r="G24" s="1">
        <v>219922</v>
      </c>
      <c r="H24" s="1">
        <f>AVERAGE(F24:G24)</f>
        <v>216406.5</v>
      </c>
      <c r="I24" s="1">
        <f>(10000/H24)*E24</f>
        <v>2.1718386462513832</v>
      </c>
    </row>
    <row r="26" spans="2:9">
      <c r="B26" s="3" t="s">
        <v>30</v>
      </c>
    </row>
    <row r="27" spans="2:9">
      <c r="B27" s="1" t="s">
        <v>29</v>
      </c>
      <c r="C27" s="1">
        <v>38</v>
      </c>
      <c r="D27" s="1">
        <v>31</v>
      </c>
      <c r="E27" s="1">
        <f>AVERAGE(C27:D27)</f>
        <v>34.5</v>
      </c>
      <c r="F27" s="1">
        <v>221054</v>
      </c>
      <c r="G27" s="1">
        <v>223757</v>
      </c>
      <c r="H27" s="1">
        <f>AVERAGE(F27:G27)</f>
        <v>222405.5</v>
      </c>
      <c r="I27" s="1">
        <f>(10000/H27)*E27</f>
        <v>1.5512206307847602</v>
      </c>
    </row>
    <row r="28" spans="2:9">
      <c r="B28" s="1" t="s">
        <v>28</v>
      </c>
      <c r="C28" s="1">
        <v>39</v>
      </c>
      <c r="D28" s="1">
        <v>26</v>
      </c>
      <c r="E28" s="1">
        <f>AVERAGE(C28:D28)</f>
        <v>32.5</v>
      </c>
      <c r="F28" s="1">
        <v>214151</v>
      </c>
      <c r="G28" s="1">
        <v>198275</v>
      </c>
      <c r="H28" s="1">
        <f>AVERAGE(F28:G28)</f>
        <v>206213</v>
      </c>
      <c r="I28" s="1">
        <f>(10000/H28)*E28</f>
        <v>1.5760403078370424</v>
      </c>
    </row>
    <row r="29" spans="2:9">
      <c r="B29" s="1" t="s">
        <v>27</v>
      </c>
      <c r="C29" s="1">
        <v>46</v>
      </c>
      <c r="D29" s="1">
        <v>37</v>
      </c>
      <c r="E29" s="1">
        <f>AVERAGE(C29:D29)</f>
        <v>41.5</v>
      </c>
      <c r="F29" s="1">
        <f>95715+94310</f>
        <v>190025</v>
      </c>
      <c r="G29" s="1">
        <v>188545</v>
      </c>
      <c r="H29" s="1">
        <f>AVERAGE(F29:G29)</f>
        <v>189285</v>
      </c>
      <c r="I29" s="1">
        <f>(10000/H29)*E29</f>
        <v>2.192461103626806</v>
      </c>
    </row>
    <row r="31" spans="2:9">
      <c r="B31" s="3" t="s">
        <v>26</v>
      </c>
    </row>
    <row r="32" spans="2:9">
      <c r="B32" s="1" t="s">
        <v>25</v>
      </c>
      <c r="C32" s="1">
        <v>62</v>
      </c>
      <c r="D32" s="1">
        <v>40</v>
      </c>
      <c r="E32" s="1">
        <f>AVERAGE(C32:D32)</f>
        <v>51</v>
      </c>
      <c r="F32" s="1">
        <f>98465+102416</f>
        <v>200881</v>
      </c>
      <c r="G32" s="1">
        <v>223311</v>
      </c>
      <c r="H32" s="1">
        <f>AVERAGE(F32:G32)</f>
        <v>212096</v>
      </c>
      <c r="I32" s="1">
        <f>(10000/H32)*E32</f>
        <v>2.4045715147857574</v>
      </c>
    </row>
    <row r="33" spans="2:10">
      <c r="B33" s="1" t="s">
        <v>24</v>
      </c>
      <c r="C33" s="1">
        <v>37</v>
      </c>
      <c r="D33" s="1">
        <v>54</v>
      </c>
      <c r="E33" s="1">
        <f>AVERAGE(C33:D33)</f>
        <v>45.5</v>
      </c>
      <c r="F33" s="1">
        <f>99972+101530+2015</f>
        <v>203517</v>
      </c>
      <c r="G33" s="1">
        <f>107436+113576</f>
        <v>221012</v>
      </c>
      <c r="H33" s="1">
        <f>AVERAGE(F33:G33)</f>
        <v>212264.5</v>
      </c>
      <c r="I33" s="1">
        <f>(10000/H33)*E33</f>
        <v>2.1435520306033276</v>
      </c>
    </row>
    <row r="34" spans="2:10">
      <c r="B34" s="1" t="s">
        <v>23</v>
      </c>
      <c r="C34" s="1">
        <v>45</v>
      </c>
      <c r="D34" s="1">
        <v>40</v>
      </c>
      <c r="E34" s="1">
        <f>AVERAGE(C34:D34)</f>
        <v>42.5</v>
      </c>
      <c r="F34" s="1">
        <f>75875+85804</f>
        <v>161679</v>
      </c>
      <c r="G34" s="1">
        <v>177941</v>
      </c>
      <c r="H34" s="1">
        <f>AVERAGE(F34:G34)</f>
        <v>169810</v>
      </c>
      <c r="I34" s="1">
        <f>(10000/H34)*E34</f>
        <v>2.5027972439785642</v>
      </c>
    </row>
    <row r="36" spans="2:10">
      <c r="B36" s="3" t="s">
        <v>22</v>
      </c>
    </row>
    <row r="37" spans="2:10">
      <c r="B37" s="1" t="s">
        <v>21</v>
      </c>
      <c r="C37" s="1">
        <v>43</v>
      </c>
      <c r="D37" s="1">
        <v>42</v>
      </c>
      <c r="E37" s="1">
        <f>AVERAGE(C37:D37)</f>
        <v>42.5</v>
      </c>
      <c r="F37" s="1">
        <v>188204</v>
      </c>
      <c r="G37" s="1">
        <f>68724+77172</f>
        <v>145896</v>
      </c>
      <c r="H37" s="1">
        <f>AVERAGE(F37:G37)</f>
        <v>167050</v>
      </c>
      <c r="I37" s="1">
        <f>(10000/H37)*E37</f>
        <v>2.544148458545346</v>
      </c>
    </row>
    <row r="38" spans="2:10">
      <c r="B38" s="1" t="s">
        <v>20</v>
      </c>
      <c r="C38" s="1">
        <v>29</v>
      </c>
      <c r="D38" s="1">
        <v>18</v>
      </c>
      <c r="E38" s="1">
        <f>AVERAGE(C38:D38)</f>
        <v>23.5</v>
      </c>
      <c r="F38" s="1">
        <f>69323+76498</f>
        <v>145821</v>
      </c>
      <c r="G38" s="1">
        <f>84129+88420</f>
        <v>172549</v>
      </c>
      <c r="H38" s="1">
        <f>AVERAGE(F38:G38)</f>
        <v>159185</v>
      </c>
      <c r="I38" s="1">
        <f>(10000/H38)*E38</f>
        <v>1.4762697490341428</v>
      </c>
    </row>
    <row r="39" spans="2:10">
      <c r="B39" s="1" t="s">
        <v>19</v>
      </c>
      <c r="C39" s="1">
        <v>51</v>
      </c>
      <c r="D39" s="1">
        <v>57</v>
      </c>
      <c r="E39" s="1">
        <f>AVERAGE(C39:D39)</f>
        <v>54</v>
      </c>
      <c r="F39" s="1">
        <f>88252+68493</f>
        <v>156745</v>
      </c>
      <c r="G39" s="1">
        <f>92185+74571</f>
        <v>166756</v>
      </c>
      <c r="H39" s="1">
        <f>AVERAGE(F39:G39)</f>
        <v>161750.5</v>
      </c>
      <c r="I39" s="1">
        <f>(10000/H39)*E39</f>
        <v>3.3384749969860987</v>
      </c>
    </row>
    <row r="40" spans="2:10">
      <c r="B40" s="1" t="s">
        <v>18</v>
      </c>
      <c r="C40" s="1">
        <v>50</v>
      </c>
      <c r="D40" s="1">
        <v>36</v>
      </c>
      <c r="E40" s="1">
        <f>AVERAGE(C40:D40)</f>
        <v>43</v>
      </c>
      <c r="F40" s="1">
        <v>229472</v>
      </c>
      <c r="G40" s="1">
        <v>234899</v>
      </c>
      <c r="H40" s="1">
        <f>AVERAGE(F40:G40)</f>
        <v>232185.5</v>
      </c>
      <c r="I40" s="1">
        <f>(10000/H40)*E40</f>
        <v>1.8519675001238236</v>
      </c>
    </row>
    <row r="41" spans="2:10">
      <c r="B41" s="1" t="s">
        <v>17</v>
      </c>
      <c r="C41" s="1">
        <v>22</v>
      </c>
      <c r="D41" s="1">
        <v>26</v>
      </c>
      <c r="E41" s="1">
        <f>AVERAGE(C41:D41)</f>
        <v>24</v>
      </c>
      <c r="F41" s="1">
        <v>138803</v>
      </c>
      <c r="G41" s="1">
        <v>148631</v>
      </c>
      <c r="H41" s="1">
        <f>AVERAGE(F41:G41)</f>
        <v>143717</v>
      </c>
      <c r="I41" s="1">
        <f>(10000/H41)*E41</f>
        <v>1.6699485794999895</v>
      </c>
    </row>
    <row r="44" spans="2:10">
      <c r="G44"/>
      <c r="H44"/>
      <c r="I44"/>
      <c r="J44"/>
    </row>
    <row r="45" spans="2:10">
      <c r="G45"/>
      <c r="H45"/>
      <c r="I45"/>
      <c r="J45"/>
    </row>
    <row r="46" spans="2:10">
      <c r="G46"/>
      <c r="H46"/>
      <c r="I46"/>
      <c r="J46"/>
    </row>
    <row r="47" spans="2:10">
      <c r="G47"/>
      <c r="H47"/>
      <c r="I47"/>
      <c r="J47"/>
    </row>
    <row r="48" spans="2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7:10">
      <c r="G65"/>
      <c r="H65"/>
      <c r="I65"/>
      <c r="J65"/>
    </row>
    <row r="66" spans="7:10">
      <c r="G66"/>
      <c r="H66"/>
      <c r="I66"/>
      <c r="J66"/>
    </row>
    <row r="67" spans="7:10">
      <c r="G67"/>
      <c r="H67"/>
      <c r="I67"/>
      <c r="J67"/>
    </row>
    <row r="68" spans="7:10">
      <c r="G68"/>
      <c r="H68"/>
      <c r="I68"/>
      <c r="J68"/>
    </row>
    <row r="69" spans="7:10">
      <c r="G69"/>
      <c r="H69"/>
      <c r="I69"/>
      <c r="J69"/>
    </row>
    <row r="70" spans="7:10">
      <c r="G70"/>
      <c r="H70"/>
      <c r="I70"/>
      <c r="J70"/>
    </row>
    <row r="71" spans="7:10">
      <c r="G71"/>
      <c r="H71"/>
      <c r="I71"/>
      <c r="J71"/>
    </row>
    <row r="72" spans="7:10">
      <c r="G72"/>
      <c r="H72"/>
      <c r="I72"/>
      <c r="J72"/>
    </row>
    <row r="73" spans="7:10">
      <c r="G73"/>
      <c r="H73"/>
      <c r="I73"/>
      <c r="J73"/>
    </row>
    <row r="74" spans="7:10">
      <c r="G74"/>
      <c r="H74"/>
      <c r="I74"/>
      <c r="J74"/>
    </row>
    <row r="75" spans="7:10">
      <c r="G75"/>
      <c r="H75"/>
      <c r="I75"/>
      <c r="J75"/>
    </row>
    <row r="76" spans="7:10">
      <c r="G76"/>
      <c r="H76"/>
      <c r="I76"/>
      <c r="J76"/>
    </row>
    <row r="77" spans="7:10">
      <c r="G77"/>
      <c r="H77"/>
      <c r="I77"/>
      <c r="J77"/>
    </row>
    <row r="78" spans="7:10">
      <c r="G78"/>
      <c r="H78"/>
      <c r="I78"/>
      <c r="J78"/>
    </row>
    <row r="79" spans="7:10">
      <c r="G79"/>
      <c r="H79"/>
      <c r="I79"/>
      <c r="J79"/>
    </row>
    <row r="80" spans="7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C8A8-D7D6-2444-93E5-BBF379C1C24D}">
  <dimension ref="A1:S79"/>
  <sheetViews>
    <sheetView workbookViewId="0">
      <selection activeCell="A4" sqref="A4"/>
    </sheetView>
  </sheetViews>
  <sheetFormatPr baseColWidth="10" defaultColWidth="9.42578125" defaultRowHeight="16"/>
  <cols>
    <col min="1" max="1" width="16" style="1" customWidth="1"/>
    <col min="2" max="2" width="24.140625" style="1" customWidth="1"/>
    <col min="3" max="3" width="19.7109375" style="1" customWidth="1"/>
    <col min="4" max="4" width="16.28515625" style="1" customWidth="1"/>
    <col min="5" max="5" width="19.7109375" style="1" customWidth="1"/>
    <col min="6" max="6" width="18.42578125" style="1" customWidth="1"/>
    <col min="7" max="7" width="18.85546875" style="1" customWidth="1"/>
    <col min="8" max="8" width="17.5703125" style="1" customWidth="1"/>
    <col min="9" max="9" width="34" style="1" customWidth="1"/>
    <col min="10" max="10" width="11.7109375" style="1" customWidth="1"/>
    <col min="11" max="11" width="11.42578125" style="1" customWidth="1"/>
    <col min="12" max="12" width="12.5703125" style="1" customWidth="1"/>
    <col min="13" max="13" width="12" style="1" customWidth="1"/>
    <col min="14" max="14" width="11.140625" style="1" customWidth="1"/>
    <col min="15" max="15" width="10" style="1" customWidth="1"/>
    <col min="16" max="16" width="10.5703125" style="1" customWidth="1"/>
    <col min="17" max="17" width="10.85546875" style="1" customWidth="1"/>
    <col min="18" max="18" width="12.7109375" style="1" customWidth="1"/>
    <col min="19" max="19" width="13.85546875" style="1" bestFit="1" customWidth="1"/>
    <col min="20" max="16384" width="9.42578125" style="1"/>
  </cols>
  <sheetData>
    <row r="1" spans="1:19">
      <c r="A1" s="3" t="s">
        <v>81</v>
      </c>
      <c r="B1" s="3" t="s">
        <v>55</v>
      </c>
    </row>
    <row r="2" spans="1:19">
      <c r="B2" s="3" t="s">
        <v>80</v>
      </c>
      <c r="C2" s="3" t="s">
        <v>79</v>
      </c>
      <c r="D2" s="3" t="s">
        <v>79</v>
      </c>
      <c r="E2" s="3" t="s">
        <v>58</v>
      </c>
      <c r="F2" s="3" t="s">
        <v>52</v>
      </c>
      <c r="G2" s="3" t="s">
        <v>51</v>
      </c>
      <c r="H2" s="3" t="s">
        <v>57</v>
      </c>
      <c r="I2" s="2" t="s">
        <v>50</v>
      </c>
    </row>
    <row r="3" spans="1:19">
      <c r="B3" s="1" t="s">
        <v>78</v>
      </c>
      <c r="C3" s="1">
        <v>6</v>
      </c>
      <c r="D3" s="1">
        <v>8</v>
      </c>
      <c r="E3" s="1">
        <f t="shared" ref="E3:E9" si="0">AVERAGE(C3:D3)</f>
        <v>7</v>
      </c>
      <c r="F3" s="1">
        <f>88875+94673</f>
        <v>183548</v>
      </c>
      <c r="G3" s="1">
        <f>46985.589+51163.856</f>
        <v>98149.445000000007</v>
      </c>
      <c r="H3" s="1">
        <f t="shared" ref="H3:H9" si="1">AVERAGE(F3:G3)</f>
        <v>140848.7225</v>
      </c>
      <c r="I3" s="1">
        <f t="shared" ref="I3:I9" si="2">(10000/H3)*E3</f>
        <v>0.49698711324840023</v>
      </c>
      <c r="M3" s="3"/>
      <c r="N3" s="3"/>
      <c r="O3" s="3"/>
      <c r="P3" s="3"/>
      <c r="Q3" s="3"/>
      <c r="R3" s="3"/>
      <c r="S3" s="3"/>
    </row>
    <row r="4" spans="1:19">
      <c r="B4" s="1" t="s">
        <v>77</v>
      </c>
      <c r="C4" s="1">
        <v>6</v>
      </c>
      <c r="D4" s="1">
        <v>8</v>
      </c>
      <c r="E4" s="1">
        <f t="shared" si="0"/>
        <v>7</v>
      </c>
      <c r="F4" s="1">
        <f>82325+87896+910</f>
        <v>171131</v>
      </c>
      <c r="G4" s="1">
        <f>88079+93161</f>
        <v>181240</v>
      </c>
      <c r="H4" s="1">
        <f t="shared" si="1"/>
        <v>176185.5</v>
      </c>
      <c r="I4" s="1">
        <f t="shared" si="2"/>
        <v>0.39730851857843014</v>
      </c>
    </row>
    <row r="5" spans="1:19">
      <c r="B5" s="1" t="s">
        <v>76</v>
      </c>
      <c r="C5" s="1">
        <v>8</v>
      </c>
      <c r="D5" s="1">
        <v>9</v>
      </c>
      <c r="E5" s="1">
        <f t="shared" si="0"/>
        <v>8.5</v>
      </c>
      <c r="F5" s="1">
        <f>76923+110618</f>
        <v>187541</v>
      </c>
      <c r="G5" s="1">
        <f>109703+102224</f>
        <v>211927</v>
      </c>
      <c r="H5" s="1">
        <f t="shared" si="1"/>
        <v>199734</v>
      </c>
      <c r="I5" s="1">
        <f t="shared" si="2"/>
        <v>0.42556600278370227</v>
      </c>
      <c r="S5" s="5"/>
    </row>
    <row r="6" spans="1:19">
      <c r="B6" s="1" t="s">
        <v>75</v>
      </c>
      <c r="C6" s="1">
        <v>8</v>
      </c>
      <c r="D6" s="1">
        <v>3</v>
      </c>
      <c r="E6" s="1">
        <f t="shared" si="0"/>
        <v>5.5</v>
      </c>
      <c r="F6" s="1">
        <v>208709</v>
      </c>
      <c r="G6" s="1">
        <f>194256+6868</f>
        <v>201124</v>
      </c>
      <c r="H6" s="1">
        <f t="shared" si="1"/>
        <v>204916.5</v>
      </c>
      <c r="I6" s="1">
        <f t="shared" si="2"/>
        <v>0.26840200764701722</v>
      </c>
      <c r="P6" s="5"/>
    </row>
    <row r="7" spans="1:19">
      <c r="B7" s="1" t="s">
        <v>74</v>
      </c>
      <c r="C7" s="1">
        <v>5</v>
      </c>
      <c r="D7" s="1">
        <v>4</v>
      </c>
      <c r="E7" s="1">
        <f t="shared" si="0"/>
        <v>4.5</v>
      </c>
      <c r="F7" s="1">
        <f>80637+74458</f>
        <v>155095</v>
      </c>
      <c r="G7" s="1">
        <f>79059+77233</f>
        <v>156292</v>
      </c>
      <c r="H7" s="1">
        <f t="shared" si="1"/>
        <v>155693.5</v>
      </c>
      <c r="I7" s="1">
        <f t="shared" si="2"/>
        <v>0.28902940713645719</v>
      </c>
      <c r="K7" s="4"/>
      <c r="L7" s="4"/>
      <c r="M7" s="4"/>
      <c r="N7" s="4"/>
      <c r="O7" s="4"/>
      <c r="P7" s="4"/>
      <c r="Q7" s="4"/>
      <c r="R7" s="4"/>
    </row>
    <row r="8" spans="1:19">
      <c r="B8" s="1" t="s">
        <v>73</v>
      </c>
      <c r="C8" s="1">
        <v>4</v>
      </c>
      <c r="D8" s="1">
        <v>5</v>
      </c>
      <c r="E8" s="1">
        <f t="shared" si="0"/>
        <v>4.5</v>
      </c>
      <c r="F8" s="1">
        <f>88095+78309</f>
        <v>166404</v>
      </c>
      <c r="G8" s="1">
        <f>91656+79264</f>
        <v>170920</v>
      </c>
      <c r="H8" s="1">
        <f t="shared" si="1"/>
        <v>168662</v>
      </c>
      <c r="I8" s="1">
        <f t="shared" si="2"/>
        <v>0.26680580095101447</v>
      </c>
    </row>
    <row r="9" spans="1:19">
      <c r="B9" s="1" t="s">
        <v>72</v>
      </c>
      <c r="C9" s="1">
        <v>2</v>
      </c>
      <c r="D9" s="1">
        <v>2</v>
      </c>
      <c r="E9" s="1">
        <f t="shared" si="0"/>
        <v>2</v>
      </c>
      <c r="F9" s="1">
        <f>81138+1854+85197</f>
        <v>168189</v>
      </c>
      <c r="G9" s="1">
        <f>80204+75154</f>
        <v>155358</v>
      </c>
      <c r="H9" s="1">
        <f t="shared" si="1"/>
        <v>161773.5</v>
      </c>
      <c r="I9" s="1">
        <f t="shared" si="2"/>
        <v>0.12362964267942525</v>
      </c>
    </row>
    <row r="11" spans="1:19">
      <c r="B11" s="3" t="s">
        <v>42</v>
      </c>
    </row>
    <row r="12" spans="1:19">
      <c r="B12" s="1" t="s">
        <v>41</v>
      </c>
      <c r="C12" s="1">
        <v>60</v>
      </c>
      <c r="D12" s="1">
        <v>72</v>
      </c>
      <c r="E12" s="1">
        <f>AVERAGE(C12:D12)</f>
        <v>66</v>
      </c>
      <c r="F12" s="1">
        <f>56588+52669</f>
        <v>109257</v>
      </c>
      <c r="G12" s="1">
        <f>66756+59209</f>
        <v>125965</v>
      </c>
      <c r="H12" s="1">
        <f>AVERAGE(F12:G12)</f>
        <v>117611</v>
      </c>
      <c r="I12" s="1">
        <f>(10000/H12)*E12</f>
        <v>5.6117199921776022</v>
      </c>
      <c r="L12" s="3"/>
    </row>
    <row r="13" spans="1:19">
      <c r="B13" s="1" t="s">
        <v>40</v>
      </c>
      <c r="C13" s="1">
        <v>69</v>
      </c>
      <c r="D13" s="1">
        <v>30</v>
      </c>
      <c r="E13" s="1">
        <f>AVERAGE(C13:D13)</f>
        <v>49.5</v>
      </c>
      <c r="F13" s="1">
        <f>90084+91362</f>
        <v>181446</v>
      </c>
      <c r="G13" s="1">
        <f>77605+75982</f>
        <v>153587</v>
      </c>
      <c r="H13" s="1">
        <f>AVERAGE(F13:G13)</f>
        <v>167516.5</v>
      </c>
      <c r="I13" s="1">
        <f>(10000/H13)*E13</f>
        <v>2.9549327976647075</v>
      </c>
      <c r="L13" s="3"/>
    </row>
    <row r="14" spans="1:19">
      <c r="B14" s="1" t="s">
        <v>39</v>
      </c>
      <c r="C14" s="1">
        <v>45</v>
      </c>
      <c r="D14" s="1">
        <v>51</v>
      </c>
      <c r="E14" s="1">
        <f>AVERAGE(C14:D14)</f>
        <v>48</v>
      </c>
      <c r="F14" s="1">
        <f>92026+74357</f>
        <v>166383</v>
      </c>
      <c r="G14" s="1">
        <f>73957+3839+79318</f>
        <v>157114</v>
      </c>
      <c r="H14" s="1">
        <f>AVERAGE(F14:G14)</f>
        <v>161748.5</v>
      </c>
      <c r="I14" s="1">
        <f>(10000/H14)*E14</f>
        <v>2.9675700238332965</v>
      </c>
      <c r="L14" s="3"/>
    </row>
    <row r="16" spans="1:19">
      <c r="B16" s="3" t="s">
        <v>38</v>
      </c>
    </row>
    <row r="17" spans="2:9">
      <c r="B17" s="1" t="s">
        <v>37</v>
      </c>
      <c r="C17" s="1">
        <v>18</v>
      </c>
      <c r="D17" s="1">
        <v>21</v>
      </c>
      <c r="E17" s="1">
        <f>AVERAGE(C17:D17)</f>
        <v>19.5</v>
      </c>
      <c r="F17" s="1">
        <f>80685+73177</f>
        <v>153862</v>
      </c>
      <c r="G17" s="1">
        <f>76683+80930</f>
        <v>157613</v>
      </c>
      <c r="H17" s="1">
        <f>AVERAGE(F17:G17)</f>
        <v>155737.5</v>
      </c>
      <c r="I17" s="1">
        <f>(10000/H17)*E17</f>
        <v>1.2521069106669875</v>
      </c>
    </row>
    <row r="18" spans="2:9">
      <c r="B18" s="1" t="s">
        <v>36</v>
      </c>
      <c r="C18" s="1">
        <v>27</v>
      </c>
      <c r="D18" s="1">
        <v>24</v>
      </c>
      <c r="E18" s="1">
        <f>AVERAGE(C18:D18)</f>
        <v>25.5</v>
      </c>
      <c r="F18" s="1">
        <f>126994+106041</f>
        <v>233035</v>
      </c>
      <c r="G18" s="1">
        <f>124115+99068</f>
        <v>223183</v>
      </c>
      <c r="H18" s="1">
        <f>AVERAGE(F18:G18)</f>
        <v>228109</v>
      </c>
      <c r="I18" s="1">
        <f>(10000/H18)*E18</f>
        <v>1.1178866243769425</v>
      </c>
    </row>
    <row r="19" spans="2:9">
      <c r="B19" s="1" t="s">
        <v>35</v>
      </c>
      <c r="C19" s="1">
        <v>18</v>
      </c>
      <c r="D19" s="1">
        <v>17</v>
      </c>
      <c r="E19" s="1">
        <f>AVERAGE(C19:D19)</f>
        <v>17.5</v>
      </c>
      <c r="F19" s="1">
        <f>109158+88787</f>
        <v>197945</v>
      </c>
      <c r="G19" s="1">
        <f>65668+72766</f>
        <v>138434</v>
      </c>
      <c r="H19" s="1">
        <f>AVERAGE(F19:G19)</f>
        <v>168189.5</v>
      </c>
      <c r="I19" s="1">
        <f>(10000/H19)*E19</f>
        <v>1.0404930153190299</v>
      </c>
    </row>
    <row r="21" spans="2:9">
      <c r="B21" s="3" t="s">
        <v>34</v>
      </c>
    </row>
    <row r="22" spans="2:9">
      <c r="B22" s="1" t="s">
        <v>71</v>
      </c>
      <c r="C22" s="1">
        <v>10</v>
      </c>
      <c r="D22" s="1">
        <v>15</v>
      </c>
      <c r="E22" s="1">
        <f>AVERAGE(C22:D22)</f>
        <v>12.5</v>
      </c>
      <c r="F22" s="1">
        <v>160452</v>
      </c>
      <c r="G22" s="1">
        <f>172615+12832</f>
        <v>185447</v>
      </c>
      <c r="H22" s="1">
        <f>AVERAGE(F22:G22)</f>
        <v>172949.5</v>
      </c>
      <c r="I22" s="1">
        <f>(10000/H22)*E22</f>
        <v>0.72275433002119116</v>
      </c>
    </row>
    <row r="23" spans="2:9">
      <c r="B23" s="1" t="s">
        <v>70</v>
      </c>
      <c r="C23" s="1">
        <v>19</v>
      </c>
      <c r="D23" s="1">
        <v>11</v>
      </c>
      <c r="E23" s="1">
        <f>AVERAGE(C23:D23)</f>
        <v>15</v>
      </c>
      <c r="F23" s="1">
        <f>74596+89836</f>
        <v>164432</v>
      </c>
      <c r="G23" s="1">
        <f>76085+85113</f>
        <v>161198</v>
      </c>
      <c r="H23" s="1">
        <f>AVERAGE(F23:G23)</f>
        <v>162815</v>
      </c>
      <c r="I23" s="1">
        <f>(10000/H23)*E23</f>
        <v>0.92129103583822136</v>
      </c>
    </row>
    <row r="24" spans="2:9">
      <c r="B24" s="1" t="s">
        <v>69</v>
      </c>
      <c r="C24" s="1">
        <v>22</v>
      </c>
      <c r="D24" s="1">
        <v>22</v>
      </c>
      <c r="E24" s="1">
        <f>AVERAGE(C24:D24)</f>
        <v>22</v>
      </c>
      <c r="F24" s="1">
        <f>109271+83712</f>
        <v>192983</v>
      </c>
      <c r="G24" s="1">
        <f>119109+84244</f>
        <v>203353</v>
      </c>
      <c r="H24" s="1">
        <f>AVERAGE(F24:G24)</f>
        <v>198168</v>
      </c>
      <c r="I24" s="1">
        <f>(10000/H24)*E24</f>
        <v>1.1101691494085826</v>
      </c>
    </row>
    <row r="25" spans="2:9">
      <c r="B25" s="1" t="s">
        <v>68</v>
      </c>
      <c r="C25" s="1">
        <v>17</v>
      </c>
      <c r="D25" s="1">
        <v>16</v>
      </c>
      <c r="E25" s="1">
        <f>AVERAGE(C25:D25)</f>
        <v>16.5</v>
      </c>
      <c r="F25" s="1">
        <f>139726+17359</f>
        <v>157085</v>
      </c>
      <c r="G25" s="1">
        <v>189075</v>
      </c>
      <c r="H25" s="1">
        <f>AVERAGE(F25:G25)</f>
        <v>173080</v>
      </c>
      <c r="I25" s="1">
        <f>(10000/H25)*E25</f>
        <v>0.95331638548648023</v>
      </c>
    </row>
    <row r="27" spans="2:9">
      <c r="B27" s="3" t="s">
        <v>30</v>
      </c>
    </row>
    <row r="28" spans="2:9">
      <c r="B28" s="1" t="s">
        <v>27</v>
      </c>
      <c r="C28" s="1">
        <v>9</v>
      </c>
      <c r="D28" s="1">
        <v>8</v>
      </c>
      <c r="E28" s="1">
        <f>AVERAGE(C28:D28)</f>
        <v>8.5</v>
      </c>
      <c r="F28" s="1">
        <f>95715+94310</f>
        <v>190025</v>
      </c>
      <c r="G28" s="1">
        <v>188545</v>
      </c>
      <c r="H28" s="1">
        <f>AVERAGE(F28:G28)</f>
        <v>189285</v>
      </c>
      <c r="I28" s="1">
        <f>(10000/H28)*E28</f>
        <v>0.44905829833320127</v>
      </c>
    </row>
    <row r="29" spans="2:9">
      <c r="B29" s="1" t="s">
        <v>67</v>
      </c>
      <c r="C29" s="1">
        <v>7</v>
      </c>
      <c r="D29" s="1">
        <v>6</v>
      </c>
      <c r="E29" s="1">
        <f>AVERAGE(C29:D29)</f>
        <v>6.5</v>
      </c>
      <c r="F29" s="1">
        <f>104952+103573</f>
        <v>208525</v>
      </c>
      <c r="G29" s="1">
        <v>223757</v>
      </c>
      <c r="H29" s="1">
        <f>AVERAGE(F29:G29)</f>
        <v>216141</v>
      </c>
      <c r="I29" s="1">
        <f>(10000/H29)*E29</f>
        <v>0.30072961631527567</v>
      </c>
    </row>
    <row r="30" spans="2:9">
      <c r="B30" s="1" t="s">
        <v>66</v>
      </c>
      <c r="C30" s="1">
        <v>8</v>
      </c>
      <c r="D30" s="1">
        <v>7</v>
      </c>
      <c r="E30" s="1">
        <f>AVERAGE(C30:D30)</f>
        <v>7.5</v>
      </c>
      <c r="F30" s="1">
        <v>214151</v>
      </c>
      <c r="G30" s="1">
        <v>257530</v>
      </c>
      <c r="H30" s="1">
        <f>AVERAGE(F30:G30)</f>
        <v>235840.5</v>
      </c>
      <c r="I30" s="1">
        <f>(10000/H30)*E30</f>
        <v>0.31801153745857896</v>
      </c>
    </row>
    <row r="32" spans="2:9">
      <c r="B32" s="3" t="s">
        <v>26</v>
      </c>
    </row>
    <row r="33" spans="2:10">
      <c r="B33" s="1" t="s">
        <v>65</v>
      </c>
      <c r="C33" s="1">
        <v>11</v>
      </c>
      <c r="D33" s="1">
        <v>8</v>
      </c>
      <c r="E33" s="1">
        <f>AVERAGE(C33:D33)</f>
        <v>9.5</v>
      </c>
      <c r="F33" s="1">
        <v>228807</v>
      </c>
      <c r="G33" s="1">
        <v>223311</v>
      </c>
      <c r="H33" s="1">
        <f>AVERAGE(F33:G33)</f>
        <v>226059</v>
      </c>
      <c r="I33" s="1">
        <f>(10000/H33)*E33</f>
        <v>0.42024427251292806</v>
      </c>
    </row>
    <row r="34" spans="2:10">
      <c r="B34" s="1" t="s">
        <v>64</v>
      </c>
      <c r="C34" s="1">
        <v>10</v>
      </c>
      <c r="D34" s="1">
        <v>8</v>
      </c>
      <c r="E34" s="1">
        <f>AVERAGE(C34:D34)</f>
        <v>9</v>
      </c>
      <c r="F34" s="1">
        <f>99972+101530+2015</f>
        <v>203517</v>
      </c>
      <c r="G34" s="1">
        <f>107436+113576</f>
        <v>221012</v>
      </c>
      <c r="H34" s="1">
        <f>AVERAGE(F34:G34)</f>
        <v>212264.5</v>
      </c>
      <c r="I34" s="1">
        <f>(10000/H34)*E34</f>
        <v>0.42399930275670217</v>
      </c>
    </row>
    <row r="35" spans="2:10">
      <c r="B35" s="1" t="s">
        <v>63</v>
      </c>
      <c r="C35" s="1">
        <v>6</v>
      </c>
      <c r="D35" s="1">
        <v>8</v>
      </c>
      <c r="E35" s="1">
        <f>AVERAGE(C35:D35)</f>
        <v>7</v>
      </c>
      <c r="F35" s="1">
        <f>75875+85804</f>
        <v>161679</v>
      </c>
      <c r="G35" s="1">
        <v>177941</v>
      </c>
      <c r="H35" s="1">
        <f>AVERAGE(F35:G35)</f>
        <v>169810</v>
      </c>
      <c r="I35" s="1">
        <f>(10000/H35)*E35</f>
        <v>0.41222542841999882</v>
      </c>
    </row>
    <row r="37" spans="2:10">
      <c r="B37" s="3" t="s">
        <v>22</v>
      </c>
    </row>
    <row r="38" spans="2:10">
      <c r="B38" s="1" t="s">
        <v>62</v>
      </c>
      <c r="C38" s="1">
        <v>12</v>
      </c>
      <c r="D38" s="1">
        <v>7</v>
      </c>
      <c r="E38" s="1">
        <f>AVERAGE(C38:D38)</f>
        <v>9.5</v>
      </c>
      <c r="F38" s="1">
        <v>147619</v>
      </c>
      <c r="G38" s="1">
        <v>133138</v>
      </c>
      <c r="H38" s="1">
        <f>AVERAGE(F38:G38)</f>
        <v>140378.5</v>
      </c>
      <c r="I38" s="1">
        <f>(10000/H38)*E38</f>
        <v>0.67674180875276491</v>
      </c>
    </row>
    <row r="39" spans="2:10">
      <c r="B39" s="1" t="s">
        <v>61</v>
      </c>
      <c r="C39" s="1">
        <v>5</v>
      </c>
      <c r="D39" s="1">
        <v>7</v>
      </c>
      <c r="E39" s="1">
        <f>AVERAGE(C39:D39)</f>
        <v>6</v>
      </c>
      <c r="F39" s="1">
        <f>69323+76498</f>
        <v>145821</v>
      </c>
      <c r="G39" s="1">
        <f>84129+88420</f>
        <v>172549</v>
      </c>
      <c r="H39" s="1">
        <f>AVERAGE(F39:G39)</f>
        <v>159185</v>
      </c>
      <c r="I39" s="1">
        <f>(10000/H39)*E39</f>
        <v>0.37691993592361089</v>
      </c>
    </row>
    <row r="40" spans="2:10">
      <c r="B40" s="1" t="s">
        <v>60</v>
      </c>
      <c r="C40" s="1">
        <v>7</v>
      </c>
      <c r="D40" s="1">
        <v>8</v>
      </c>
      <c r="E40" s="1">
        <f>AVERAGE(C40:D40)</f>
        <v>7.5</v>
      </c>
      <c r="F40" s="1">
        <v>229472</v>
      </c>
      <c r="G40" s="1">
        <v>234899</v>
      </c>
      <c r="H40" s="1">
        <f>AVERAGE(F40:G40)</f>
        <v>232185.5</v>
      </c>
      <c r="I40" s="1">
        <f>(10000/H40)*E40</f>
        <v>0.32301758723089946</v>
      </c>
    </row>
    <row r="41" spans="2:10">
      <c r="B41" s="1" t="s">
        <v>59</v>
      </c>
      <c r="C41" s="1">
        <v>7</v>
      </c>
      <c r="D41" s="1">
        <v>12</v>
      </c>
      <c r="E41" s="1">
        <f>AVERAGE(C41:D41)</f>
        <v>9.5</v>
      </c>
      <c r="F41" s="1">
        <v>138803</v>
      </c>
      <c r="G41" s="1">
        <v>148631</v>
      </c>
      <c r="H41" s="1">
        <f>AVERAGE(F41:G41)</f>
        <v>143717</v>
      </c>
      <c r="I41" s="1">
        <f>(10000/H41)*E41</f>
        <v>0.66102131271874587</v>
      </c>
    </row>
    <row r="45" spans="2:10">
      <c r="G45"/>
      <c r="H45"/>
      <c r="I45"/>
      <c r="J45"/>
    </row>
    <row r="46" spans="2:10">
      <c r="G46"/>
      <c r="H46"/>
      <c r="I46"/>
      <c r="J46"/>
    </row>
    <row r="47" spans="2:10">
      <c r="G47"/>
      <c r="H47"/>
      <c r="I47"/>
      <c r="J47"/>
    </row>
    <row r="48" spans="2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7:10">
      <c r="G65"/>
      <c r="H65"/>
      <c r="I65"/>
      <c r="J65"/>
    </row>
    <row r="66" spans="7:10">
      <c r="G66"/>
      <c r="H66"/>
      <c r="I66"/>
      <c r="J66"/>
    </row>
    <row r="67" spans="7:10">
      <c r="G67"/>
      <c r="H67"/>
      <c r="I67"/>
      <c r="J67"/>
    </row>
    <row r="68" spans="7:10">
      <c r="G68"/>
      <c r="H68"/>
      <c r="I68"/>
      <c r="J68"/>
    </row>
    <row r="69" spans="7:10">
      <c r="G69"/>
      <c r="H69"/>
      <c r="I69"/>
      <c r="J69"/>
    </row>
    <row r="70" spans="7:10">
      <c r="G70"/>
      <c r="H70"/>
      <c r="I70"/>
      <c r="J70"/>
    </row>
    <row r="71" spans="7:10">
      <c r="G71"/>
      <c r="H71"/>
      <c r="I71"/>
      <c r="J71"/>
    </row>
    <row r="72" spans="7:10">
      <c r="G72"/>
      <c r="H72"/>
      <c r="I72"/>
      <c r="J72"/>
    </row>
    <row r="73" spans="7:10">
      <c r="G73"/>
      <c r="H73"/>
      <c r="I73"/>
      <c r="J73"/>
    </row>
    <row r="74" spans="7:10">
      <c r="G74"/>
      <c r="H74"/>
      <c r="I74"/>
      <c r="J74"/>
    </row>
    <row r="75" spans="7:10">
      <c r="G75"/>
      <c r="H75"/>
      <c r="I75"/>
      <c r="J75"/>
    </row>
    <row r="76" spans="7:10">
      <c r="G76"/>
      <c r="H76"/>
      <c r="I76"/>
      <c r="J76"/>
    </row>
    <row r="77" spans="7:10">
      <c r="G77"/>
      <c r="H77"/>
      <c r="I77"/>
      <c r="J77"/>
    </row>
    <row r="78" spans="7:10">
      <c r="G78"/>
      <c r="H78"/>
      <c r="I78"/>
      <c r="J78"/>
    </row>
    <row r="79" spans="7:10">
      <c r="G79"/>
      <c r="H79"/>
      <c r="I79"/>
      <c r="J79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0FD0-4C97-754B-8D4C-5D43CBE18717}">
  <sheetPr>
    <pageSetUpPr fitToPage="1"/>
  </sheetPr>
  <dimension ref="A1:K54"/>
  <sheetViews>
    <sheetView workbookViewId="0">
      <selection activeCell="H1" sqref="H1"/>
    </sheetView>
  </sheetViews>
  <sheetFormatPr baseColWidth="10" defaultRowHeight="16"/>
  <cols>
    <col min="1" max="1" width="15.5703125" customWidth="1"/>
    <col min="2" max="2" width="13.5703125" customWidth="1"/>
    <col min="5" max="5" width="18.140625" customWidth="1"/>
    <col min="6" max="6" width="14.85546875" customWidth="1"/>
  </cols>
  <sheetData>
    <row r="1" spans="1:6">
      <c r="A1" s="21" t="s">
        <v>178</v>
      </c>
      <c r="B1" s="20" t="s">
        <v>132</v>
      </c>
      <c r="C1" s="20" t="s">
        <v>177</v>
      </c>
      <c r="E1" s="19" t="s">
        <v>130</v>
      </c>
      <c r="F1" s="19" t="s">
        <v>129</v>
      </c>
    </row>
    <row r="3" spans="1:6">
      <c r="A3" t="s">
        <v>0</v>
      </c>
      <c r="B3" s="14">
        <v>70.099999999999994</v>
      </c>
      <c r="C3" s="14">
        <v>706</v>
      </c>
      <c r="E3">
        <v>94850</v>
      </c>
      <c r="F3">
        <f t="shared" ref="F3:F8" si="0">(10000/E3)*C3</f>
        <v>74.433315761729048</v>
      </c>
    </row>
    <row r="4" spans="1:6">
      <c r="B4" s="14" t="s">
        <v>176</v>
      </c>
      <c r="C4" s="14">
        <v>547</v>
      </c>
      <c r="E4" s="15">
        <v>82882</v>
      </c>
      <c r="F4">
        <f t="shared" si="0"/>
        <v>65.997442146666344</v>
      </c>
    </row>
    <row r="5" spans="1:6">
      <c r="B5" s="14" t="s">
        <v>175</v>
      </c>
      <c r="C5" s="14">
        <v>659</v>
      </c>
      <c r="E5" s="15">
        <v>111432</v>
      </c>
      <c r="F5">
        <f t="shared" si="0"/>
        <v>59.139205973149537</v>
      </c>
    </row>
    <row r="6" spans="1:6">
      <c r="B6" s="14" t="s">
        <v>174</v>
      </c>
      <c r="C6" s="14">
        <v>542</v>
      </c>
      <c r="E6" s="15">
        <v>110561</v>
      </c>
      <c r="F6">
        <f t="shared" si="0"/>
        <v>49.022711444361029</v>
      </c>
    </row>
    <row r="7" spans="1:6">
      <c r="B7" s="14" t="s">
        <v>173</v>
      </c>
      <c r="C7" s="14">
        <v>530</v>
      </c>
      <c r="E7" s="15">
        <v>108857.7</v>
      </c>
      <c r="F7">
        <f t="shared" si="0"/>
        <v>48.687414854438408</v>
      </c>
    </row>
    <row r="8" spans="1:6">
      <c r="B8" s="14" t="s">
        <v>172</v>
      </c>
      <c r="C8" s="14">
        <v>569</v>
      </c>
      <c r="E8" s="18">
        <v>118275</v>
      </c>
      <c r="F8">
        <f t="shared" si="0"/>
        <v>48.108222363136761</v>
      </c>
    </row>
    <row r="9" spans="1:6">
      <c r="B9" s="14"/>
      <c r="C9" s="14"/>
    </row>
    <row r="10" spans="1:6">
      <c r="A10" t="s">
        <v>171</v>
      </c>
      <c r="B10" s="14" t="s">
        <v>170</v>
      </c>
      <c r="C10" s="14">
        <v>384</v>
      </c>
      <c r="E10" s="15">
        <v>94364.800000000003</v>
      </c>
      <c r="F10">
        <f>(10000/E10)*C10</f>
        <v>40.693139814846212</v>
      </c>
    </row>
    <row r="11" spans="1:6">
      <c r="B11" s="14" t="s">
        <v>169</v>
      </c>
      <c r="C11" s="14">
        <v>417</v>
      </c>
      <c r="E11" s="15">
        <v>67529</v>
      </c>
      <c r="F11">
        <f>(10000/E11)*C11</f>
        <v>61.751247612137007</v>
      </c>
    </row>
    <row r="12" spans="1:6">
      <c r="B12" s="14" t="s">
        <v>168</v>
      </c>
      <c r="C12" s="14">
        <v>433</v>
      </c>
      <c r="E12" s="15">
        <v>97247.4</v>
      </c>
      <c r="F12">
        <f>(10000/E12)*C12</f>
        <v>44.525611995796289</v>
      </c>
    </row>
    <row r="13" spans="1:6">
      <c r="B13" s="14"/>
      <c r="C13" s="14"/>
      <c r="E13" s="15"/>
    </row>
    <row r="14" spans="1:6">
      <c r="A14" t="s">
        <v>167</v>
      </c>
      <c r="B14" s="14" t="s">
        <v>166</v>
      </c>
      <c r="C14" s="14">
        <v>741</v>
      </c>
      <c r="E14">
        <v>143891</v>
      </c>
      <c r="F14">
        <f>(10000/E14)*C14</f>
        <v>51.497313939023293</v>
      </c>
    </row>
    <row r="15" spans="1:6">
      <c r="B15" s="14" t="s">
        <v>165</v>
      </c>
      <c r="C15" s="14">
        <v>583</v>
      </c>
      <c r="E15">
        <v>105984</v>
      </c>
      <c r="F15">
        <f>(10000/E15)*C15</f>
        <v>55.008303140096622</v>
      </c>
    </row>
    <row r="16" spans="1:6">
      <c r="B16" s="14" t="s">
        <v>164</v>
      </c>
      <c r="C16" s="14">
        <v>502</v>
      </c>
      <c r="E16">
        <v>90655</v>
      </c>
      <c r="F16">
        <f>(10000/E16)*C16</f>
        <v>55.374772489107052</v>
      </c>
    </row>
    <row r="17" spans="1:8">
      <c r="B17" s="14"/>
      <c r="C17" s="14"/>
    </row>
    <row r="18" spans="1:8">
      <c r="A18" t="s">
        <v>163</v>
      </c>
      <c r="B18" s="14" t="s">
        <v>162</v>
      </c>
      <c r="C18" s="14">
        <v>271</v>
      </c>
      <c r="E18">
        <v>58107</v>
      </c>
      <c r="F18">
        <f t="shared" ref="F18:F23" si="1">(10000/E18)*C18</f>
        <v>46.638098680021344</v>
      </c>
    </row>
    <row r="19" spans="1:8">
      <c r="B19" s="14" t="s">
        <v>161</v>
      </c>
      <c r="C19" s="14">
        <v>484</v>
      </c>
      <c r="E19">
        <v>75744</v>
      </c>
      <c r="F19">
        <f t="shared" si="1"/>
        <v>63.899450781580065</v>
      </c>
    </row>
    <row r="20" spans="1:8">
      <c r="B20" s="14">
        <v>11.5</v>
      </c>
      <c r="C20" s="14">
        <v>643</v>
      </c>
      <c r="E20">
        <v>136502</v>
      </c>
      <c r="F20">
        <f t="shared" si="1"/>
        <v>47.105536915210038</v>
      </c>
    </row>
    <row r="21" spans="1:8">
      <c r="B21" s="14" t="s">
        <v>160</v>
      </c>
      <c r="C21" s="14">
        <v>396</v>
      </c>
      <c r="E21">
        <v>71946</v>
      </c>
      <c r="F21">
        <f t="shared" si="1"/>
        <v>55.041280960720542</v>
      </c>
    </row>
    <row r="22" spans="1:8">
      <c r="B22" s="14" t="s">
        <v>159</v>
      </c>
      <c r="C22" s="14">
        <v>769</v>
      </c>
      <c r="E22">
        <v>127773</v>
      </c>
      <c r="F22">
        <f t="shared" si="1"/>
        <v>60.184859086035388</v>
      </c>
    </row>
    <row r="23" spans="1:8">
      <c r="B23" s="14" t="s">
        <v>158</v>
      </c>
      <c r="C23" s="14">
        <v>385</v>
      </c>
      <c r="E23">
        <v>62195</v>
      </c>
      <c r="F23">
        <f t="shared" si="1"/>
        <v>61.902082160945412</v>
      </c>
    </row>
    <row r="24" spans="1:8">
      <c r="B24" s="14"/>
      <c r="C24" s="14"/>
    </row>
    <row r="25" spans="1:8">
      <c r="A25" t="s">
        <v>157</v>
      </c>
      <c r="B25" s="14" t="s">
        <v>156</v>
      </c>
      <c r="C25" s="14">
        <v>490</v>
      </c>
      <c r="E25" s="15">
        <v>110203</v>
      </c>
      <c r="F25">
        <f>(10000/E25)*C25</f>
        <v>44.463399362993748</v>
      </c>
      <c r="H25" s="14"/>
    </row>
    <row r="26" spans="1:8">
      <c r="B26" s="17" t="s">
        <v>155</v>
      </c>
      <c r="C26" s="14">
        <v>413</v>
      </c>
      <c r="E26" s="15">
        <v>106748</v>
      </c>
      <c r="F26">
        <f>(10000/E26)*C26</f>
        <v>38.689249447296433</v>
      </c>
      <c r="H26" s="14"/>
    </row>
    <row r="27" spans="1:8">
      <c r="B27" s="14" t="s">
        <v>154</v>
      </c>
      <c r="C27" s="14">
        <v>519</v>
      </c>
      <c r="E27" s="15">
        <v>138797</v>
      </c>
      <c r="F27">
        <f>(10000/E27)*C27</f>
        <v>37.392739036146317</v>
      </c>
      <c r="H27" s="14"/>
    </row>
    <row r="28" spans="1:8">
      <c r="B28" s="14"/>
      <c r="C28" s="14"/>
    </row>
    <row r="29" spans="1:8">
      <c r="A29" t="s">
        <v>153</v>
      </c>
      <c r="B29" s="14" t="s">
        <v>152</v>
      </c>
      <c r="C29" s="14">
        <v>748</v>
      </c>
      <c r="E29" s="15">
        <v>115359</v>
      </c>
      <c r="F29">
        <f>(10000/E29)*C29</f>
        <v>64.841061382293532</v>
      </c>
    </row>
    <row r="30" spans="1:8">
      <c r="B30" s="14" t="s">
        <v>151</v>
      </c>
      <c r="C30" s="14">
        <v>906</v>
      </c>
      <c r="E30" s="15">
        <v>175793</v>
      </c>
      <c r="F30">
        <f>(10000/E30)*C30</f>
        <v>51.537888311821291</v>
      </c>
    </row>
    <row r="31" spans="1:8">
      <c r="B31" s="14" t="s">
        <v>150</v>
      </c>
      <c r="C31" s="14">
        <v>632</v>
      </c>
      <c r="E31" s="15">
        <v>98981.9</v>
      </c>
      <c r="F31">
        <f>(10000/E31)*C31</f>
        <v>63.850057434743121</v>
      </c>
    </row>
    <row r="32" spans="1:8">
      <c r="B32" s="14" t="s">
        <v>149</v>
      </c>
      <c r="C32" s="14">
        <v>857</v>
      </c>
      <c r="E32" s="16">
        <v>119168.9</v>
      </c>
      <c r="F32">
        <f>(10000/E32)*C32</f>
        <v>71.914736143406543</v>
      </c>
    </row>
    <row r="33" spans="1:11">
      <c r="B33" s="14"/>
      <c r="C33" s="14"/>
    </row>
    <row r="34" spans="1:11">
      <c r="A34" t="s">
        <v>148</v>
      </c>
      <c r="B34" s="14">
        <v>35.700000000000003</v>
      </c>
      <c r="C34" s="14">
        <v>339</v>
      </c>
      <c r="E34" s="15">
        <v>84246</v>
      </c>
      <c r="F34">
        <f>(10000/E34)*C34</f>
        <v>40.239299195214016</v>
      </c>
    </row>
    <row r="35" spans="1:11">
      <c r="B35" s="14" t="s">
        <v>147</v>
      </c>
      <c r="C35" s="14">
        <v>416</v>
      </c>
      <c r="E35" s="15">
        <v>106757</v>
      </c>
      <c r="F35">
        <f>(10000/E35)*C35</f>
        <v>38.966999822025727</v>
      </c>
    </row>
    <row r="36" spans="1:11">
      <c r="B36" s="14" t="s">
        <v>146</v>
      </c>
      <c r="C36" s="14">
        <v>391</v>
      </c>
      <c r="E36">
        <v>84425</v>
      </c>
      <c r="F36">
        <f>(10000/E36)*C36</f>
        <v>46.313295824696475</v>
      </c>
    </row>
    <row r="44" spans="1:11">
      <c r="A44" s="14"/>
      <c r="B44" s="14"/>
    </row>
    <row r="48" spans="1:11">
      <c r="J48" s="14"/>
      <c r="K48" s="14"/>
    </row>
    <row r="49" spans="10:11">
      <c r="J49" s="14"/>
      <c r="K49" s="14"/>
    </row>
    <row r="50" spans="10:11">
      <c r="J50" s="14"/>
      <c r="K50" s="14"/>
    </row>
    <row r="51" spans="10:11">
      <c r="J51" s="14"/>
      <c r="K51" s="14"/>
    </row>
    <row r="52" spans="10:11">
      <c r="J52" s="14"/>
      <c r="K52" s="14"/>
    </row>
    <row r="53" spans="10:11">
      <c r="J53" s="14"/>
      <c r="K53" s="14"/>
    </row>
    <row r="54" spans="10:11">
      <c r="K54" s="14"/>
    </row>
  </sheetData>
  <pageMargins left="0.7" right="0.7" top="0.75" bottom="0.75" header="0.3" footer="0.3"/>
  <pageSetup scale="88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2641-5A7E-0645-92B5-4F0D0A3B03DB}">
  <dimension ref="A1:O66"/>
  <sheetViews>
    <sheetView workbookViewId="0">
      <selection activeCell="M1" sqref="M1"/>
    </sheetView>
  </sheetViews>
  <sheetFormatPr baseColWidth="10" defaultRowHeight="13"/>
  <cols>
    <col min="1" max="16384" width="10.7109375" style="6"/>
  </cols>
  <sheetData>
    <row r="1" spans="1:12">
      <c r="A1" s="7"/>
      <c r="B1" s="7"/>
      <c r="C1" s="22" t="s">
        <v>186</v>
      </c>
      <c r="D1" s="22" t="s">
        <v>185</v>
      </c>
      <c r="E1" s="22" t="s">
        <v>184</v>
      </c>
      <c r="F1" s="22"/>
      <c r="G1" s="22" t="s">
        <v>183</v>
      </c>
      <c r="H1" s="22"/>
      <c r="I1" s="22" t="s">
        <v>182</v>
      </c>
      <c r="J1" s="22"/>
      <c r="K1" s="22" t="s">
        <v>181</v>
      </c>
      <c r="L1" s="22"/>
    </row>
    <row r="2" spans="1:12">
      <c r="A2" s="25" t="s">
        <v>0</v>
      </c>
      <c r="B2" s="7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7" t="s">
        <v>180</v>
      </c>
      <c r="B3" s="7"/>
      <c r="C3" s="22">
        <v>318</v>
      </c>
      <c r="D3" s="22">
        <v>542</v>
      </c>
      <c r="E3" s="22">
        <f>318-77</f>
        <v>241</v>
      </c>
      <c r="F3" s="22"/>
      <c r="G3" s="22">
        <v>110561</v>
      </c>
      <c r="H3" s="22"/>
      <c r="I3" s="22">
        <f t="shared" ref="I3:I8" si="0">(10000/G3)*C3</f>
        <v>28.762402655547614</v>
      </c>
      <c r="J3" s="22"/>
      <c r="K3" s="22">
        <f t="shared" ref="K3:K8" si="1">(10000/G3)*E3</f>
        <v>21.797921509393003</v>
      </c>
      <c r="L3" s="22"/>
    </row>
    <row r="4" spans="1:12">
      <c r="A4" s="7">
        <v>70.099999999999994</v>
      </c>
      <c r="B4" s="7"/>
      <c r="C4" s="22">
        <v>298</v>
      </c>
      <c r="D4" s="22">
        <v>706</v>
      </c>
      <c r="E4" s="22">
        <f>298-71</f>
        <v>227</v>
      </c>
      <c r="F4" s="22"/>
      <c r="G4" s="22">
        <v>94850</v>
      </c>
      <c r="H4" s="22"/>
      <c r="I4" s="22">
        <f t="shared" si="0"/>
        <v>31.418028465998947</v>
      </c>
      <c r="J4" s="22"/>
      <c r="K4" s="22">
        <f t="shared" si="1"/>
        <v>23.93252503953611</v>
      </c>
      <c r="L4" s="22"/>
    </row>
    <row r="5" spans="1:12">
      <c r="A5" s="7">
        <v>65.2</v>
      </c>
      <c r="B5" s="7"/>
      <c r="C5" s="22">
        <v>222</v>
      </c>
      <c r="D5" s="22">
        <v>547</v>
      </c>
      <c r="E5" s="22">
        <f>222-87</f>
        <v>135</v>
      </c>
      <c r="F5" s="22"/>
      <c r="G5" s="22">
        <v>82882</v>
      </c>
      <c r="H5" s="22"/>
      <c r="I5" s="22">
        <f t="shared" si="0"/>
        <v>26.785067927897494</v>
      </c>
      <c r="J5" s="22"/>
      <c r="K5" s="22">
        <f t="shared" si="1"/>
        <v>16.288216983180906</v>
      </c>
      <c r="L5" s="22"/>
    </row>
    <row r="6" spans="1:12">
      <c r="A6" s="7" t="s">
        <v>172</v>
      </c>
      <c r="B6" s="7"/>
      <c r="C6" s="22">
        <v>462</v>
      </c>
      <c r="D6" s="22">
        <v>569</v>
      </c>
      <c r="E6" s="22">
        <f>462-182</f>
        <v>280</v>
      </c>
      <c r="F6" s="22"/>
      <c r="G6" s="22">
        <v>118275</v>
      </c>
      <c r="H6" s="22"/>
      <c r="I6" s="22">
        <f t="shared" si="0"/>
        <v>39.061509194673434</v>
      </c>
      <c r="J6" s="22"/>
      <c r="K6" s="22">
        <f t="shared" si="1"/>
        <v>23.673641936165716</v>
      </c>
      <c r="L6" s="22"/>
    </row>
    <row r="7" spans="1:12">
      <c r="A7" s="7">
        <v>70.2</v>
      </c>
      <c r="B7" s="7"/>
      <c r="C7" s="22">
        <v>304</v>
      </c>
      <c r="D7" s="22">
        <v>659</v>
      </c>
      <c r="E7" s="22">
        <f>304-135</f>
        <v>169</v>
      </c>
      <c r="F7" s="22"/>
      <c r="G7" s="22">
        <v>111432</v>
      </c>
      <c r="H7" s="22"/>
      <c r="I7" s="22">
        <f t="shared" si="0"/>
        <v>27.281211860147891</v>
      </c>
      <c r="J7" s="22"/>
      <c r="K7" s="22">
        <f t="shared" si="1"/>
        <v>15.166200014358532</v>
      </c>
      <c r="L7" s="22"/>
    </row>
    <row r="8" spans="1:12">
      <c r="A8" s="7" t="s">
        <v>179</v>
      </c>
      <c r="B8" s="7"/>
      <c r="C8" s="22">
        <v>370</v>
      </c>
      <c r="D8" s="22">
        <v>530</v>
      </c>
      <c r="E8" s="22">
        <f>370-158</f>
        <v>212</v>
      </c>
      <c r="F8" s="22"/>
      <c r="G8" s="22">
        <v>108858</v>
      </c>
      <c r="H8" s="22"/>
      <c r="I8" s="22">
        <f t="shared" si="0"/>
        <v>33.989233680574692</v>
      </c>
      <c r="J8" s="22"/>
      <c r="K8" s="22">
        <f t="shared" si="1"/>
        <v>19.474912271031986</v>
      </c>
      <c r="L8" s="22"/>
    </row>
    <row r="9" spans="1:12">
      <c r="A9" s="7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>
      <c r="A10" s="28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>
      <c r="A11" s="7" t="s">
        <v>170</v>
      </c>
      <c r="C11" s="22">
        <v>682</v>
      </c>
      <c r="D11" s="22">
        <v>384</v>
      </c>
      <c r="E11" s="22">
        <v>156</v>
      </c>
      <c r="F11" s="22"/>
      <c r="G11" s="29">
        <v>94364.800000000003</v>
      </c>
      <c r="H11" s="22"/>
      <c r="I11" s="22">
        <f>(10000/G11)*C11</f>
        <v>72.272711858659164</v>
      </c>
      <c r="J11" s="22"/>
      <c r="K11" s="22">
        <f>(10000/G11)*E11</f>
        <v>16.531588049781273</v>
      </c>
      <c r="L11" s="22"/>
    </row>
    <row r="12" spans="1:12">
      <c r="A12" s="7" t="s">
        <v>169</v>
      </c>
      <c r="C12" s="22">
        <v>512</v>
      </c>
      <c r="D12" s="22">
        <v>417</v>
      </c>
      <c r="E12" s="22">
        <f>512-306</f>
        <v>206</v>
      </c>
      <c r="F12" s="22"/>
      <c r="G12" s="29">
        <v>67529</v>
      </c>
      <c r="H12" s="22"/>
      <c r="I12" s="22">
        <f>(10000/G12)*C12</f>
        <v>75.819277643679015</v>
      </c>
      <c r="J12" s="22"/>
      <c r="K12" s="22">
        <f>(10000/G12)*E12</f>
        <v>30.505412489448979</v>
      </c>
      <c r="L12" s="22"/>
    </row>
    <row r="13" spans="1:12">
      <c r="A13" s="7" t="s">
        <v>168</v>
      </c>
      <c r="C13" s="22">
        <v>465</v>
      </c>
      <c r="D13" s="22">
        <v>433</v>
      </c>
      <c r="E13" s="22">
        <v>78</v>
      </c>
      <c r="F13" s="22"/>
      <c r="G13" s="29">
        <v>97247.4</v>
      </c>
      <c r="H13" s="22"/>
      <c r="I13" s="22">
        <f>(10000/G13)*C13</f>
        <v>47.816188401952139</v>
      </c>
      <c r="J13" s="22"/>
      <c r="K13" s="22">
        <f>(10000/G13)*E13</f>
        <v>8.0207799900048755</v>
      </c>
      <c r="L13" s="22"/>
    </row>
    <row r="14" spans="1:12">
      <c r="A14" s="7"/>
      <c r="C14" s="22"/>
      <c r="D14" s="22"/>
      <c r="E14" s="22"/>
      <c r="F14" s="22"/>
      <c r="G14" s="29"/>
      <c r="H14" s="22"/>
      <c r="I14" s="22"/>
      <c r="J14" s="22"/>
      <c r="K14" s="22"/>
      <c r="L14" s="22"/>
    </row>
    <row r="15" spans="1:12">
      <c r="A15" s="28" t="s">
        <v>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>
      <c r="A16" s="7" t="s">
        <v>166</v>
      </c>
      <c r="C16" s="22">
        <v>553</v>
      </c>
      <c r="D16" s="22">
        <v>741</v>
      </c>
      <c r="E16" s="22">
        <f>553-358</f>
        <v>195</v>
      </c>
      <c r="F16" s="22"/>
      <c r="G16" s="23">
        <v>143891</v>
      </c>
      <c r="H16" s="22"/>
      <c r="I16" s="22">
        <f>(10000/G16)*C16</f>
        <v>38.431868567179322</v>
      </c>
      <c r="J16" s="22"/>
      <c r="K16" s="22">
        <f>(10000/G16)*E16</f>
        <v>13.551924720795602</v>
      </c>
      <c r="L16" s="22"/>
    </row>
    <row r="17" spans="1:12">
      <c r="A17" s="7" t="s">
        <v>165</v>
      </c>
      <c r="C17" s="22">
        <v>326</v>
      </c>
      <c r="D17" s="22">
        <v>583</v>
      </c>
      <c r="E17" s="22">
        <f>326-214</f>
        <v>112</v>
      </c>
      <c r="F17" s="22"/>
      <c r="G17" s="23">
        <v>105984</v>
      </c>
      <c r="H17" s="22"/>
      <c r="I17" s="22">
        <f>(10000/G17)*C17</f>
        <v>30.759359903381643</v>
      </c>
      <c r="J17" s="22"/>
      <c r="K17" s="22">
        <f>(10000/G17)*E17</f>
        <v>10.567632850241546</v>
      </c>
      <c r="L17" s="22"/>
    </row>
    <row r="18" spans="1:12">
      <c r="A18" s="7" t="s">
        <v>164</v>
      </c>
      <c r="C18" s="22">
        <v>324</v>
      </c>
      <c r="D18" s="22">
        <v>502</v>
      </c>
      <c r="E18" s="22">
        <f>324-203</f>
        <v>121</v>
      </c>
      <c r="F18" s="22"/>
      <c r="G18" s="23">
        <v>90655</v>
      </c>
      <c r="H18" s="22"/>
      <c r="I18" s="22">
        <f>(10000/G18)*C18</f>
        <v>35.73989300093762</v>
      </c>
      <c r="J18" s="22"/>
      <c r="K18" s="22">
        <f>(10000/G18)*E18</f>
        <v>13.347305719485963</v>
      </c>
      <c r="L18" s="22"/>
    </row>
    <row r="19" spans="1:12">
      <c r="A19" s="7"/>
      <c r="B19" s="7"/>
      <c r="C19" s="22"/>
      <c r="D19" s="22"/>
      <c r="E19" s="22"/>
      <c r="F19" s="22"/>
      <c r="G19" s="23"/>
      <c r="H19" s="22"/>
      <c r="I19" s="22"/>
      <c r="J19" s="22"/>
      <c r="K19" s="22"/>
      <c r="L19" s="22"/>
    </row>
    <row r="20" spans="1:12">
      <c r="A20" s="25" t="s">
        <v>3</v>
      </c>
      <c r="B20" s="7"/>
      <c r="C20" s="22"/>
      <c r="D20" s="22"/>
      <c r="E20" s="22"/>
      <c r="F20" s="22"/>
      <c r="G20" s="23"/>
      <c r="H20" s="22"/>
      <c r="I20" s="22"/>
      <c r="J20" s="22"/>
      <c r="K20" s="22"/>
      <c r="L20" s="22"/>
    </row>
    <row r="21" spans="1:12">
      <c r="A21" s="7" t="s">
        <v>161</v>
      </c>
      <c r="B21" s="7"/>
      <c r="C21" s="22">
        <v>34</v>
      </c>
      <c r="D21" s="22">
        <v>484</v>
      </c>
      <c r="E21" s="22">
        <f>34-14</f>
        <v>20</v>
      </c>
      <c r="F21" s="22"/>
      <c r="G21" s="23">
        <v>75744</v>
      </c>
      <c r="H21" s="22"/>
      <c r="I21" s="22">
        <f t="shared" ref="I21:I26" si="2">(10000/G21)*C21</f>
        <v>4.4888043937473601</v>
      </c>
      <c r="J21" s="22"/>
      <c r="K21" s="22">
        <f t="shared" ref="K21:K26" si="3">(10000/G21)*E21</f>
        <v>2.6404731727925643</v>
      </c>
      <c r="L21" s="22"/>
    </row>
    <row r="22" spans="1:12">
      <c r="A22" s="7">
        <v>11.5</v>
      </c>
      <c r="B22" s="7"/>
      <c r="C22" s="22">
        <v>150</v>
      </c>
      <c r="D22" s="22">
        <v>643</v>
      </c>
      <c r="E22" s="22">
        <f>150-58</f>
        <v>92</v>
      </c>
      <c r="F22" s="22"/>
      <c r="G22" s="23">
        <v>136502</v>
      </c>
      <c r="H22" s="22"/>
      <c r="I22" s="22">
        <f t="shared" si="2"/>
        <v>10.988849980220071</v>
      </c>
      <c r="J22" s="22"/>
      <c r="K22" s="22">
        <f t="shared" si="3"/>
        <v>6.7398279878683098</v>
      </c>
      <c r="L22" s="22"/>
    </row>
    <row r="23" spans="1:12">
      <c r="A23" s="7" t="s">
        <v>160</v>
      </c>
      <c r="B23" s="7"/>
      <c r="C23" s="22">
        <v>87</v>
      </c>
      <c r="D23" s="22">
        <v>396</v>
      </c>
      <c r="E23" s="22">
        <v>20</v>
      </c>
      <c r="F23" s="22"/>
      <c r="G23" s="23">
        <v>71946</v>
      </c>
      <c r="H23" s="22"/>
      <c r="I23" s="22">
        <f t="shared" si="2"/>
        <v>12.092402635309815</v>
      </c>
      <c r="J23" s="22"/>
      <c r="K23" s="22">
        <f t="shared" si="3"/>
        <v>2.7798626747838657</v>
      </c>
      <c r="L23" s="22"/>
    </row>
    <row r="24" spans="1:12">
      <c r="A24" s="7" t="s">
        <v>159</v>
      </c>
      <c r="B24" s="7"/>
      <c r="C24" s="22">
        <v>255</v>
      </c>
      <c r="D24" s="22">
        <v>769</v>
      </c>
      <c r="E24" s="22">
        <f>255-85</f>
        <v>170</v>
      </c>
      <c r="F24" s="22"/>
      <c r="G24" s="23">
        <v>127773</v>
      </c>
      <c r="H24" s="22"/>
      <c r="I24" s="22">
        <f t="shared" si="2"/>
        <v>19.957267967410957</v>
      </c>
      <c r="J24" s="22"/>
      <c r="K24" s="22">
        <f t="shared" si="3"/>
        <v>13.304845311607304</v>
      </c>
      <c r="L24" s="22"/>
    </row>
    <row r="25" spans="1:12">
      <c r="A25" s="7" t="s">
        <v>158</v>
      </c>
      <c r="B25" s="7"/>
      <c r="C25" s="22">
        <v>74</v>
      </c>
      <c r="D25" s="22">
        <v>385</v>
      </c>
      <c r="E25" s="22">
        <f>74-34</f>
        <v>40</v>
      </c>
      <c r="F25" s="22"/>
      <c r="G25" s="23">
        <v>62195</v>
      </c>
      <c r="H25" s="22"/>
      <c r="I25" s="22">
        <f t="shared" si="2"/>
        <v>11.898062545220677</v>
      </c>
      <c r="J25" s="22"/>
      <c r="K25" s="22">
        <f t="shared" si="3"/>
        <v>6.4313851595787437</v>
      </c>
      <c r="L25" s="22"/>
    </row>
    <row r="26" spans="1:12">
      <c r="A26" s="7">
        <v>60.2</v>
      </c>
      <c r="C26" s="22">
        <v>35</v>
      </c>
      <c r="D26" s="22">
        <v>462</v>
      </c>
      <c r="E26" s="22">
        <f>35-8</f>
        <v>27</v>
      </c>
      <c r="F26" s="22"/>
      <c r="G26" s="23">
        <v>26567</v>
      </c>
      <c r="H26" s="22"/>
      <c r="I26" s="22">
        <f t="shared" si="2"/>
        <v>13.174238717205556</v>
      </c>
      <c r="J26" s="22"/>
      <c r="K26" s="22">
        <f t="shared" si="3"/>
        <v>10.162984153272857</v>
      </c>
      <c r="L26" s="22"/>
    </row>
    <row r="27" spans="1:12">
      <c r="A27" s="7"/>
      <c r="C27" s="22"/>
      <c r="D27" s="22"/>
      <c r="E27" s="22"/>
      <c r="F27" s="22"/>
      <c r="G27" s="23"/>
      <c r="H27" s="22"/>
      <c r="I27" s="22"/>
      <c r="J27" s="22"/>
      <c r="K27" s="22"/>
      <c r="L27" s="22"/>
    </row>
    <row r="28" spans="1:12">
      <c r="A28" s="25" t="s">
        <v>4</v>
      </c>
      <c r="C28" s="22"/>
      <c r="D28" s="22"/>
      <c r="E28" s="22"/>
      <c r="F28" s="22"/>
      <c r="G28" s="23"/>
      <c r="H28" s="22"/>
      <c r="I28" s="22"/>
      <c r="J28" s="22"/>
      <c r="K28" s="22"/>
      <c r="L28" s="22"/>
    </row>
    <row r="29" spans="1:12">
      <c r="A29" s="7" t="s">
        <v>156</v>
      </c>
      <c r="C29" s="22">
        <v>291</v>
      </c>
      <c r="D29" s="22">
        <v>490</v>
      </c>
      <c r="E29" s="22">
        <f>291-118</f>
        <v>173</v>
      </c>
      <c r="F29" s="22"/>
      <c r="G29" s="24">
        <v>110203</v>
      </c>
      <c r="H29" s="22"/>
      <c r="I29" s="22">
        <f>(10000/G29)*C29</f>
        <v>26.405814723737105</v>
      </c>
      <c r="J29" s="22"/>
      <c r="K29" s="22">
        <f>(10000/G29)*E29</f>
        <v>15.698302224077384</v>
      </c>
      <c r="L29" s="22"/>
    </row>
    <row r="30" spans="1:12">
      <c r="A30" s="10" t="s">
        <v>155</v>
      </c>
      <c r="C30" s="22">
        <v>236</v>
      </c>
      <c r="D30" s="22">
        <v>413</v>
      </c>
      <c r="E30" s="22">
        <f>236-175</f>
        <v>61</v>
      </c>
      <c r="F30" s="22"/>
      <c r="G30" s="24">
        <v>106748</v>
      </c>
      <c r="H30" s="22"/>
      <c r="I30" s="22">
        <f>(10000/G30)*C30</f>
        <v>22.108142541312247</v>
      </c>
      <c r="J30" s="22"/>
      <c r="K30" s="22">
        <f>(10000/G30)*E30</f>
        <v>5.7143927755086743</v>
      </c>
      <c r="L30" s="22"/>
    </row>
    <row r="31" spans="1:12">
      <c r="A31" s="7" t="s">
        <v>154</v>
      </c>
      <c r="C31" s="22">
        <v>364</v>
      </c>
      <c r="D31" s="22">
        <v>519</v>
      </c>
      <c r="E31" s="22">
        <f>364-248</f>
        <v>116</v>
      </c>
      <c r="F31" s="22"/>
      <c r="G31" s="24">
        <v>138797</v>
      </c>
      <c r="H31" s="22"/>
      <c r="I31" s="22">
        <f>(10000/G31)*C31</f>
        <v>26.225350692017837</v>
      </c>
      <c r="J31" s="22"/>
      <c r="K31" s="22">
        <f>(10000/G31)*E31</f>
        <v>8.3575293414122775</v>
      </c>
      <c r="L31" s="22"/>
    </row>
    <row r="32" spans="1:12">
      <c r="A32" s="7"/>
      <c r="C32" s="22"/>
      <c r="D32" s="22"/>
      <c r="E32" s="22"/>
      <c r="F32" s="22"/>
      <c r="G32" s="24"/>
      <c r="H32" s="22"/>
      <c r="I32" s="22"/>
      <c r="J32" s="22"/>
      <c r="K32" s="22"/>
      <c r="L32" s="22"/>
    </row>
    <row r="33" spans="1:12">
      <c r="A33" s="28" t="s">
        <v>5</v>
      </c>
      <c r="C33" s="7"/>
      <c r="D33" s="7"/>
      <c r="E33" s="7"/>
      <c r="F33" s="7"/>
      <c r="G33" s="26"/>
      <c r="H33" s="7"/>
      <c r="I33" s="7"/>
      <c r="J33" s="7"/>
      <c r="K33" s="7"/>
      <c r="L33" s="7"/>
    </row>
    <row r="34" spans="1:12">
      <c r="A34" s="7" t="s">
        <v>152</v>
      </c>
      <c r="C34" s="7">
        <v>463</v>
      </c>
      <c r="D34" s="7">
        <v>748</v>
      </c>
      <c r="E34" s="7">
        <f>463-220</f>
        <v>243</v>
      </c>
      <c r="F34" s="7"/>
      <c r="G34" s="27">
        <v>115359</v>
      </c>
      <c r="H34" s="7"/>
      <c r="I34" s="22">
        <f>(10000/G34)*C34</f>
        <v>40.135576764708432</v>
      </c>
      <c r="J34" s="7"/>
      <c r="K34" s="22">
        <f>(10000/G34)*E34</f>
        <v>21.064676358151509</v>
      </c>
      <c r="L34" s="7"/>
    </row>
    <row r="35" spans="1:12">
      <c r="A35" s="7" t="s">
        <v>151</v>
      </c>
      <c r="C35" s="7">
        <v>573</v>
      </c>
      <c r="D35" s="7">
        <v>906</v>
      </c>
      <c r="E35" s="7">
        <f>573-321</f>
        <v>252</v>
      </c>
      <c r="F35" s="7"/>
      <c r="G35" s="27">
        <v>175793</v>
      </c>
      <c r="H35" s="7"/>
      <c r="I35" s="22">
        <f>(10000/G35)*C35</f>
        <v>32.595154528337304</v>
      </c>
      <c r="J35" s="7"/>
      <c r="K35" s="22">
        <f>(10000/G35)*E35</f>
        <v>14.335041782095987</v>
      </c>
      <c r="L35" s="7"/>
    </row>
    <row r="36" spans="1:12">
      <c r="A36" s="7" t="s">
        <v>150</v>
      </c>
      <c r="C36" s="7">
        <v>379</v>
      </c>
      <c r="D36" s="7">
        <v>632</v>
      </c>
      <c r="E36" s="7">
        <f>379-194</f>
        <v>185</v>
      </c>
      <c r="F36" s="7"/>
      <c r="G36" s="27">
        <v>98981.9</v>
      </c>
      <c r="H36" s="7"/>
      <c r="I36" s="22">
        <f>(10000/G36)*C36</f>
        <v>38.289828746467791</v>
      </c>
      <c r="J36" s="7"/>
      <c r="K36" s="22">
        <f>(10000/G36)*E36</f>
        <v>18.690285799727022</v>
      </c>
      <c r="L36" s="7"/>
    </row>
    <row r="37" spans="1:12">
      <c r="A37" s="7" t="s">
        <v>149</v>
      </c>
      <c r="C37" s="7">
        <v>478</v>
      </c>
      <c r="D37" s="7">
        <v>857</v>
      </c>
      <c r="E37" s="7">
        <f>478-265</f>
        <v>213</v>
      </c>
      <c r="F37" s="7"/>
      <c r="G37" s="26">
        <v>119168.9</v>
      </c>
      <c r="H37" s="7"/>
      <c r="I37" s="22">
        <f>(10000/G37)*C37</f>
        <v>40.111136378702838</v>
      </c>
      <c r="J37" s="7"/>
      <c r="K37" s="22">
        <f>(10000/G37)*E37</f>
        <v>17.873790896785991</v>
      </c>
      <c r="L37" s="7"/>
    </row>
    <row r="38" spans="1:12">
      <c r="C38" s="22"/>
      <c r="D38" s="22"/>
      <c r="E38" s="22"/>
      <c r="F38" s="22"/>
      <c r="G38" s="23"/>
      <c r="H38" s="22"/>
      <c r="I38" s="22"/>
      <c r="J38" s="22"/>
      <c r="K38" s="22"/>
      <c r="L38" s="22"/>
    </row>
    <row r="39" spans="1:12">
      <c r="A39" s="25" t="s">
        <v>6</v>
      </c>
      <c r="C39" s="22"/>
      <c r="D39" s="22"/>
      <c r="E39" s="22"/>
      <c r="F39" s="22"/>
      <c r="G39" s="23"/>
      <c r="H39" s="22"/>
      <c r="I39" s="22"/>
      <c r="J39" s="22"/>
      <c r="K39" s="22"/>
      <c r="L39" s="22"/>
    </row>
    <row r="40" spans="1:12">
      <c r="A40" s="7">
        <v>35.700000000000003</v>
      </c>
      <c r="C40" s="22">
        <v>111</v>
      </c>
      <c r="D40" s="22">
        <v>339</v>
      </c>
      <c r="E40" s="22">
        <f>111-53</f>
        <v>58</v>
      </c>
      <c r="F40" s="22"/>
      <c r="G40" s="24">
        <v>84246</v>
      </c>
      <c r="H40" s="22"/>
      <c r="I40" s="22">
        <f>(10000/G40)*C40</f>
        <v>13.175699736486004</v>
      </c>
      <c r="J40" s="22"/>
      <c r="K40" s="22">
        <f>(10000/G40)*E40</f>
        <v>6.8845998623080025</v>
      </c>
      <c r="L40" s="22"/>
    </row>
    <row r="41" spans="1:12">
      <c r="A41" s="7" t="s">
        <v>147</v>
      </c>
      <c r="C41" s="22">
        <v>85</v>
      </c>
      <c r="D41" s="22">
        <v>416</v>
      </c>
      <c r="E41" s="22">
        <f>85-54</f>
        <v>31</v>
      </c>
      <c r="F41" s="22"/>
      <c r="G41" s="24">
        <v>106757</v>
      </c>
      <c r="H41" s="22"/>
      <c r="I41" s="22">
        <f>(10000/G41)*C41</f>
        <v>7.9620071751735253</v>
      </c>
      <c r="J41" s="22"/>
      <c r="K41" s="22">
        <f>(10000/G41)*E41</f>
        <v>2.9037908521221092</v>
      </c>
      <c r="L41" s="22"/>
    </row>
    <row r="42" spans="1:12">
      <c r="A42" s="7" t="s">
        <v>146</v>
      </c>
      <c r="C42" s="22">
        <v>79</v>
      </c>
      <c r="D42" s="22">
        <v>391</v>
      </c>
      <c r="E42" s="22">
        <f>79-48</f>
        <v>31</v>
      </c>
      <c r="F42" s="22"/>
      <c r="G42" s="23">
        <v>84425</v>
      </c>
      <c r="H42" s="22"/>
      <c r="I42" s="22">
        <f>(10000/G42)*C42</f>
        <v>9.3574178264732009</v>
      </c>
      <c r="J42" s="22"/>
      <c r="K42" s="22">
        <f>(10000/G42)*E42</f>
        <v>3.6718981344388508</v>
      </c>
      <c r="L42" s="22"/>
    </row>
    <row r="52" spans="3:1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3:1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3:1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3:1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3:1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3:1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3:1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3:15">
      <c r="L59" s="7"/>
      <c r="M59" s="7"/>
      <c r="N59" s="7"/>
      <c r="O59" s="7"/>
    </row>
    <row r="60" spans="3:15">
      <c r="M60" s="7"/>
      <c r="N60" s="7"/>
      <c r="O60" s="7"/>
    </row>
    <row r="61" spans="3:15">
      <c r="N61" s="7"/>
    </row>
    <row r="62" spans="3:15">
      <c r="N62" s="7"/>
    </row>
    <row r="63" spans="3:15">
      <c r="N63" s="7"/>
    </row>
    <row r="64" spans="3:15">
      <c r="N64" s="7"/>
    </row>
    <row r="65" spans="14:14">
      <c r="N65" s="7"/>
    </row>
    <row r="66" spans="14:14">
      <c r="N66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C27F-65F6-FE40-B5CB-48B0CDE217B3}">
  <sheetPr>
    <pageSetUpPr fitToPage="1"/>
  </sheetPr>
  <dimension ref="A1:H37"/>
  <sheetViews>
    <sheetView workbookViewId="0">
      <selection activeCell="I1" sqref="I1"/>
    </sheetView>
  </sheetViews>
  <sheetFormatPr baseColWidth="10" defaultRowHeight="16"/>
  <sheetData>
    <row r="1" spans="1:8">
      <c r="A1" s="20"/>
      <c r="B1" s="20" t="s">
        <v>132</v>
      </c>
      <c r="C1" s="20" t="s">
        <v>216</v>
      </c>
      <c r="D1" s="20"/>
      <c r="E1" s="20" t="s">
        <v>215</v>
      </c>
      <c r="F1" s="21"/>
      <c r="G1" s="21" t="s">
        <v>214</v>
      </c>
      <c r="H1" s="21"/>
    </row>
    <row r="2" spans="1:8">
      <c r="A2" s="14"/>
      <c r="B2" s="14"/>
      <c r="C2" s="14"/>
      <c r="D2" s="14"/>
    </row>
    <row r="3" spans="1:8">
      <c r="A3" s="30" t="s">
        <v>0</v>
      </c>
      <c r="B3" s="14" t="s">
        <v>213</v>
      </c>
      <c r="C3" s="14">
        <v>257</v>
      </c>
      <c r="D3" s="14"/>
      <c r="E3">
        <f>40630.06+39231.824</f>
        <v>79861.883999999991</v>
      </c>
      <c r="G3">
        <f t="shared" ref="G3:G8" si="0">10000/(E3) *C3</f>
        <v>32.180558124574176</v>
      </c>
    </row>
    <row r="4" spans="1:8">
      <c r="A4" s="30"/>
      <c r="B4" s="14" t="s">
        <v>212</v>
      </c>
      <c r="C4" s="14">
        <v>227</v>
      </c>
      <c r="D4" s="14"/>
      <c r="E4">
        <f>37087.449+39298.627</f>
        <v>76386.076000000001</v>
      </c>
      <c r="G4">
        <f t="shared" si="0"/>
        <v>29.717457930421773</v>
      </c>
    </row>
    <row r="5" spans="1:8">
      <c r="A5" s="30"/>
      <c r="B5" s="14" t="s">
        <v>211</v>
      </c>
      <c r="C5" s="14">
        <v>242</v>
      </c>
      <c r="D5" s="14"/>
      <c r="E5">
        <v>83281.637000000002</v>
      </c>
      <c r="G5">
        <f t="shared" si="0"/>
        <v>29.058026320976374</v>
      </c>
    </row>
    <row r="6" spans="1:8">
      <c r="A6" s="30"/>
      <c r="B6" s="14" t="s">
        <v>210</v>
      </c>
      <c r="C6" s="14">
        <v>273</v>
      </c>
      <c r="D6" s="14"/>
      <c r="E6">
        <f>1037.226+40569.075+42903.867</f>
        <v>84510.168000000005</v>
      </c>
      <c r="G6">
        <f t="shared" si="0"/>
        <v>32.303805146855225</v>
      </c>
    </row>
    <row r="7" spans="1:8">
      <c r="A7" s="30"/>
      <c r="B7" s="14" t="s">
        <v>209</v>
      </c>
      <c r="C7" s="14">
        <v>375</v>
      </c>
      <c r="D7" s="14"/>
      <c r="E7">
        <f>48665.23+52976.576</f>
        <v>101641.80600000001</v>
      </c>
      <c r="G7">
        <f t="shared" si="0"/>
        <v>36.894267699257519</v>
      </c>
    </row>
    <row r="8" spans="1:8">
      <c r="A8" s="30"/>
      <c r="B8" s="14" t="s">
        <v>208</v>
      </c>
      <c r="C8" s="14">
        <v>372</v>
      </c>
      <c r="D8" s="14"/>
      <c r="E8">
        <v>99196</v>
      </c>
      <c r="G8">
        <f t="shared" si="0"/>
        <v>37.501512157748294</v>
      </c>
    </row>
    <row r="9" spans="1:8">
      <c r="A9" s="30"/>
      <c r="B9" s="14"/>
      <c r="C9" s="14"/>
      <c r="D9" s="14"/>
    </row>
    <row r="10" spans="1:8">
      <c r="A10" s="30" t="s">
        <v>207</v>
      </c>
      <c r="B10" s="14" t="s">
        <v>206</v>
      </c>
      <c r="C10" s="14">
        <v>288</v>
      </c>
      <c r="D10" s="14"/>
      <c r="E10" s="31">
        <v>97002.49</v>
      </c>
      <c r="G10">
        <f>10000/(E10) *C10</f>
        <v>29.689959505163216</v>
      </c>
    </row>
    <row r="11" spans="1:8">
      <c r="A11" s="30"/>
      <c r="B11" s="14" t="s">
        <v>205</v>
      </c>
      <c r="C11" s="14">
        <v>210</v>
      </c>
      <c r="D11" s="14"/>
      <c r="E11">
        <v>85523</v>
      </c>
      <c r="G11">
        <f>10000/(E11) *C11</f>
        <v>24.554798124481135</v>
      </c>
    </row>
    <row r="12" spans="1:8">
      <c r="A12" s="30"/>
      <c r="B12" s="14" t="s">
        <v>204</v>
      </c>
      <c r="C12" s="14">
        <v>282</v>
      </c>
      <c r="D12" s="14"/>
      <c r="E12">
        <f>30952.884+29028.96</f>
        <v>59981.843999999997</v>
      </c>
      <c r="G12">
        <f>10000/(E12) *C12</f>
        <v>47.014226504940396</v>
      </c>
    </row>
    <row r="13" spans="1:8">
      <c r="A13" s="30"/>
      <c r="B13" s="14"/>
      <c r="C13" s="14"/>
      <c r="D13" s="14"/>
    </row>
    <row r="14" spans="1:8">
      <c r="A14" s="30" t="s">
        <v>2</v>
      </c>
      <c r="B14" s="14" t="s">
        <v>203</v>
      </c>
      <c r="C14" s="14">
        <v>452</v>
      </c>
      <c r="D14" s="14"/>
      <c r="E14">
        <f>35576.161+36447.169</f>
        <v>72023.33</v>
      </c>
      <c r="G14">
        <f>10000/(E14) *C14</f>
        <v>62.75744262310559</v>
      </c>
    </row>
    <row r="15" spans="1:8">
      <c r="A15" s="30"/>
      <c r="B15" s="14" t="s">
        <v>202</v>
      </c>
      <c r="C15" s="14">
        <v>594</v>
      </c>
      <c r="D15" s="14"/>
      <c r="E15">
        <f>51170.536+39411.164</f>
        <v>90581.7</v>
      </c>
      <c r="G15">
        <f>10000/(E15) *C15</f>
        <v>65.576159422929805</v>
      </c>
    </row>
    <row r="16" spans="1:8">
      <c r="A16" s="30"/>
      <c r="B16" s="14" t="s">
        <v>201</v>
      </c>
      <c r="C16" s="14">
        <v>766</v>
      </c>
      <c r="D16" s="14"/>
      <c r="E16" s="18">
        <v>118188</v>
      </c>
      <c r="G16">
        <f>10000/(E16) *C16</f>
        <v>64.811994449521109</v>
      </c>
    </row>
    <row r="17" spans="1:7">
      <c r="A17" s="30"/>
      <c r="B17" s="14" t="s">
        <v>200</v>
      </c>
      <c r="C17" s="14">
        <v>840</v>
      </c>
      <c r="D17" s="14"/>
      <c r="E17">
        <f>3496.363+60497.254+57899.134</f>
        <v>121892.75099999999</v>
      </c>
      <c r="G17">
        <f>10000/(E17) *C17</f>
        <v>68.913039791841271</v>
      </c>
    </row>
    <row r="18" spans="1:7">
      <c r="A18" s="30"/>
      <c r="B18" s="14"/>
      <c r="C18" s="14"/>
      <c r="D18" s="14"/>
    </row>
    <row r="19" spans="1:7">
      <c r="A19" s="30" t="s">
        <v>199</v>
      </c>
      <c r="B19" s="14" t="s">
        <v>198</v>
      </c>
      <c r="C19" s="14">
        <v>1124</v>
      </c>
      <c r="D19" s="14"/>
      <c r="E19">
        <f>60475.758+36304.98</f>
        <v>96780.738000000012</v>
      </c>
      <c r="G19">
        <f>10000/(E19) *C19</f>
        <v>116.13881266332147</v>
      </c>
    </row>
    <row r="20" spans="1:7">
      <c r="A20" s="30"/>
      <c r="B20" s="14" t="s">
        <v>197</v>
      </c>
      <c r="C20" s="14">
        <v>885</v>
      </c>
      <c r="D20" s="14"/>
      <c r="E20">
        <v>94885.528000000006</v>
      </c>
      <c r="G20">
        <f>10000/(E20) *C20</f>
        <v>93.270282481855389</v>
      </c>
    </row>
    <row r="21" spans="1:7">
      <c r="A21" s="30"/>
      <c r="B21" s="14">
        <v>11.5</v>
      </c>
      <c r="C21" s="14">
        <v>950</v>
      </c>
      <c r="D21" s="14"/>
      <c r="E21">
        <f>46991.975+38092.28</f>
        <v>85084.255000000005</v>
      </c>
      <c r="G21">
        <f>10000/(E21) *C21</f>
        <v>111.65403046662394</v>
      </c>
    </row>
    <row r="22" spans="1:7">
      <c r="A22" s="30"/>
      <c r="B22" s="14"/>
      <c r="C22" s="14"/>
      <c r="D22" s="14"/>
    </row>
    <row r="23" spans="1:7">
      <c r="A23" s="30" t="s">
        <v>196</v>
      </c>
      <c r="B23" s="14" t="s">
        <v>195</v>
      </c>
      <c r="C23" s="14">
        <v>269</v>
      </c>
      <c r="D23" s="14"/>
      <c r="E23">
        <f>50059.038+49848.352</f>
        <v>99907.39</v>
      </c>
      <c r="G23">
        <f>10000/(E23) *C23</f>
        <v>26.924935182472488</v>
      </c>
    </row>
    <row r="24" spans="1:7">
      <c r="A24" s="30"/>
      <c r="B24" s="14" t="s">
        <v>194</v>
      </c>
      <c r="C24" s="14">
        <v>284</v>
      </c>
      <c r="D24" s="14"/>
      <c r="E24">
        <v>117160</v>
      </c>
      <c r="G24">
        <f>10000/(E24) *C24</f>
        <v>24.240355069989757</v>
      </c>
    </row>
    <row r="25" spans="1:7">
      <c r="A25" s="30"/>
      <c r="B25" s="14" t="s">
        <v>193</v>
      </c>
      <c r="C25" s="14">
        <v>222</v>
      </c>
      <c r="D25" s="14"/>
      <c r="E25">
        <v>102679</v>
      </c>
      <c r="G25">
        <f>10000/(E25) *C25</f>
        <v>21.620779321964569</v>
      </c>
    </row>
    <row r="26" spans="1:7">
      <c r="A26" s="30"/>
      <c r="B26" s="14" t="s">
        <v>192</v>
      </c>
      <c r="C26" s="14">
        <v>294</v>
      </c>
      <c r="D26" s="14"/>
      <c r="E26">
        <v>143506</v>
      </c>
      <c r="G26">
        <f>10000/(E26) *C26</f>
        <v>20.486948280908116</v>
      </c>
    </row>
    <row r="27" spans="1:7">
      <c r="A27" s="30"/>
      <c r="B27" s="14"/>
      <c r="C27" s="14"/>
      <c r="D27" s="14"/>
    </row>
    <row r="28" spans="1:7">
      <c r="A28" s="30"/>
      <c r="B28" s="14" t="s">
        <v>191</v>
      </c>
      <c r="C28" s="14">
        <v>529</v>
      </c>
      <c r="D28" s="14"/>
      <c r="E28">
        <f>45433.336+49926.682</f>
        <v>95360.018000000011</v>
      </c>
      <c r="G28">
        <f>10000/(E28) *C28</f>
        <v>55.473982817410956</v>
      </c>
    </row>
    <row r="29" spans="1:7">
      <c r="A29" s="30" t="s">
        <v>5</v>
      </c>
      <c r="B29" s="14" t="s">
        <v>190</v>
      </c>
      <c r="C29" s="14">
        <v>541</v>
      </c>
      <c r="D29" s="14"/>
      <c r="E29">
        <v>125140</v>
      </c>
      <c r="G29">
        <f>10000/(E29) *C29</f>
        <v>43.23158062969474</v>
      </c>
    </row>
    <row r="30" spans="1:7">
      <c r="A30" s="30"/>
      <c r="B30" s="14" t="s">
        <v>189</v>
      </c>
      <c r="C30" s="14">
        <v>567</v>
      </c>
      <c r="D30" s="14"/>
      <c r="E30">
        <f>44177.296+47881.262</f>
        <v>92058.558000000005</v>
      </c>
      <c r="G30">
        <f>10000/(E30) *C30</f>
        <v>61.591231963463954</v>
      </c>
    </row>
    <row r="31" spans="1:7">
      <c r="A31" s="30"/>
      <c r="B31" s="14"/>
      <c r="C31" s="14"/>
      <c r="D31" s="14"/>
    </row>
    <row r="32" spans="1:7">
      <c r="A32" s="30"/>
      <c r="B32" s="14"/>
      <c r="C32" s="14"/>
      <c r="D32" s="14"/>
    </row>
    <row r="33" spans="1:7">
      <c r="A33" s="30" t="s">
        <v>188</v>
      </c>
      <c r="B33" s="14">
        <v>35.700000000000003</v>
      </c>
      <c r="C33" s="14">
        <v>470</v>
      </c>
      <c r="D33" s="14"/>
      <c r="E33">
        <f>33410.687+761.189+27613.233+10095.629</f>
        <v>71880.737999999998</v>
      </c>
      <c r="G33">
        <f>10000/(E33) *C33</f>
        <v>65.386084377709082</v>
      </c>
    </row>
    <row r="34" spans="1:7">
      <c r="A34" s="30"/>
      <c r="B34" s="14">
        <v>65.13</v>
      </c>
      <c r="C34" s="14">
        <v>594</v>
      </c>
      <c r="D34" s="14"/>
      <c r="E34">
        <f>43715.734+43925.15+5726.623</f>
        <v>93367.506999999983</v>
      </c>
      <c r="G34">
        <f>10000/(E34) *C34</f>
        <v>63.61956306705288</v>
      </c>
    </row>
    <row r="35" spans="1:7">
      <c r="A35" s="30" t="s">
        <v>188</v>
      </c>
      <c r="B35" s="14" t="s">
        <v>187</v>
      </c>
      <c r="C35" s="14">
        <v>416</v>
      </c>
      <c r="D35" s="14"/>
      <c r="E35">
        <v>70034</v>
      </c>
      <c r="G35">
        <f>10000/(E35) *C35</f>
        <v>59.399720135933968</v>
      </c>
    </row>
    <row r="36" spans="1:7">
      <c r="A36" s="30"/>
      <c r="B36" s="14"/>
      <c r="C36" s="14"/>
      <c r="D36" s="14"/>
    </row>
    <row r="37" spans="1:7">
      <c r="A37" s="14"/>
    </row>
  </sheetData>
  <pageMargins left="0.7" right="0.7" top="0.75" bottom="0.75" header="0.3" footer="0.3"/>
  <pageSetup scale="68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F31AA-83FB-DE46-82E5-0491EB1F3741}">
  <dimension ref="A1:G38"/>
  <sheetViews>
    <sheetView workbookViewId="0">
      <selection activeCell="F2" sqref="F2"/>
    </sheetView>
  </sheetViews>
  <sheetFormatPr baseColWidth="10" defaultColWidth="9.42578125" defaultRowHeight="16"/>
  <cols>
    <col min="1" max="1" width="28.28515625" style="1" customWidth="1"/>
    <col min="2" max="2" width="11.5703125" style="1" customWidth="1"/>
    <col min="3" max="3" width="16.7109375" style="1" customWidth="1"/>
    <col min="4" max="4" width="21.28515625" style="1" customWidth="1"/>
    <col min="5" max="5" width="22" style="1" customWidth="1"/>
    <col min="6" max="6" width="20" style="1" bestFit="1" customWidth="1"/>
    <col min="7" max="7" width="16.28515625" style="1" customWidth="1"/>
    <col min="8" max="8" width="9.42578125" style="1"/>
    <col min="9" max="9" width="25.42578125" style="1" customWidth="1"/>
    <col min="10" max="10" width="21.28515625" style="1" customWidth="1"/>
    <col min="11" max="16384" width="9.42578125" style="1"/>
  </cols>
  <sheetData>
    <row r="1" spans="1:7">
      <c r="A1" s="37" t="s">
        <v>231</v>
      </c>
      <c r="B1" s="37" t="s">
        <v>230</v>
      </c>
      <c r="C1" s="39" t="s">
        <v>229</v>
      </c>
      <c r="D1" s="37" t="s">
        <v>130</v>
      </c>
      <c r="E1" s="37" t="s">
        <v>129</v>
      </c>
      <c r="F1" s="38"/>
      <c r="G1" s="38"/>
    </row>
    <row r="2" spans="1:7">
      <c r="A2" s="37"/>
      <c r="B2" s="37"/>
      <c r="C2" s="39"/>
      <c r="D2" s="37"/>
      <c r="E2" s="37"/>
    </row>
    <row r="3" spans="1:7">
      <c r="A3" s="34"/>
      <c r="B3" s="3"/>
      <c r="C3" s="3"/>
    </row>
    <row r="4" spans="1:7">
      <c r="A4" s="34" t="s">
        <v>80</v>
      </c>
      <c r="B4" s="32">
        <v>7.1</v>
      </c>
      <c r="C4" s="1">
        <v>91</v>
      </c>
      <c r="D4" s="1">
        <v>77561.807000000001</v>
      </c>
      <c r="E4" s="1">
        <f>(10000/D4)*C4</f>
        <v>11.732578638865389</v>
      </c>
    </row>
    <row r="5" spans="1:7">
      <c r="A5" s="33"/>
      <c r="B5" s="32">
        <v>26.3</v>
      </c>
      <c r="C5" s="1">
        <f>98-3</f>
        <v>95</v>
      </c>
      <c r="D5" s="1">
        <f>40630.06+39231.824</f>
        <v>79861.883999999991</v>
      </c>
      <c r="E5" s="1">
        <f>(10000/D5)*C5</f>
        <v>11.895537049939872</v>
      </c>
    </row>
    <row r="6" spans="1:7">
      <c r="A6" s="33"/>
      <c r="B6" s="32">
        <v>65.2</v>
      </c>
      <c r="C6" s="1">
        <v>88</v>
      </c>
      <c r="D6" s="1">
        <f>37087.449+39298.627</f>
        <v>76386.076000000001</v>
      </c>
      <c r="E6" s="1">
        <f>(10000/D6)*C6</f>
        <v>11.520424219722978</v>
      </c>
    </row>
    <row r="7" spans="1:7">
      <c r="A7" s="33"/>
      <c r="B7" s="32">
        <v>31.4</v>
      </c>
      <c r="C7" s="1">
        <v>112</v>
      </c>
      <c r="D7" s="1">
        <f>46681.772+46908.946</f>
        <v>93590.717999999993</v>
      </c>
      <c r="E7" s="1">
        <f>(10000/D7)*C7</f>
        <v>11.966998693182374</v>
      </c>
    </row>
    <row r="8" spans="1:7">
      <c r="A8" s="33"/>
      <c r="B8" s="32"/>
    </row>
    <row r="9" spans="1:7">
      <c r="A9" s="33"/>
      <c r="B9" s="32"/>
    </row>
    <row r="10" spans="1:7">
      <c r="A10" s="34" t="s">
        <v>228</v>
      </c>
      <c r="B10" s="32">
        <v>7.4</v>
      </c>
      <c r="C10" s="1">
        <v>511</v>
      </c>
      <c r="D10" s="1">
        <f>30952.884+29028.96</f>
        <v>59981.843999999997</v>
      </c>
      <c r="E10" s="1">
        <f>(10000/D10)*C10</f>
        <v>85.192445900796258</v>
      </c>
    </row>
    <row r="11" spans="1:7">
      <c r="A11" s="33"/>
      <c r="B11" s="32" t="s">
        <v>227</v>
      </c>
      <c r="C11" s="1">
        <f>310+296+25</f>
        <v>631</v>
      </c>
      <c r="D11" s="1">
        <f>38863.894+40816.081</f>
        <v>79679.975000000006</v>
      </c>
      <c r="E11" s="1">
        <f>(10000/D11)*C11</f>
        <v>79.191791915095351</v>
      </c>
    </row>
    <row r="12" spans="1:7">
      <c r="A12" s="33"/>
      <c r="B12" s="32">
        <v>83.4</v>
      </c>
      <c r="C12" s="1">
        <f>961-9</f>
        <v>952</v>
      </c>
      <c r="D12" s="4">
        <v>97002.49</v>
      </c>
      <c r="E12" s="1">
        <f>(10000/D12)*C12</f>
        <v>98.141810586511738</v>
      </c>
    </row>
    <row r="13" spans="1:7">
      <c r="A13" s="33"/>
      <c r="B13" s="32"/>
    </row>
    <row r="14" spans="1:7">
      <c r="A14" s="34"/>
      <c r="B14" s="32"/>
    </row>
    <row r="15" spans="1:7">
      <c r="A15" s="34" t="s">
        <v>226</v>
      </c>
      <c r="B15" s="32" t="s">
        <v>225</v>
      </c>
      <c r="C15" s="1">
        <v>233</v>
      </c>
      <c r="D15" s="1">
        <f>29645.602+31262.747</f>
        <v>60908.349000000002</v>
      </c>
      <c r="E15" s="1">
        <f>(10000/D15)*C15</f>
        <v>38.254197302245046</v>
      </c>
    </row>
    <row r="16" spans="1:7">
      <c r="A16" s="33"/>
      <c r="B16" s="32">
        <v>81.099999999999994</v>
      </c>
      <c r="C16" s="1">
        <v>528</v>
      </c>
      <c r="D16" s="1">
        <f>3496.363+60497.254+57899.134</f>
        <v>121892.75099999999</v>
      </c>
      <c r="E16" s="1">
        <f>(10000/D16)*C16</f>
        <v>43.316767869157374</v>
      </c>
    </row>
    <row r="17" spans="1:5">
      <c r="A17" s="33"/>
      <c r="B17" s="32">
        <v>81.2</v>
      </c>
      <c r="C17" s="1">
        <v>353</v>
      </c>
      <c r="D17" s="1">
        <f>51170.536+39411.164</f>
        <v>90581.7</v>
      </c>
      <c r="E17" s="1">
        <f>(10000/D17)*C17</f>
        <v>38.970343899485215</v>
      </c>
    </row>
    <row r="18" spans="1:5">
      <c r="A18" s="33"/>
      <c r="B18" s="32"/>
    </row>
    <row r="19" spans="1:5">
      <c r="A19" s="36" t="s">
        <v>224</v>
      </c>
      <c r="B19" s="35" t="s">
        <v>223</v>
      </c>
      <c r="C19" s="4">
        <v>63</v>
      </c>
      <c r="D19" s="4">
        <v>104992.63499999999</v>
      </c>
      <c r="E19" s="1">
        <f>(10000/D19)*C19</f>
        <v>6.0004208866650508</v>
      </c>
    </row>
    <row r="20" spans="1:5">
      <c r="A20" s="33"/>
      <c r="B20" s="35" t="s">
        <v>222</v>
      </c>
      <c r="C20" s="4">
        <v>84</v>
      </c>
      <c r="D20" s="4">
        <v>150957.68100000001</v>
      </c>
      <c r="E20" s="1">
        <f>(10000/D20)*C20</f>
        <v>5.564473397017804</v>
      </c>
    </row>
    <row r="21" spans="1:5">
      <c r="A21" s="33"/>
      <c r="B21" s="32" t="s">
        <v>221</v>
      </c>
      <c r="C21" s="1">
        <v>52</v>
      </c>
      <c r="D21" s="1">
        <f>53096.002+49850.921</f>
        <v>102946.92300000001</v>
      </c>
      <c r="E21" s="1">
        <f>(10000/D21)*C21</f>
        <v>5.0511465991071915</v>
      </c>
    </row>
    <row r="22" spans="1:5">
      <c r="A22" s="33"/>
      <c r="B22" s="32"/>
    </row>
    <row r="23" spans="1:5">
      <c r="A23" s="34"/>
      <c r="B23" s="32"/>
    </row>
    <row r="24" spans="1:5">
      <c r="A24" s="34" t="s">
        <v>220</v>
      </c>
      <c r="B24" s="32">
        <v>11.5</v>
      </c>
      <c r="C24" s="1">
        <v>72</v>
      </c>
      <c r="D24" s="1">
        <f>46991.975+38092.28</f>
        <v>85084.255000000005</v>
      </c>
      <c r="E24" s="1">
        <f>(10000/D24)*C24</f>
        <v>8.4622002037862352</v>
      </c>
    </row>
    <row r="25" spans="1:5">
      <c r="A25" s="33"/>
      <c r="B25" s="32">
        <v>70.7</v>
      </c>
      <c r="C25" s="1">
        <v>80</v>
      </c>
      <c r="D25" s="1">
        <f>60475.758+36304.98</f>
        <v>96780.738000000012</v>
      </c>
      <c r="E25" s="1">
        <f>(10000/D25)*C25</f>
        <v>8.2661076628698567</v>
      </c>
    </row>
    <row r="26" spans="1:5">
      <c r="A26" s="33"/>
      <c r="B26" s="32">
        <v>9.8000000000000007</v>
      </c>
      <c r="C26" s="1">
        <v>99</v>
      </c>
      <c r="D26" s="1">
        <v>94885.528000000006</v>
      </c>
      <c r="E26" s="1">
        <f>(10000/D26)*C26</f>
        <v>10.433624820004162</v>
      </c>
    </row>
    <row r="27" spans="1:5">
      <c r="A27" s="34"/>
      <c r="B27" s="32"/>
    </row>
    <row r="28" spans="1:5">
      <c r="A28" s="34" t="s">
        <v>219</v>
      </c>
      <c r="B28" s="32">
        <v>7.6</v>
      </c>
      <c r="C28" s="1">
        <v>218</v>
      </c>
      <c r="D28" s="1">
        <f>50059.038+49848.352</f>
        <v>99907.39</v>
      </c>
      <c r="E28" s="1">
        <f>(10000/D28)*C28</f>
        <v>21.820207694345736</v>
      </c>
    </row>
    <row r="29" spans="1:5">
      <c r="A29" s="33"/>
      <c r="B29" s="32">
        <v>7.1</v>
      </c>
      <c r="C29" s="1">
        <v>115</v>
      </c>
      <c r="D29" s="4">
        <v>86333.547000000006</v>
      </c>
      <c r="E29" s="1">
        <f>(10000/D29)*C29</f>
        <v>13.32043035368395</v>
      </c>
    </row>
    <row r="30" spans="1:5">
      <c r="A30" s="33"/>
      <c r="B30" s="32">
        <v>7.11</v>
      </c>
      <c r="C30" s="1">
        <v>190</v>
      </c>
      <c r="D30" s="1">
        <f>47524.96+48841.52</f>
        <v>96366.48</v>
      </c>
      <c r="E30" s="1">
        <f>(10000/D30)*C30</f>
        <v>19.71639931229199</v>
      </c>
    </row>
    <row r="31" spans="1:5">
      <c r="A31" s="34"/>
      <c r="B31" s="32"/>
    </row>
    <row r="32" spans="1:5">
      <c r="A32" s="34" t="s">
        <v>218</v>
      </c>
      <c r="B32" s="32">
        <v>71.8</v>
      </c>
      <c r="C32" s="1">
        <v>210</v>
      </c>
      <c r="D32" s="1">
        <f>45335.557+50277.432</f>
        <v>95612.989000000001</v>
      </c>
      <c r="E32" s="1">
        <f>(10000/D32)*C32</f>
        <v>21.963543049574572</v>
      </c>
    </row>
    <row r="33" spans="1:5">
      <c r="A33" s="33"/>
      <c r="B33" s="32">
        <v>74.599999999999994</v>
      </c>
      <c r="C33" s="1">
        <v>267</v>
      </c>
      <c r="D33" s="1">
        <f>44177.296+47881.262</f>
        <v>92058.558000000005</v>
      </c>
      <c r="E33" s="1">
        <f>(10000/D33)*C33</f>
        <v>29.003278543641756</v>
      </c>
    </row>
    <row r="34" spans="1:5">
      <c r="A34" s="33"/>
      <c r="B34" s="32">
        <v>31.5</v>
      </c>
      <c r="C34" s="1">
        <v>254</v>
      </c>
      <c r="D34" s="1">
        <f>45433.336+49926.682</f>
        <v>95360.018000000011</v>
      </c>
      <c r="E34" s="1">
        <f>(10000/D34)*C34</f>
        <v>26.63590101251868</v>
      </c>
    </row>
    <row r="35" spans="1:5">
      <c r="A35" s="33"/>
      <c r="B35" s="32"/>
    </row>
    <row r="36" spans="1:5">
      <c r="A36" s="34" t="s">
        <v>217</v>
      </c>
      <c r="B36" s="32">
        <v>65.13</v>
      </c>
      <c r="C36" s="1">
        <v>67</v>
      </c>
      <c r="D36" s="1">
        <f>43715.734+43925.15+5726.623</f>
        <v>93367.506999999983</v>
      </c>
      <c r="E36" s="1">
        <f>(10000/D36)*C36</f>
        <v>7.1759439823106783</v>
      </c>
    </row>
    <row r="37" spans="1:5">
      <c r="A37" s="33"/>
      <c r="B37" s="32">
        <v>35.700000000000003</v>
      </c>
      <c r="C37" s="1">
        <v>52</v>
      </c>
      <c r="D37" s="1">
        <f>33410.687+761.189+27613.233+10095.629</f>
        <v>71880.737999999998</v>
      </c>
      <c r="E37" s="1">
        <f>(10000/D37)*C37</f>
        <v>7.2342050800869622</v>
      </c>
    </row>
    <row r="38" spans="1:5">
      <c r="A38" s="33"/>
      <c r="B38" s="32">
        <v>63.5</v>
      </c>
      <c r="C38" s="1">
        <v>58</v>
      </c>
      <c r="D38" s="1">
        <f>41871.567+39538.603</f>
        <v>81410.170000000013</v>
      </c>
      <c r="E38" s="1">
        <f>(10000/D38)*C38</f>
        <v>7.1244170107985267</v>
      </c>
    </row>
  </sheetData>
  <mergeCells count="6">
    <mergeCell ref="B1:B2"/>
    <mergeCell ref="A1:A2"/>
    <mergeCell ref="F1:G1"/>
    <mergeCell ref="C1:C2"/>
    <mergeCell ref="D1:D2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2F90-D756-DE48-BF34-83F6F037E1DB}">
  <dimension ref="A1:M35"/>
  <sheetViews>
    <sheetView workbookViewId="0">
      <selection activeCell="G1" sqref="G1"/>
    </sheetView>
  </sheetViews>
  <sheetFormatPr baseColWidth="10" defaultRowHeight="16"/>
  <cols>
    <col min="1" max="1" width="19.140625" style="1" customWidth="1"/>
    <col min="2" max="2" width="18.140625" style="1" customWidth="1"/>
    <col min="3" max="3" width="18.5703125" style="1" customWidth="1"/>
    <col min="4" max="4" width="14.5703125" style="1" customWidth="1"/>
    <col min="5" max="5" width="16.140625" style="1" customWidth="1"/>
    <col min="6" max="7" width="10.7109375" style="1"/>
    <col min="8" max="8" width="10.42578125" style="1" customWidth="1"/>
    <col min="9" max="9" width="14.85546875" style="1" customWidth="1"/>
    <col min="10" max="10" width="14.140625" style="1" customWidth="1"/>
    <col min="11" max="11" width="14.28515625" style="1" customWidth="1"/>
    <col min="12" max="12" width="20.7109375" style="1" customWidth="1"/>
    <col min="13" max="13" width="20.140625" style="1" customWidth="1"/>
    <col min="14" max="16384" width="10.7109375" style="1"/>
  </cols>
  <sheetData>
    <row r="1" spans="1:13">
      <c r="A1" s="3" t="s">
        <v>133</v>
      </c>
      <c r="B1" s="2" t="s">
        <v>132</v>
      </c>
      <c r="C1" s="2" t="s">
        <v>131</v>
      </c>
      <c r="D1" s="2" t="s">
        <v>130</v>
      </c>
      <c r="E1" s="2" t="s">
        <v>129</v>
      </c>
    </row>
    <row r="2" spans="1:13">
      <c r="A2" s="13" t="s">
        <v>80</v>
      </c>
    </row>
    <row r="3" spans="1:13">
      <c r="B3" s="1" t="s">
        <v>128</v>
      </c>
      <c r="C3" s="1">
        <v>141</v>
      </c>
      <c r="D3" s="1">
        <v>81256.077000000005</v>
      </c>
      <c r="E3" s="1">
        <f>(C3/D3)*10000</f>
        <v>17.352548290018973</v>
      </c>
    </row>
    <row r="4" spans="1:13">
      <c r="B4" s="1" t="s">
        <v>127</v>
      </c>
      <c r="C4" s="1">
        <v>129</v>
      </c>
      <c r="D4" s="1">
        <f>42589.956+39610.545</f>
        <v>82200.500999999989</v>
      </c>
      <c r="E4" s="1">
        <f>(C4/D4)*10000</f>
        <v>15.693335007775685</v>
      </c>
    </row>
    <row r="5" spans="1:13">
      <c r="B5" s="1" t="s">
        <v>126</v>
      </c>
      <c r="C5" s="1">
        <v>141</v>
      </c>
      <c r="D5" s="1">
        <v>95249.683999999994</v>
      </c>
      <c r="E5" s="1">
        <f>(C5/D5)*10000</f>
        <v>14.803198717173698</v>
      </c>
    </row>
    <row r="8" spans="1:13">
      <c r="A8" s="3" t="s">
        <v>125</v>
      </c>
      <c r="H8" s="3"/>
      <c r="I8" s="3"/>
      <c r="J8" s="3"/>
      <c r="K8" s="3"/>
      <c r="L8" s="3"/>
      <c r="M8" s="3"/>
    </row>
    <row r="9" spans="1:13">
      <c r="B9" s="1" t="s">
        <v>124</v>
      </c>
      <c r="C9" s="1">
        <v>342</v>
      </c>
      <c r="D9" s="1">
        <f>28101.426+30131.722</f>
        <v>58233.148000000001</v>
      </c>
      <c r="E9" s="1">
        <f>(C9/D9)*10000</f>
        <v>58.729437055334877</v>
      </c>
    </row>
    <row r="10" spans="1:13">
      <c r="B10" s="1" t="s">
        <v>123</v>
      </c>
      <c r="C10" s="1">
        <v>619</v>
      </c>
      <c r="D10" s="1">
        <v>113962.728</v>
      </c>
      <c r="E10" s="1">
        <f>(C10/D10)*10000</f>
        <v>54.316004088635012</v>
      </c>
    </row>
    <row r="11" spans="1:13">
      <c r="B11" s="1" t="s">
        <v>122</v>
      </c>
      <c r="C11" s="1">
        <v>561</v>
      </c>
      <c r="D11" s="1">
        <f>30663.252+30679.163</f>
        <v>61342.415000000001</v>
      </c>
      <c r="E11" s="1">
        <f>(C11/D11)*10000</f>
        <v>91.453849673182916</v>
      </c>
    </row>
    <row r="14" spans="1:13">
      <c r="A14" s="3" t="s">
        <v>121</v>
      </c>
    </row>
    <row r="15" spans="1:13">
      <c r="B15" s="1" t="s">
        <v>120</v>
      </c>
      <c r="C15" s="1">
        <v>201</v>
      </c>
      <c r="D15" s="1">
        <f>34464.641+37008.452</f>
        <v>71473.092999999993</v>
      </c>
      <c r="E15" s="1">
        <f>(C15/D15)*10000</f>
        <v>28.122471207451454</v>
      </c>
    </row>
    <row r="16" spans="1:13">
      <c r="B16" s="1" t="s">
        <v>119</v>
      </c>
      <c r="C16" s="1">
        <v>280</v>
      </c>
      <c r="D16" s="1">
        <f>55979.763+44797.977</f>
        <v>100777.73999999999</v>
      </c>
      <c r="E16" s="1">
        <f>(C16/D16)*10000</f>
        <v>27.783913391985177</v>
      </c>
    </row>
    <row r="17" spans="1:5">
      <c r="B17" s="1" t="s">
        <v>118</v>
      </c>
      <c r="C17" s="1">
        <v>259</v>
      </c>
      <c r="D17" s="1">
        <f>47232.459+39807.877</f>
        <v>87040.33600000001</v>
      </c>
      <c r="E17" s="1">
        <f>(C17/D17)*10000</f>
        <v>29.756318955386384</v>
      </c>
    </row>
    <row r="19" spans="1:5">
      <c r="A19" s="3" t="s">
        <v>117</v>
      </c>
    </row>
    <row r="20" spans="1:5">
      <c r="B20" s="1" t="s">
        <v>116</v>
      </c>
      <c r="C20" s="1">
        <v>85</v>
      </c>
      <c r="D20" s="1">
        <f>42713.248+34591.589</f>
        <v>77304.837</v>
      </c>
      <c r="E20" s="1">
        <f>(C20/D20)*10000</f>
        <v>10.995430984480311</v>
      </c>
    </row>
    <row r="21" spans="1:5">
      <c r="B21" s="1" t="s">
        <v>115</v>
      </c>
      <c r="C21" s="1">
        <v>127</v>
      </c>
      <c r="D21" s="1">
        <v>135807.28899999999</v>
      </c>
      <c r="E21" s="1">
        <f>(C21/D21)*10000</f>
        <v>9.3514862814174879</v>
      </c>
    </row>
    <row r="22" spans="1:5">
      <c r="B22" s="1" t="s">
        <v>114</v>
      </c>
      <c r="C22" s="1">
        <v>153</v>
      </c>
      <c r="D22" s="1">
        <v>132289.85699999999</v>
      </c>
      <c r="E22" s="1">
        <f>(C22/D22)*10000</f>
        <v>11.565512539634842</v>
      </c>
    </row>
    <row r="25" spans="1:5">
      <c r="A25" s="3" t="s">
        <v>113</v>
      </c>
    </row>
    <row r="26" spans="1:5">
      <c r="B26" s="1" t="s">
        <v>112</v>
      </c>
      <c r="C26" s="1">
        <v>69</v>
      </c>
      <c r="D26" s="1">
        <f>51129.788+36342.216</f>
        <v>87472.004000000001</v>
      </c>
      <c r="E26" s="1">
        <f>(C26/D26)*10000</f>
        <v>7.8882381613207349</v>
      </c>
    </row>
    <row r="27" spans="1:5">
      <c r="B27" s="1" t="s">
        <v>111</v>
      </c>
      <c r="C27" s="1">
        <v>49</v>
      </c>
      <c r="D27" s="1">
        <f>31978.566+36763.198</f>
        <v>68741.763999999996</v>
      </c>
      <c r="E27" s="1">
        <f>(C27/D27)*10000</f>
        <v>7.128126650925048</v>
      </c>
    </row>
    <row r="28" spans="1:5">
      <c r="B28" s="1" t="s">
        <v>110</v>
      </c>
      <c r="C28" s="1">
        <v>55</v>
      </c>
      <c r="D28" s="1">
        <f>43628.485+35442.555</f>
        <v>79071.040000000008</v>
      </c>
      <c r="E28" s="1">
        <f>(C28/D28)*10000</f>
        <v>6.9557704059539365</v>
      </c>
    </row>
    <row r="31" spans="1:5">
      <c r="A31" s="3" t="s">
        <v>109</v>
      </c>
    </row>
    <row r="33" spans="2:5">
      <c r="B33" s="1" t="s">
        <v>108</v>
      </c>
      <c r="C33" s="1">
        <v>68</v>
      </c>
      <c r="D33" s="1">
        <v>135201.951</v>
      </c>
      <c r="E33" s="1">
        <f>(C33/D33)*10000</f>
        <v>5.0295132205599611</v>
      </c>
    </row>
    <row r="34" spans="2:5">
      <c r="B34" s="1" t="s">
        <v>107</v>
      </c>
      <c r="C34" s="1">
        <v>50</v>
      </c>
      <c r="D34" s="1">
        <v>104960.261</v>
      </c>
      <c r="E34" s="1">
        <f>(C34/D34)*10000</f>
        <v>4.7637076664662636</v>
      </c>
    </row>
    <row r="35" spans="2:5">
      <c r="B35" s="1" t="s">
        <v>106</v>
      </c>
      <c r="C35" s="1">
        <v>31</v>
      </c>
      <c r="D35" s="1">
        <f>38369.669+27168.891</f>
        <v>65538.559999999998</v>
      </c>
      <c r="E35" s="1">
        <f>(C35/D35)*10000</f>
        <v>4.7300398421936647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Fig 3O</vt:lpstr>
      <vt:lpstr>Fig 3P</vt:lpstr>
      <vt:lpstr>Fig 5O</vt:lpstr>
      <vt:lpstr>Fig 5P</vt:lpstr>
      <vt:lpstr>Fig 6V</vt:lpstr>
      <vt:lpstr>Figs 6W and 6X</vt:lpstr>
      <vt:lpstr>Fig 6Y</vt:lpstr>
      <vt:lpstr>Figs 6 Z and AA</vt:lpstr>
      <vt:lpstr>Figure 7M</vt:lpstr>
      <vt:lpstr>Fig 7N</vt:lpstr>
      <vt:lpstr>S6Q Fig </vt:lpstr>
      <vt:lpstr>'Fig 6V'!Print_Area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Nadean L Brown</cp:lastModifiedBy>
  <dcterms:created xsi:type="dcterms:W3CDTF">2023-08-26T20:21:53Z</dcterms:created>
  <dcterms:modified xsi:type="dcterms:W3CDTF">2023-08-27T17:44:02Z</dcterms:modified>
</cp:coreProperties>
</file>