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510"/>
  <workbookPr showInkAnnotation="0" checkCompatibility="1" autoCompressPictures="0"/>
  <mc:AlternateContent xmlns:mc="http://schemas.openxmlformats.org/markup-compatibility/2006">
    <mc:Choice Requires="x15">
      <x15ac:absPath xmlns:x15ac="http://schemas.microsoft.com/office/spreadsheetml/2010/11/ac" url="/Users/mohanalakshmi/Dropbox/NMo/Paper-2-Revisions/"/>
    </mc:Choice>
  </mc:AlternateContent>
  <bookViews>
    <workbookView xWindow="20" yWindow="460" windowWidth="25580" windowHeight="14900" tabRatio="609"/>
  </bookViews>
  <sheets>
    <sheet name="LIST OF TABLES" sheetId="18" r:id="rId1"/>
    <sheet name="Table A-E" sheetId="5" r:id="rId2"/>
    <sheet name="Table F and Table G" sheetId="16" r:id="rId3"/>
    <sheet name="Table H" sheetId="17" r:id="rId4"/>
    <sheet name="Table I and Table J" sheetId="19" r:id="rId5"/>
    <sheet name="Table K and Table L" sheetId="20" r:id="rId6"/>
    <sheet name="No. of HumanProts in each clade" sheetId="21" r:id="rId7"/>
  </sheets>
  <definedNames>
    <definedName name="Meth">#REF!</definedName>
  </definedNames>
  <calcPr calcId="150001" concurrentCalc="0"/>
  <customWorkbookViews>
    <customWorkbookView name="Mohanalakshmi Narasumani - Personal View" guid="{127B6458-1888-E743-A436-D6EF9EF5889D}" mergeInterval="0" personalView="1" windowWidth="1487" windowHeight="852" tabRatio="609" activeSheetId="16"/>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U7" i="16" l="1"/>
  <c r="AW31" i="5"/>
  <c r="AW33" i="5"/>
  <c r="AW34" i="5"/>
  <c r="AV34" i="5"/>
  <c r="AX34" i="5"/>
  <c r="AW36" i="5"/>
  <c r="AW37" i="5"/>
  <c r="AW39" i="5"/>
  <c r="AW40" i="5"/>
  <c r="AW30" i="5"/>
  <c r="AV30" i="5"/>
  <c r="AX30" i="5"/>
  <c r="BZ9" i="16"/>
  <c r="C19" i="19"/>
  <c r="D19" i="19"/>
  <c r="C20" i="19"/>
  <c r="D20" i="19"/>
  <c r="AC3" i="19"/>
  <c r="AC4" i="19"/>
  <c r="AC6" i="19"/>
  <c r="AC7" i="19"/>
  <c r="AC9" i="19"/>
  <c r="AC10" i="19"/>
  <c r="AC12" i="19"/>
  <c r="AC13" i="19"/>
  <c r="AB13" i="19"/>
  <c r="AB12" i="19"/>
  <c r="AB10" i="19"/>
  <c r="AB9" i="19"/>
  <c r="AB4" i="19"/>
  <c r="AB3" i="19"/>
  <c r="AB7" i="19"/>
  <c r="AB6" i="19"/>
  <c r="BA12" i="19"/>
  <c r="BA13" i="19"/>
  <c r="AL10" i="19"/>
  <c r="AM13" i="19"/>
  <c r="AM12" i="19"/>
  <c r="AM10" i="19"/>
  <c r="AM9" i="19"/>
  <c r="AM7" i="19"/>
  <c r="AM6" i="19"/>
  <c r="AM4" i="19"/>
  <c r="AM3" i="19"/>
  <c r="AL13" i="19"/>
  <c r="AL12" i="19"/>
  <c r="AL9" i="19"/>
  <c r="AL7" i="19"/>
  <c r="AL6" i="19"/>
  <c r="AL4" i="19"/>
  <c r="AL3" i="19"/>
  <c r="AG13" i="19"/>
  <c r="AG12" i="19"/>
  <c r="AH13" i="19"/>
  <c r="AH12" i="19"/>
  <c r="AH7" i="19"/>
  <c r="AH6" i="19"/>
  <c r="AH4" i="19"/>
  <c r="AH3" i="19"/>
  <c r="AG7" i="19"/>
  <c r="AG6" i="19"/>
  <c r="AG4" i="19"/>
  <c r="AG3" i="19"/>
  <c r="AH10" i="19"/>
  <c r="AH9" i="19"/>
  <c r="AG10" i="19"/>
  <c r="AG9" i="19"/>
  <c r="W13" i="19"/>
  <c r="W12" i="19"/>
  <c r="W10" i="19"/>
  <c r="W9" i="19"/>
  <c r="W7" i="19"/>
  <c r="W6" i="19"/>
  <c r="W4" i="19"/>
  <c r="W3" i="19"/>
  <c r="X13" i="19"/>
  <c r="X12" i="19"/>
  <c r="X10" i="19"/>
  <c r="X9" i="19"/>
  <c r="X7" i="19"/>
  <c r="X6" i="19"/>
  <c r="X4" i="19"/>
  <c r="X3" i="19"/>
  <c r="M13" i="19"/>
  <c r="M12" i="19"/>
  <c r="M7" i="19"/>
  <c r="M6" i="19"/>
  <c r="M4" i="19"/>
  <c r="M3" i="19"/>
  <c r="M10" i="19"/>
  <c r="M9" i="19"/>
  <c r="N13" i="19"/>
  <c r="N12" i="19"/>
  <c r="N10" i="19"/>
  <c r="N9" i="19"/>
  <c r="N7" i="19"/>
  <c r="N6" i="19"/>
  <c r="N4" i="19"/>
  <c r="N3" i="19"/>
  <c r="I13" i="19"/>
  <c r="I12" i="19"/>
  <c r="H13" i="19"/>
  <c r="H12" i="19"/>
  <c r="I10" i="19"/>
  <c r="I9" i="19"/>
  <c r="H10" i="19"/>
  <c r="H9" i="19"/>
  <c r="H7" i="19"/>
  <c r="H6" i="19"/>
  <c r="I7" i="19"/>
  <c r="I6" i="19"/>
  <c r="H4" i="19"/>
  <c r="H3" i="19"/>
  <c r="I4" i="19"/>
  <c r="I3" i="19"/>
  <c r="C13" i="19"/>
  <c r="C12" i="19"/>
  <c r="C10" i="19"/>
  <c r="C9" i="19"/>
  <c r="C7" i="19"/>
  <c r="C6" i="19"/>
  <c r="D13" i="19"/>
  <c r="D10" i="19"/>
  <c r="D7" i="19"/>
  <c r="D12" i="19"/>
  <c r="D9" i="19"/>
  <c r="D6" i="19"/>
  <c r="C4" i="19"/>
  <c r="C3" i="19"/>
  <c r="D4" i="19"/>
  <c r="D3" i="19"/>
  <c r="S10" i="19"/>
  <c r="R10" i="19"/>
  <c r="S4" i="19"/>
  <c r="R4" i="19"/>
  <c r="S7" i="19"/>
  <c r="R7" i="19"/>
  <c r="S13" i="19"/>
  <c r="R13" i="19"/>
  <c r="S12" i="19"/>
  <c r="R12" i="19"/>
  <c r="S9" i="19"/>
  <c r="R9" i="19"/>
  <c r="S6" i="19"/>
  <c r="R6" i="19"/>
  <c r="S3" i="19"/>
  <c r="R3" i="19"/>
  <c r="BY6" i="5"/>
  <c r="AW9" i="5"/>
  <c r="AV9" i="5"/>
  <c r="CI4" i="5"/>
  <c r="DC4" i="17"/>
  <c r="CU4" i="17"/>
  <c r="CT4" i="17"/>
  <c r="CV4" i="17"/>
  <c r="CS4" i="17"/>
  <c r="CK4" i="17"/>
  <c r="CJ4" i="17"/>
  <c r="CL4" i="17"/>
  <c r="CI4" i="17"/>
  <c r="CA4" i="17"/>
  <c r="BZ4" i="17"/>
  <c r="CB4" i="17"/>
  <c r="BY4" i="17"/>
  <c r="BQ4" i="17"/>
  <c r="BP4" i="17"/>
  <c r="BR4" i="17"/>
  <c r="BO4" i="17"/>
  <c r="BG4" i="17"/>
  <c r="BF4" i="17"/>
  <c r="BH4" i="17"/>
  <c r="BE4" i="17"/>
  <c r="AW4" i="17"/>
  <c r="AV4" i="17"/>
  <c r="AX4" i="17"/>
  <c r="AU4" i="17"/>
  <c r="AM4" i="17"/>
  <c r="AL4" i="17"/>
  <c r="AN4" i="17"/>
  <c r="AK4" i="17"/>
  <c r="AC4" i="17"/>
  <c r="AB4" i="17"/>
  <c r="AD4" i="17"/>
  <c r="AA4" i="17"/>
  <c r="S4" i="17"/>
  <c r="R4" i="17"/>
  <c r="T4" i="17"/>
  <c r="Q4" i="17"/>
  <c r="I4" i="17"/>
  <c r="H4" i="17"/>
  <c r="J4" i="17"/>
  <c r="G4" i="17"/>
  <c r="DC40" i="5"/>
  <c r="DC33" i="5"/>
  <c r="DC36" i="5"/>
  <c r="DC37" i="5"/>
  <c r="DC39" i="5"/>
  <c r="DC19" i="5"/>
  <c r="DC21" i="5"/>
  <c r="DC22" i="5"/>
  <c r="DC24" i="5"/>
  <c r="DC25" i="5"/>
  <c r="DC4" i="5"/>
  <c r="DC6" i="5"/>
  <c r="DC7" i="5"/>
  <c r="DC9" i="5"/>
  <c r="DC10" i="5"/>
  <c r="DC12" i="5"/>
  <c r="DC13" i="5"/>
  <c r="CS4" i="5"/>
  <c r="CS6" i="5"/>
  <c r="CS7" i="5"/>
  <c r="CS9" i="5"/>
  <c r="CS10" i="5"/>
  <c r="CS12" i="5"/>
  <c r="CS13" i="5"/>
  <c r="CS19" i="5"/>
  <c r="CS21" i="5"/>
  <c r="CS22" i="5"/>
  <c r="CS24" i="5"/>
  <c r="CS25" i="5"/>
  <c r="CS31" i="5"/>
  <c r="CS33" i="5"/>
  <c r="CS34" i="5"/>
  <c r="CS36" i="5"/>
  <c r="CS37" i="5"/>
  <c r="CS39" i="5"/>
  <c r="CS40" i="5"/>
  <c r="CI31" i="5"/>
  <c r="CF33" i="5"/>
  <c r="CI33" i="5"/>
  <c r="CI34" i="5"/>
  <c r="CI36" i="5"/>
  <c r="CI37" i="5"/>
  <c r="CI39" i="5"/>
  <c r="CI40" i="5"/>
  <c r="CI19" i="5"/>
  <c r="CI21" i="5"/>
  <c r="CI22" i="5"/>
  <c r="CI24" i="5"/>
  <c r="CI25" i="5"/>
  <c r="CI6" i="5"/>
  <c r="CI7" i="5"/>
  <c r="CI9" i="5"/>
  <c r="CI10" i="5"/>
  <c r="CI12" i="5"/>
  <c r="CI13" i="5"/>
  <c r="BY4" i="5"/>
  <c r="BY7" i="5"/>
  <c r="BY9" i="5"/>
  <c r="BY10" i="5"/>
  <c r="BY12" i="5"/>
  <c r="BY13" i="5"/>
  <c r="BY19" i="5"/>
  <c r="BY21" i="5"/>
  <c r="BY22" i="5"/>
  <c r="BY24" i="5"/>
  <c r="BY25" i="5"/>
  <c r="BY31" i="5"/>
  <c r="BY33" i="5"/>
  <c r="BY34" i="5"/>
  <c r="BY36" i="5"/>
  <c r="BY37" i="5"/>
  <c r="BY39" i="5"/>
  <c r="BY40" i="5"/>
  <c r="BO4" i="5"/>
  <c r="BO6" i="5"/>
  <c r="BO7" i="5"/>
  <c r="BO9" i="5"/>
  <c r="BO10" i="5"/>
  <c r="BO12" i="5"/>
  <c r="BO13" i="5"/>
  <c r="BO19" i="5"/>
  <c r="BO21" i="5"/>
  <c r="BO22" i="5"/>
  <c r="BO24" i="5"/>
  <c r="BO25" i="5"/>
  <c r="BO31" i="5"/>
  <c r="BO33" i="5"/>
  <c r="BO34" i="5"/>
  <c r="BO36" i="5"/>
  <c r="BO37" i="5"/>
  <c r="BO39" i="5"/>
  <c r="BO40" i="5"/>
  <c r="BE4" i="5"/>
  <c r="BE6" i="5"/>
  <c r="BE7" i="5"/>
  <c r="BE9" i="5"/>
  <c r="BE10" i="5"/>
  <c r="BE12" i="5"/>
  <c r="BE13" i="5"/>
  <c r="BE19" i="5"/>
  <c r="BE21" i="5"/>
  <c r="BE22" i="5"/>
  <c r="BE24" i="5"/>
  <c r="BE25" i="5"/>
  <c r="BE31" i="5"/>
  <c r="BE33" i="5"/>
  <c r="BE34" i="5"/>
  <c r="BE36" i="5"/>
  <c r="BE37" i="5"/>
  <c r="BE39" i="5"/>
  <c r="BE40" i="5"/>
  <c r="AU31" i="5"/>
  <c r="AU33" i="5"/>
  <c r="AU34" i="5"/>
  <c r="AU36" i="5"/>
  <c r="AU37" i="5"/>
  <c r="AU39" i="5"/>
  <c r="AU40" i="5"/>
  <c r="AU19" i="5"/>
  <c r="AU21" i="5"/>
  <c r="AU22" i="5"/>
  <c r="AU24" i="5"/>
  <c r="AU25" i="5"/>
  <c r="AU4" i="5"/>
  <c r="AU6" i="5"/>
  <c r="AU7" i="5"/>
  <c r="AU9" i="5"/>
  <c r="AU10" i="5"/>
  <c r="AU12" i="5"/>
  <c r="AU13" i="5"/>
  <c r="AK13" i="5"/>
  <c r="AK4" i="5"/>
  <c r="AK6" i="5"/>
  <c r="AK7" i="5"/>
  <c r="AK9" i="5"/>
  <c r="AK10" i="5"/>
  <c r="AK12" i="5"/>
  <c r="AK19" i="5"/>
  <c r="AK21" i="5"/>
  <c r="AK22" i="5"/>
  <c r="AK24" i="5"/>
  <c r="AK25" i="5"/>
  <c r="AK31" i="5"/>
  <c r="AK33" i="5"/>
  <c r="AK34" i="5"/>
  <c r="AK36" i="5"/>
  <c r="AK37" i="5"/>
  <c r="AK39" i="5"/>
  <c r="AK40" i="5"/>
  <c r="AA31" i="5"/>
  <c r="AA33" i="5"/>
  <c r="AA34" i="5"/>
  <c r="AA36" i="5"/>
  <c r="AA37" i="5"/>
  <c r="AA39" i="5"/>
  <c r="AA40" i="5"/>
  <c r="AA19" i="5"/>
  <c r="AA21" i="5"/>
  <c r="AA22" i="5"/>
  <c r="AA24" i="5"/>
  <c r="AA25" i="5"/>
  <c r="AA4" i="5"/>
  <c r="AA6" i="5"/>
  <c r="AA7" i="5"/>
  <c r="AA9" i="5"/>
  <c r="AA10" i="5"/>
  <c r="AA12" i="5"/>
  <c r="AA13" i="5"/>
  <c r="Q4" i="5"/>
  <c r="Q6" i="5"/>
  <c r="Q7" i="5"/>
  <c r="Q9" i="5"/>
  <c r="Q10" i="5"/>
  <c r="Q12" i="5"/>
  <c r="Q13" i="5"/>
  <c r="Q19" i="5"/>
  <c r="Q21" i="5"/>
  <c r="Q22" i="5"/>
  <c r="Q24" i="5"/>
  <c r="Q25" i="5"/>
  <c r="Q31" i="5"/>
  <c r="Q33" i="5"/>
  <c r="Q34" i="5"/>
  <c r="Q36" i="5"/>
  <c r="Q37" i="5"/>
  <c r="Q39" i="5"/>
  <c r="Q40" i="5"/>
  <c r="G31" i="5"/>
  <c r="G33" i="5"/>
  <c r="G34" i="5"/>
  <c r="G36" i="5"/>
  <c r="G37" i="5"/>
  <c r="G39" i="5"/>
  <c r="G40" i="5"/>
  <c r="G19" i="5"/>
  <c r="G21" i="5"/>
  <c r="G22" i="5"/>
  <c r="G24" i="5"/>
  <c r="G25" i="5"/>
  <c r="G18" i="5"/>
  <c r="G30" i="5"/>
  <c r="Q30" i="5"/>
  <c r="Q18" i="5"/>
  <c r="AA30" i="5"/>
  <c r="AA18" i="5"/>
  <c r="AK30" i="5"/>
  <c r="AK18" i="5"/>
  <c r="AU30" i="5"/>
  <c r="AU18" i="5"/>
  <c r="BE30" i="5"/>
  <c r="BE18" i="5"/>
  <c r="BE3" i="5"/>
  <c r="BO18" i="5"/>
  <c r="BO30" i="5"/>
  <c r="BY30" i="5"/>
  <c r="BY18" i="5"/>
  <c r="CI30" i="5"/>
  <c r="CI18" i="5"/>
  <c r="Q3" i="5"/>
  <c r="AA3" i="5"/>
  <c r="AK3" i="5"/>
  <c r="AU3" i="5"/>
  <c r="BO3" i="5"/>
  <c r="BY3" i="5"/>
  <c r="CI3" i="5"/>
  <c r="DC30" i="5"/>
  <c r="CS30" i="5"/>
  <c r="DC18" i="5"/>
  <c r="CS18" i="5"/>
  <c r="CS3" i="5"/>
  <c r="DC3" i="5"/>
  <c r="G13" i="5"/>
  <c r="G4" i="5"/>
  <c r="G6" i="5"/>
  <c r="G7" i="5"/>
  <c r="G9" i="5"/>
  <c r="G10" i="5"/>
  <c r="G12" i="5"/>
  <c r="G3" i="5"/>
  <c r="DC3" i="17"/>
  <c r="CU3" i="17"/>
  <c r="CT3" i="17"/>
  <c r="CV3" i="17"/>
  <c r="CS3" i="17"/>
  <c r="CK3" i="17"/>
  <c r="CJ3" i="17"/>
  <c r="CL3" i="17"/>
  <c r="CI3" i="17"/>
  <c r="CA3" i="17"/>
  <c r="BZ3" i="17"/>
  <c r="CB3" i="17"/>
  <c r="BY3" i="17"/>
  <c r="BQ3" i="17"/>
  <c r="BP3" i="17"/>
  <c r="BR3" i="17"/>
  <c r="BO3" i="17"/>
  <c r="BG3" i="17"/>
  <c r="BF3" i="17"/>
  <c r="BH3" i="17"/>
  <c r="BE3" i="17"/>
  <c r="AW3" i="17"/>
  <c r="AV3" i="17"/>
  <c r="AX3" i="17"/>
  <c r="AU3" i="17"/>
  <c r="AM3" i="17"/>
  <c r="AL3" i="17"/>
  <c r="AN3" i="17"/>
  <c r="AK3" i="17"/>
  <c r="AC3" i="17"/>
  <c r="AB3" i="17"/>
  <c r="AD3" i="17"/>
  <c r="AA3" i="17"/>
  <c r="S3" i="17"/>
  <c r="R3" i="17"/>
  <c r="T3" i="17"/>
  <c r="Q3" i="17"/>
  <c r="I3" i="17"/>
  <c r="H3" i="17"/>
  <c r="J3" i="17"/>
  <c r="G3" i="17"/>
  <c r="BQ25" i="16"/>
  <c r="BP25" i="16"/>
  <c r="BR25" i="16"/>
  <c r="BQ24" i="16"/>
  <c r="BP24" i="16"/>
  <c r="BR24" i="16"/>
  <c r="BQ22" i="16"/>
  <c r="BP22" i="16"/>
  <c r="BQ21" i="16"/>
  <c r="BP21" i="16"/>
  <c r="BQ19" i="16"/>
  <c r="BP19" i="16"/>
  <c r="BR19" i="16"/>
  <c r="BQ18" i="16"/>
  <c r="BP18" i="16"/>
  <c r="BR18" i="16"/>
  <c r="BQ13" i="16"/>
  <c r="BP13" i="16"/>
  <c r="BR13" i="16"/>
  <c r="BQ12" i="16"/>
  <c r="BP12" i="16"/>
  <c r="BR12" i="16"/>
  <c r="BQ10" i="16"/>
  <c r="BP10" i="16"/>
  <c r="BR10" i="16"/>
  <c r="BQ9" i="16"/>
  <c r="BP9" i="16"/>
  <c r="BR9" i="16"/>
  <c r="BQ7" i="16"/>
  <c r="BP7" i="16"/>
  <c r="BQ6" i="16"/>
  <c r="BP6" i="16"/>
  <c r="BR6" i="16"/>
  <c r="BQ4" i="16"/>
  <c r="BP4" i="16"/>
  <c r="BR4" i="16"/>
  <c r="BP3" i="16"/>
  <c r="BQ3" i="16"/>
  <c r="BR3" i="16"/>
  <c r="G18" i="16"/>
  <c r="H18" i="16"/>
  <c r="I18" i="16"/>
  <c r="J18" i="16"/>
  <c r="Q18" i="16"/>
  <c r="R18" i="16"/>
  <c r="S18" i="16"/>
  <c r="T18" i="16"/>
  <c r="AA18" i="16"/>
  <c r="AB18" i="16"/>
  <c r="AC18" i="16"/>
  <c r="AD18" i="16"/>
  <c r="G19" i="16"/>
  <c r="H19" i="16"/>
  <c r="I19" i="16"/>
  <c r="J19" i="16"/>
  <c r="Q19" i="16"/>
  <c r="R19" i="16"/>
  <c r="S19" i="16"/>
  <c r="T19" i="16"/>
  <c r="AA19" i="16"/>
  <c r="AB19" i="16"/>
  <c r="AC19" i="16"/>
  <c r="AD19" i="16"/>
  <c r="G21" i="16"/>
  <c r="H21" i="16"/>
  <c r="I21" i="16"/>
  <c r="J21" i="16"/>
  <c r="Q21" i="16"/>
  <c r="R21" i="16"/>
  <c r="S21" i="16"/>
  <c r="T21" i="16"/>
  <c r="AA21" i="16"/>
  <c r="AB21" i="16"/>
  <c r="AC21" i="16"/>
  <c r="AD21" i="16"/>
  <c r="G22" i="16"/>
  <c r="H22" i="16"/>
  <c r="I22" i="16"/>
  <c r="J22" i="16"/>
  <c r="Q22" i="16"/>
  <c r="R22" i="16"/>
  <c r="S22" i="16"/>
  <c r="T22" i="16"/>
  <c r="AA22" i="16"/>
  <c r="AB22" i="16"/>
  <c r="AC22" i="16"/>
  <c r="AD22" i="16"/>
  <c r="BF9" i="16"/>
  <c r="AK25" i="16"/>
  <c r="AK24" i="16"/>
  <c r="AK22" i="16"/>
  <c r="AK21" i="16"/>
  <c r="AK19" i="16"/>
  <c r="AK18" i="16"/>
  <c r="AK13" i="16"/>
  <c r="AK12" i="16"/>
  <c r="AK10" i="16"/>
  <c r="AK9" i="16"/>
  <c r="AK7" i="16"/>
  <c r="AK6" i="16"/>
  <c r="AK4" i="16"/>
  <c r="AK3" i="16"/>
  <c r="DC19" i="16"/>
  <c r="DC21" i="16"/>
  <c r="DC22" i="16"/>
  <c r="DC24" i="16"/>
  <c r="DC18" i="16"/>
  <c r="DC4" i="16"/>
  <c r="DC6" i="16"/>
  <c r="DC7" i="16"/>
  <c r="DC9" i="16"/>
  <c r="DC12" i="16"/>
  <c r="DC13" i="16"/>
  <c r="DC3" i="16"/>
  <c r="CS19" i="16"/>
  <c r="CS21" i="16"/>
  <c r="CS22" i="16"/>
  <c r="CS24" i="16"/>
  <c r="CS18" i="16"/>
  <c r="CS4" i="16"/>
  <c r="CS6" i="16"/>
  <c r="CS7" i="16"/>
  <c r="CS9" i="16"/>
  <c r="CS12" i="16"/>
  <c r="CS13" i="16"/>
  <c r="CS3" i="16"/>
  <c r="CI19" i="16"/>
  <c r="CI21" i="16"/>
  <c r="CI22" i="16"/>
  <c r="CI24" i="16"/>
  <c r="CI18" i="16"/>
  <c r="CI4" i="16"/>
  <c r="CI6" i="16"/>
  <c r="CI7" i="16"/>
  <c r="CI9" i="16"/>
  <c r="CI12" i="16"/>
  <c r="CI13" i="16"/>
  <c r="CI3" i="16"/>
  <c r="BY19" i="16"/>
  <c r="BY21" i="16"/>
  <c r="BY22" i="16"/>
  <c r="BY24" i="16"/>
  <c r="BY18" i="16"/>
  <c r="BY4" i="16"/>
  <c r="BY6" i="16"/>
  <c r="BY7" i="16"/>
  <c r="BY9" i="16"/>
  <c r="BY12" i="16"/>
  <c r="BY13" i="16"/>
  <c r="BY3" i="16"/>
  <c r="BO25" i="16"/>
  <c r="BO19" i="16"/>
  <c r="BO21" i="16"/>
  <c r="BO22" i="16"/>
  <c r="BO24" i="16"/>
  <c r="BO18" i="16"/>
  <c r="BO4" i="16"/>
  <c r="BO6" i="16"/>
  <c r="BO7" i="16"/>
  <c r="BO9" i="16"/>
  <c r="BO10" i="16"/>
  <c r="BO12" i="16"/>
  <c r="BO13" i="16"/>
  <c r="BO3" i="16"/>
  <c r="BE19" i="16"/>
  <c r="BE21" i="16"/>
  <c r="BE22" i="16"/>
  <c r="BE24" i="16"/>
  <c r="BE25" i="16"/>
  <c r="BE18" i="16"/>
  <c r="BE4" i="16"/>
  <c r="BE6" i="16"/>
  <c r="BE7" i="16"/>
  <c r="BE9" i="16"/>
  <c r="BE10" i="16"/>
  <c r="BE12" i="16"/>
  <c r="BE13" i="16"/>
  <c r="BE3" i="16"/>
  <c r="AU19" i="16"/>
  <c r="AU21" i="16"/>
  <c r="AU22" i="16"/>
  <c r="AU24" i="16"/>
  <c r="AU25" i="16"/>
  <c r="AU18" i="16"/>
  <c r="AU4" i="16"/>
  <c r="AU6" i="16"/>
  <c r="AU7" i="16"/>
  <c r="AU9" i="16"/>
  <c r="AU10" i="16"/>
  <c r="AU12" i="16"/>
  <c r="AU13" i="16"/>
  <c r="AU3" i="16"/>
  <c r="AB4" i="16"/>
  <c r="AC4" i="16"/>
  <c r="AD4" i="16"/>
  <c r="AB6" i="16"/>
  <c r="AC6" i="16"/>
  <c r="AD6" i="16"/>
  <c r="AB7" i="16"/>
  <c r="AC7" i="16"/>
  <c r="AD7" i="16"/>
  <c r="AB9" i="16"/>
  <c r="AC9" i="16"/>
  <c r="AD9" i="16"/>
  <c r="AB10" i="16"/>
  <c r="AC10" i="16"/>
  <c r="AD10" i="16"/>
  <c r="AB12" i="16"/>
  <c r="AC12" i="16"/>
  <c r="AD12" i="16"/>
  <c r="AB13" i="16"/>
  <c r="AC13" i="16"/>
  <c r="AD13" i="16"/>
  <c r="AB3" i="16"/>
  <c r="AC3" i="16"/>
  <c r="AD3" i="16"/>
  <c r="AB24" i="16"/>
  <c r="AC24" i="16"/>
  <c r="AD24" i="16"/>
  <c r="AB25" i="16"/>
  <c r="AC25" i="16"/>
  <c r="AD25" i="16"/>
  <c r="AA24" i="16"/>
  <c r="AA25" i="16"/>
  <c r="AA4" i="16"/>
  <c r="AA6" i="16"/>
  <c r="AA7" i="16"/>
  <c r="AA9" i="16"/>
  <c r="AA10" i="16"/>
  <c r="AA12" i="16"/>
  <c r="AA13" i="16"/>
  <c r="AA3" i="16"/>
  <c r="Q24" i="16"/>
  <c r="Q25" i="16"/>
  <c r="Q4" i="16"/>
  <c r="Q6" i="16"/>
  <c r="Q7" i="16"/>
  <c r="Q9" i="16"/>
  <c r="Q10" i="16"/>
  <c r="Q12" i="16"/>
  <c r="Q13" i="16"/>
  <c r="Q3" i="16"/>
  <c r="G24" i="16"/>
  <c r="G25" i="16"/>
  <c r="G4" i="16"/>
  <c r="G6" i="16"/>
  <c r="G7" i="16"/>
  <c r="G9" i="16"/>
  <c r="G10" i="16"/>
  <c r="G12" i="16"/>
  <c r="G13" i="16"/>
  <c r="G3" i="16"/>
  <c r="AL19" i="16"/>
  <c r="AM19" i="16"/>
  <c r="AN19" i="16"/>
  <c r="AV19" i="16"/>
  <c r="AW19" i="16"/>
  <c r="AX19" i="16"/>
  <c r="BF19" i="16"/>
  <c r="BG19" i="16"/>
  <c r="BH19" i="16"/>
  <c r="BZ19" i="16"/>
  <c r="CA19" i="16"/>
  <c r="CJ19" i="16"/>
  <c r="CK19" i="16"/>
  <c r="CT19" i="16"/>
  <c r="CU19" i="16"/>
  <c r="CV19" i="16"/>
  <c r="CU21" i="16"/>
  <c r="CT21" i="16"/>
  <c r="CV21" i="16"/>
  <c r="CU22" i="16"/>
  <c r="CT22" i="16"/>
  <c r="CV22" i="16"/>
  <c r="CU24" i="16"/>
  <c r="CT24" i="16"/>
  <c r="CV24" i="16"/>
  <c r="CU25" i="16"/>
  <c r="CT25" i="16"/>
  <c r="CU18" i="16"/>
  <c r="CT18" i="16"/>
  <c r="CV18" i="16"/>
  <c r="CU4" i="16"/>
  <c r="CT4" i="16"/>
  <c r="CV4" i="16"/>
  <c r="CU6" i="16"/>
  <c r="CT6" i="16"/>
  <c r="CV6" i="16"/>
  <c r="CT7" i="16"/>
  <c r="CU9" i="16"/>
  <c r="CT9" i="16"/>
  <c r="CV9" i="16"/>
  <c r="CU10" i="16"/>
  <c r="CT10" i="16"/>
  <c r="CU12" i="16"/>
  <c r="CT12" i="16"/>
  <c r="CV12" i="16"/>
  <c r="CU13" i="16"/>
  <c r="CT13" i="16"/>
  <c r="CV13" i="16"/>
  <c r="CU3" i="16"/>
  <c r="CT3" i="16"/>
  <c r="CV3" i="16"/>
  <c r="CK21" i="16"/>
  <c r="CJ21" i="16"/>
  <c r="CK22" i="16"/>
  <c r="CJ22" i="16"/>
  <c r="CL22" i="16"/>
  <c r="CK24" i="16"/>
  <c r="CJ24" i="16"/>
  <c r="CL24" i="16"/>
  <c r="CK25" i="16"/>
  <c r="CJ25" i="16"/>
  <c r="CK18" i="16"/>
  <c r="CJ18" i="16"/>
  <c r="CL18" i="16"/>
  <c r="CK4" i="16"/>
  <c r="CJ4" i="16"/>
  <c r="CL4" i="16"/>
  <c r="CK6" i="16"/>
  <c r="CJ6" i="16"/>
  <c r="CL6" i="16"/>
  <c r="CK7" i="16"/>
  <c r="CJ7" i="16"/>
  <c r="CL7" i="16"/>
  <c r="CK9" i="16"/>
  <c r="CJ9" i="16"/>
  <c r="CL9" i="16"/>
  <c r="CK10" i="16"/>
  <c r="CJ10" i="16"/>
  <c r="CK12" i="16"/>
  <c r="CJ12" i="16"/>
  <c r="CL12" i="16"/>
  <c r="CK13" i="16"/>
  <c r="CJ13" i="16"/>
  <c r="CL13" i="16"/>
  <c r="CK3" i="16"/>
  <c r="CJ3" i="16"/>
  <c r="CL3" i="16"/>
  <c r="CA4" i="16"/>
  <c r="BZ4" i="16"/>
  <c r="CA6" i="16"/>
  <c r="BZ6" i="16"/>
  <c r="CB6" i="16"/>
  <c r="CA7" i="16"/>
  <c r="BZ7" i="16"/>
  <c r="CB7" i="16"/>
  <c r="CA9" i="16"/>
  <c r="CB9" i="16"/>
  <c r="CA10" i="16"/>
  <c r="BZ10" i="16"/>
  <c r="CA12" i="16"/>
  <c r="BZ12" i="16"/>
  <c r="CA13" i="16"/>
  <c r="BZ13" i="16"/>
  <c r="CA3" i="16"/>
  <c r="BZ3" i="16"/>
  <c r="CA21" i="16"/>
  <c r="BZ21" i="16"/>
  <c r="CA22" i="16"/>
  <c r="BZ22" i="16"/>
  <c r="CA24" i="16"/>
  <c r="BZ24" i="16"/>
  <c r="CB24" i="16"/>
  <c r="CA25" i="16"/>
  <c r="BZ25" i="16"/>
  <c r="CA18" i="16"/>
  <c r="BZ18" i="16"/>
  <c r="BG21" i="16"/>
  <c r="BF21" i="16"/>
  <c r="BH21" i="16"/>
  <c r="BG22" i="16"/>
  <c r="BF22" i="16"/>
  <c r="BH22" i="16"/>
  <c r="BG24" i="16"/>
  <c r="BF24" i="16"/>
  <c r="BH24" i="16"/>
  <c r="BG25" i="16"/>
  <c r="BF25" i="16"/>
  <c r="BG18" i="16"/>
  <c r="BF18" i="16"/>
  <c r="BH18" i="16"/>
  <c r="BG4" i="16"/>
  <c r="BF4" i="16"/>
  <c r="BH4" i="16"/>
  <c r="BG6" i="16"/>
  <c r="BF6" i="16"/>
  <c r="BH6" i="16"/>
  <c r="BG7" i="16"/>
  <c r="BF7" i="16"/>
  <c r="BH7" i="16"/>
  <c r="BG9" i="16"/>
  <c r="BH9" i="16"/>
  <c r="BG10" i="16"/>
  <c r="BF10" i="16"/>
  <c r="BG12" i="16"/>
  <c r="BF12" i="16"/>
  <c r="BH12" i="16"/>
  <c r="BG13" i="16"/>
  <c r="BF13" i="16"/>
  <c r="BH13" i="16"/>
  <c r="BG3" i="16"/>
  <c r="BF3" i="16"/>
  <c r="BH3" i="16"/>
  <c r="AW25" i="16"/>
  <c r="AV25" i="16"/>
  <c r="AX25" i="16"/>
  <c r="AW21" i="16"/>
  <c r="AV21" i="16"/>
  <c r="AX21" i="16"/>
  <c r="AW22" i="16"/>
  <c r="AV22" i="16"/>
  <c r="AX22" i="16"/>
  <c r="AW24" i="16"/>
  <c r="AV24" i="16"/>
  <c r="AX24" i="16"/>
  <c r="AW18" i="16"/>
  <c r="AV18" i="16"/>
  <c r="AX18" i="16"/>
  <c r="AW4" i="16"/>
  <c r="AV4" i="16"/>
  <c r="AX4" i="16"/>
  <c r="AW6" i="16"/>
  <c r="AV6" i="16"/>
  <c r="AX6" i="16"/>
  <c r="AW7" i="16"/>
  <c r="AV7" i="16"/>
  <c r="AX7" i="16"/>
  <c r="AW9" i="16"/>
  <c r="AV9" i="16"/>
  <c r="AX9" i="16"/>
  <c r="AW10" i="16"/>
  <c r="AV10" i="16"/>
  <c r="AX10" i="16"/>
  <c r="AW12" i="16"/>
  <c r="AV12" i="16"/>
  <c r="AX12" i="16"/>
  <c r="AW13" i="16"/>
  <c r="AV13" i="16"/>
  <c r="AX13" i="16"/>
  <c r="AW3" i="16"/>
  <c r="AV3" i="16"/>
  <c r="AX3" i="16"/>
  <c r="AM21" i="16"/>
  <c r="AL21" i="16"/>
  <c r="AN21" i="16"/>
  <c r="AM22" i="16"/>
  <c r="AL22" i="16"/>
  <c r="AN22" i="16"/>
  <c r="AM24" i="16"/>
  <c r="AL24" i="16"/>
  <c r="AN24" i="16"/>
  <c r="AM25" i="16"/>
  <c r="AL25" i="16"/>
  <c r="AN25" i="16"/>
  <c r="AM18" i="16"/>
  <c r="AL18" i="16"/>
  <c r="AN18" i="16"/>
  <c r="AM4" i="16"/>
  <c r="AL4" i="16"/>
  <c r="AN4" i="16"/>
  <c r="AM6" i="16"/>
  <c r="AL6" i="16"/>
  <c r="AN6" i="16"/>
  <c r="AM7" i="16"/>
  <c r="AL7" i="16"/>
  <c r="AN7" i="16"/>
  <c r="AM9" i="16"/>
  <c r="AL9" i="16"/>
  <c r="AN9" i="16"/>
  <c r="AM10" i="16"/>
  <c r="AL10" i="16"/>
  <c r="AN10" i="16"/>
  <c r="AM12" i="16"/>
  <c r="AL12" i="16"/>
  <c r="AN12" i="16"/>
  <c r="AM13" i="16"/>
  <c r="AL13" i="16"/>
  <c r="AN13" i="16"/>
  <c r="AM3" i="16"/>
  <c r="AL3" i="16"/>
  <c r="AN3" i="16"/>
  <c r="S4" i="16"/>
  <c r="R4" i="16"/>
  <c r="T4" i="16"/>
  <c r="S6" i="16"/>
  <c r="R6" i="16"/>
  <c r="T6" i="16"/>
  <c r="S7" i="16"/>
  <c r="R7" i="16"/>
  <c r="T7" i="16"/>
  <c r="S9" i="16"/>
  <c r="R9" i="16"/>
  <c r="T9" i="16"/>
  <c r="S10" i="16"/>
  <c r="R10" i="16"/>
  <c r="T10" i="16"/>
  <c r="S12" i="16"/>
  <c r="R12" i="16"/>
  <c r="T12" i="16"/>
  <c r="S13" i="16"/>
  <c r="R13" i="16"/>
  <c r="T13" i="16"/>
  <c r="S3" i="16"/>
  <c r="R3" i="16"/>
  <c r="T3" i="16"/>
  <c r="S24" i="16"/>
  <c r="R24" i="16"/>
  <c r="T24" i="16"/>
  <c r="S25" i="16"/>
  <c r="R25" i="16"/>
  <c r="T25" i="16"/>
  <c r="I24" i="16"/>
  <c r="H24" i="16"/>
  <c r="J24" i="16"/>
  <c r="I25" i="16"/>
  <c r="H25" i="16"/>
  <c r="J25" i="16"/>
  <c r="I4" i="16"/>
  <c r="H4" i="16"/>
  <c r="J4" i="16"/>
  <c r="I6" i="16"/>
  <c r="H6" i="16"/>
  <c r="J6" i="16"/>
  <c r="I7" i="16"/>
  <c r="H7" i="16"/>
  <c r="J7" i="16"/>
  <c r="I9" i="16"/>
  <c r="H9" i="16"/>
  <c r="J9" i="16"/>
  <c r="I10" i="16"/>
  <c r="H10" i="16"/>
  <c r="J10" i="16"/>
  <c r="I12" i="16"/>
  <c r="H12" i="16"/>
  <c r="J12" i="16"/>
  <c r="I13" i="16"/>
  <c r="H13" i="16"/>
  <c r="J13" i="16"/>
  <c r="I3" i="16"/>
  <c r="H3" i="16"/>
  <c r="J3" i="16"/>
  <c r="S3" i="5"/>
  <c r="R3" i="5"/>
  <c r="T3" i="5"/>
  <c r="S4" i="5"/>
  <c r="R4" i="5"/>
  <c r="T4" i="5"/>
  <c r="S6" i="5"/>
  <c r="S7" i="5"/>
  <c r="S9" i="5"/>
  <c r="S10" i="5"/>
  <c r="S12" i="5"/>
  <c r="R12" i="5"/>
  <c r="T12" i="5"/>
  <c r="S13" i="5"/>
  <c r="R13" i="5"/>
  <c r="T13" i="5"/>
  <c r="CA4" i="5"/>
  <c r="CK31" i="5"/>
  <c r="CJ31" i="5"/>
  <c r="CL31" i="5"/>
  <c r="BG7" i="5"/>
  <c r="BF7" i="5"/>
  <c r="AM25" i="5"/>
  <c r="AL25" i="5"/>
  <c r="AN25" i="5"/>
  <c r="AM24" i="5"/>
  <c r="AL24" i="5"/>
  <c r="AN24" i="5"/>
  <c r="AM22" i="5"/>
  <c r="AL22" i="5"/>
  <c r="AN22" i="5"/>
  <c r="AM21" i="5"/>
  <c r="AL21" i="5"/>
  <c r="AN21" i="5"/>
  <c r="AM19" i="5"/>
  <c r="AL19" i="5"/>
  <c r="AM18" i="5"/>
  <c r="AL18" i="5"/>
  <c r="AN18" i="5"/>
  <c r="AM10" i="5"/>
  <c r="AL10" i="5"/>
  <c r="AN10" i="5"/>
  <c r="AM9" i="5"/>
  <c r="AL9" i="5"/>
  <c r="AM7" i="5"/>
  <c r="AL7" i="5"/>
  <c r="AN7" i="5"/>
  <c r="AM6" i="5"/>
  <c r="AL6" i="5"/>
  <c r="AN6" i="5"/>
  <c r="AM4" i="5"/>
  <c r="AL4" i="5"/>
  <c r="AN4" i="5"/>
  <c r="AM3" i="5"/>
  <c r="AL3" i="5"/>
  <c r="AN3" i="5"/>
  <c r="CU25" i="5"/>
  <c r="CT25" i="5"/>
  <c r="CK25" i="5"/>
  <c r="CJ25" i="5"/>
  <c r="CL25" i="5"/>
  <c r="CA25" i="5"/>
  <c r="BZ25" i="5"/>
  <c r="CB25" i="5"/>
  <c r="BQ25" i="5"/>
  <c r="BP25" i="5"/>
  <c r="BG25" i="5"/>
  <c r="BF25" i="5"/>
  <c r="BH25" i="5"/>
  <c r="AW25" i="5"/>
  <c r="AV25" i="5"/>
  <c r="AX25" i="5"/>
  <c r="AC25" i="5"/>
  <c r="AB25" i="5"/>
  <c r="AD25" i="5"/>
  <c r="S25" i="5"/>
  <c r="R25" i="5"/>
  <c r="T25" i="5"/>
  <c r="I25" i="5"/>
  <c r="H25" i="5"/>
  <c r="CU24" i="5"/>
  <c r="CT24" i="5"/>
  <c r="CV24" i="5"/>
  <c r="CK24" i="5"/>
  <c r="CJ24" i="5"/>
  <c r="CL24" i="5"/>
  <c r="CA24" i="5"/>
  <c r="BZ24" i="5"/>
  <c r="BQ24" i="5"/>
  <c r="BP24" i="5"/>
  <c r="BR24" i="5"/>
  <c r="BG24" i="5"/>
  <c r="BF24" i="5"/>
  <c r="BH24" i="5"/>
  <c r="AW24" i="5"/>
  <c r="AV24" i="5"/>
  <c r="AX24" i="5"/>
  <c r="AC24" i="5"/>
  <c r="AB24" i="5"/>
  <c r="AD24" i="5"/>
  <c r="S24" i="5"/>
  <c r="R24" i="5"/>
  <c r="T24" i="5"/>
  <c r="I24" i="5"/>
  <c r="H24" i="5"/>
  <c r="J24" i="5"/>
  <c r="CU22" i="5"/>
  <c r="CT22" i="5"/>
  <c r="CV22" i="5"/>
  <c r="CK22" i="5"/>
  <c r="CJ22" i="5"/>
  <c r="CA22" i="5"/>
  <c r="BZ22" i="5"/>
  <c r="CB22" i="5"/>
  <c r="BQ22" i="5"/>
  <c r="BP22" i="5"/>
  <c r="BR22" i="5"/>
  <c r="BG22" i="5"/>
  <c r="BF22" i="5"/>
  <c r="BH22" i="5"/>
  <c r="AW22" i="5"/>
  <c r="AV22" i="5"/>
  <c r="AX22" i="5"/>
  <c r="AC22" i="5"/>
  <c r="AB22" i="5"/>
  <c r="S22" i="5"/>
  <c r="R22" i="5"/>
  <c r="T22" i="5"/>
  <c r="I22" i="5"/>
  <c r="H22" i="5"/>
  <c r="J22" i="5"/>
  <c r="CU21" i="5"/>
  <c r="CT21" i="5"/>
  <c r="CK21" i="5"/>
  <c r="CJ21" i="5"/>
  <c r="CL21" i="5"/>
  <c r="CA21" i="5"/>
  <c r="BZ21" i="5"/>
  <c r="CB21" i="5"/>
  <c r="BQ21" i="5"/>
  <c r="BP21" i="5"/>
  <c r="BR21" i="5"/>
  <c r="BG21" i="5"/>
  <c r="BF21" i="5"/>
  <c r="BH21" i="5"/>
  <c r="AW21" i="5"/>
  <c r="AV21" i="5"/>
  <c r="AC21" i="5"/>
  <c r="AB21" i="5"/>
  <c r="AD21" i="5"/>
  <c r="S21" i="5"/>
  <c r="R21" i="5"/>
  <c r="T21" i="5"/>
  <c r="I21" i="5"/>
  <c r="H21" i="5"/>
  <c r="CU19" i="5"/>
  <c r="CT19" i="5"/>
  <c r="CV19" i="5"/>
  <c r="CK19" i="5"/>
  <c r="CJ19" i="5"/>
  <c r="CL19" i="5"/>
  <c r="CA19" i="5"/>
  <c r="BZ19" i="5"/>
  <c r="CB19" i="5"/>
  <c r="BQ19" i="5"/>
  <c r="BP19" i="5"/>
  <c r="BR19" i="5"/>
  <c r="BG19" i="5"/>
  <c r="BF19" i="5"/>
  <c r="AW19" i="5"/>
  <c r="AV19" i="5"/>
  <c r="AX19" i="5"/>
  <c r="AC19" i="5"/>
  <c r="AB19" i="5"/>
  <c r="AD19" i="5"/>
  <c r="S19" i="5"/>
  <c r="R19" i="5"/>
  <c r="I19" i="5"/>
  <c r="H19" i="5"/>
  <c r="J19" i="5"/>
  <c r="CU18" i="5"/>
  <c r="CT18" i="5"/>
  <c r="CV18" i="5"/>
  <c r="CK18" i="5"/>
  <c r="CJ18" i="5"/>
  <c r="CL18" i="5"/>
  <c r="CA18" i="5"/>
  <c r="BZ18" i="5"/>
  <c r="CB18" i="5"/>
  <c r="BQ18" i="5"/>
  <c r="BP18" i="5"/>
  <c r="BR18" i="5"/>
  <c r="BG18" i="5"/>
  <c r="BF18" i="5"/>
  <c r="BH18" i="5"/>
  <c r="AW18" i="5"/>
  <c r="AV18" i="5"/>
  <c r="AX18" i="5"/>
  <c r="AC18" i="5"/>
  <c r="AB18" i="5"/>
  <c r="S18" i="5"/>
  <c r="R18" i="5"/>
  <c r="T18" i="5"/>
  <c r="I18" i="5"/>
  <c r="H18" i="5"/>
  <c r="J18" i="5"/>
  <c r="CA31" i="5"/>
  <c r="BZ31" i="5"/>
  <c r="CB31" i="5"/>
  <c r="CA33" i="5"/>
  <c r="BZ33" i="5"/>
  <c r="CB33" i="5"/>
  <c r="CA34" i="5"/>
  <c r="BZ34" i="5"/>
  <c r="CB34" i="5"/>
  <c r="CA36" i="5"/>
  <c r="BZ36" i="5"/>
  <c r="CB36" i="5"/>
  <c r="CA37" i="5"/>
  <c r="CA39" i="5"/>
  <c r="CA40" i="5"/>
  <c r="CA30" i="5"/>
  <c r="BZ37" i="5"/>
  <c r="BZ39" i="5"/>
  <c r="BZ40" i="5"/>
  <c r="CJ33" i="5"/>
  <c r="CJ34" i="5"/>
  <c r="CK34" i="5"/>
  <c r="CL34" i="5"/>
  <c r="CJ36" i="5"/>
  <c r="CJ37" i="5"/>
  <c r="CJ39" i="5"/>
  <c r="CJ40" i="5"/>
  <c r="CK33" i="5"/>
  <c r="CL33" i="5"/>
  <c r="CK36" i="5"/>
  <c r="CL36" i="5"/>
  <c r="CK37" i="5"/>
  <c r="CK39" i="5"/>
  <c r="CL39" i="5"/>
  <c r="CK40" i="5"/>
  <c r="CT31" i="5"/>
  <c r="CT33" i="5"/>
  <c r="CT34" i="5"/>
  <c r="CT36" i="5"/>
  <c r="CT37" i="5"/>
  <c r="CT39" i="5"/>
  <c r="CT40" i="5"/>
  <c r="CU31" i="5"/>
  <c r="CU33" i="5"/>
  <c r="CU34" i="5"/>
  <c r="CU36" i="5"/>
  <c r="CV36" i="5"/>
  <c r="CU37" i="5"/>
  <c r="CU39" i="5"/>
  <c r="CU40" i="5"/>
  <c r="CV40" i="5"/>
  <c r="CU30" i="5"/>
  <c r="CT30" i="5"/>
  <c r="CV30" i="5"/>
  <c r="CL37" i="5"/>
  <c r="CK30" i="5"/>
  <c r="CJ30" i="5"/>
  <c r="CL30" i="5"/>
  <c r="BZ30" i="5"/>
  <c r="CB30" i="5"/>
  <c r="BQ31" i="5"/>
  <c r="BP31" i="5"/>
  <c r="BR31" i="5"/>
  <c r="BQ33" i="5"/>
  <c r="BP33" i="5"/>
  <c r="BR33" i="5"/>
  <c r="BQ34" i="5"/>
  <c r="BP34" i="5"/>
  <c r="BR34" i="5"/>
  <c r="BQ36" i="5"/>
  <c r="BP36" i="5"/>
  <c r="BR36" i="5"/>
  <c r="BQ37" i="5"/>
  <c r="BP37" i="5"/>
  <c r="BR37" i="5"/>
  <c r="BQ39" i="5"/>
  <c r="BP39" i="5"/>
  <c r="BR39" i="5"/>
  <c r="BQ40" i="5"/>
  <c r="BP40" i="5"/>
  <c r="BQ30" i="5"/>
  <c r="BP30" i="5"/>
  <c r="BR30" i="5"/>
  <c r="BG31" i="5"/>
  <c r="BH31" i="5"/>
  <c r="BG33" i="5"/>
  <c r="BH33" i="5"/>
  <c r="BG34" i="5"/>
  <c r="BH34" i="5"/>
  <c r="BG36" i="5"/>
  <c r="BH36" i="5"/>
  <c r="BG37" i="5"/>
  <c r="BH37" i="5"/>
  <c r="BG39" i="5"/>
  <c r="BH39" i="5"/>
  <c r="BG40" i="5"/>
  <c r="BH40" i="5"/>
  <c r="BG30" i="5"/>
  <c r="BH30" i="5"/>
  <c r="BF31" i="5"/>
  <c r="BF33" i="5"/>
  <c r="BF34" i="5"/>
  <c r="BF36" i="5"/>
  <c r="BF37" i="5"/>
  <c r="BF39" i="5"/>
  <c r="BF40" i="5"/>
  <c r="BF30" i="5"/>
  <c r="AV31" i="5"/>
  <c r="AX31" i="5"/>
  <c r="AV33" i="5"/>
  <c r="AX33" i="5"/>
  <c r="AV36" i="5"/>
  <c r="AX36" i="5"/>
  <c r="AV37" i="5"/>
  <c r="AX37" i="5"/>
  <c r="AV39" i="5"/>
  <c r="AV40" i="5"/>
  <c r="AX40" i="5"/>
  <c r="AM31" i="5"/>
  <c r="AL31" i="5"/>
  <c r="AN31" i="5"/>
  <c r="AM33" i="5"/>
  <c r="AL33" i="5"/>
  <c r="AN33" i="5"/>
  <c r="AM34" i="5"/>
  <c r="AL34" i="5"/>
  <c r="AN34" i="5"/>
  <c r="AM36" i="5"/>
  <c r="AL36" i="5"/>
  <c r="AM37" i="5"/>
  <c r="AL37" i="5"/>
  <c r="AN37" i="5"/>
  <c r="AM39" i="5"/>
  <c r="AL39" i="5"/>
  <c r="AN39" i="5"/>
  <c r="AM40" i="5"/>
  <c r="AL40" i="5"/>
  <c r="AN40" i="5"/>
  <c r="AM30" i="5"/>
  <c r="AL30" i="5"/>
  <c r="AN30" i="5"/>
  <c r="AC31" i="5"/>
  <c r="AB31" i="5"/>
  <c r="AD31" i="5"/>
  <c r="AC33" i="5"/>
  <c r="AB33" i="5"/>
  <c r="AD33" i="5"/>
  <c r="AC34" i="5"/>
  <c r="AB34" i="5"/>
  <c r="AD34" i="5"/>
  <c r="AC36" i="5"/>
  <c r="AB36" i="5"/>
  <c r="AC37" i="5"/>
  <c r="AB37" i="5"/>
  <c r="AD37" i="5"/>
  <c r="AC39" i="5"/>
  <c r="AB39" i="5"/>
  <c r="AD39" i="5"/>
  <c r="AC40" i="5"/>
  <c r="AB40" i="5"/>
  <c r="AD40" i="5"/>
  <c r="AC30" i="5"/>
  <c r="AB30" i="5"/>
  <c r="AD30" i="5"/>
  <c r="S31" i="5"/>
  <c r="R31" i="5"/>
  <c r="T31" i="5"/>
  <c r="S33" i="5"/>
  <c r="R33" i="5"/>
  <c r="T33" i="5"/>
  <c r="S34" i="5"/>
  <c r="R34" i="5"/>
  <c r="T34" i="5"/>
  <c r="S36" i="5"/>
  <c r="R36" i="5"/>
  <c r="S37" i="5"/>
  <c r="R37" i="5"/>
  <c r="T37" i="5"/>
  <c r="S39" i="5"/>
  <c r="R39" i="5"/>
  <c r="T39" i="5"/>
  <c r="S40" i="5"/>
  <c r="R40" i="5"/>
  <c r="S30" i="5"/>
  <c r="R30" i="5"/>
  <c r="T30" i="5"/>
  <c r="I31" i="5"/>
  <c r="J31" i="5"/>
  <c r="I33" i="5"/>
  <c r="H33" i="5"/>
  <c r="I34" i="5"/>
  <c r="H34" i="5"/>
  <c r="J34" i="5"/>
  <c r="I36" i="5"/>
  <c r="H36" i="5"/>
  <c r="J36" i="5"/>
  <c r="I37" i="5"/>
  <c r="H37" i="5"/>
  <c r="J37" i="5"/>
  <c r="I39" i="5"/>
  <c r="H39" i="5"/>
  <c r="J39" i="5"/>
  <c r="I40" i="5"/>
  <c r="H40" i="5"/>
  <c r="I30" i="5"/>
  <c r="H30" i="5"/>
  <c r="J30" i="5"/>
  <c r="AB12" i="5"/>
  <c r="I12" i="5"/>
  <c r="H12" i="5"/>
  <c r="J12" i="5"/>
  <c r="AM13" i="5"/>
  <c r="AL13" i="5"/>
  <c r="AN13" i="5"/>
  <c r="I13" i="5"/>
  <c r="H13" i="5"/>
  <c r="J13" i="5"/>
  <c r="AM12" i="5"/>
  <c r="AL12" i="5"/>
  <c r="CU4" i="5"/>
  <c r="CT4" i="5"/>
  <c r="CV4" i="5"/>
  <c r="I4" i="5"/>
  <c r="H4" i="5"/>
  <c r="J4" i="5"/>
  <c r="I6" i="5"/>
  <c r="H6" i="5"/>
  <c r="J6" i="5"/>
  <c r="I7" i="5"/>
  <c r="H7" i="5"/>
  <c r="J7" i="5"/>
  <c r="I9" i="5"/>
  <c r="H9" i="5"/>
  <c r="J9" i="5"/>
  <c r="I10" i="5"/>
  <c r="H10" i="5"/>
  <c r="J10" i="5"/>
  <c r="I3" i="5"/>
  <c r="H3" i="5"/>
  <c r="J3" i="5"/>
  <c r="R6" i="5"/>
  <c r="R7" i="5"/>
  <c r="R9" i="5"/>
  <c r="T9" i="5"/>
  <c r="R10" i="5"/>
  <c r="T10" i="5"/>
  <c r="AC4" i="5"/>
  <c r="AB4" i="5"/>
  <c r="AC6" i="5"/>
  <c r="AB6" i="5"/>
  <c r="AD6" i="5"/>
  <c r="AC7" i="5"/>
  <c r="AB7" i="5"/>
  <c r="AD7" i="5"/>
  <c r="AC9" i="5"/>
  <c r="AB9" i="5"/>
  <c r="AC10" i="5"/>
  <c r="AB10" i="5"/>
  <c r="AD10" i="5"/>
  <c r="AC12" i="5"/>
  <c r="AD12" i="5"/>
  <c r="AC13" i="5"/>
  <c r="AB13" i="5"/>
  <c r="AC3" i="5"/>
  <c r="AB3" i="5"/>
  <c r="AD3" i="5"/>
  <c r="AW4" i="5"/>
  <c r="AV4" i="5"/>
  <c r="AX4" i="5"/>
  <c r="AW6" i="5"/>
  <c r="AV6" i="5"/>
  <c r="AX6" i="5"/>
  <c r="AW7" i="5"/>
  <c r="AV7" i="5"/>
  <c r="AX7" i="5"/>
  <c r="AX9" i="5"/>
  <c r="AW10" i="5"/>
  <c r="AV10" i="5"/>
  <c r="AW12" i="5"/>
  <c r="AV12" i="5"/>
  <c r="AX12" i="5"/>
  <c r="AW13" i="5"/>
  <c r="AV13" i="5"/>
  <c r="AX13" i="5"/>
  <c r="AW3" i="5"/>
  <c r="AV3" i="5"/>
  <c r="AX3" i="5"/>
  <c r="BG4" i="5"/>
  <c r="BF4" i="5"/>
  <c r="BH4" i="5"/>
  <c r="BG6" i="5"/>
  <c r="BF6" i="5"/>
  <c r="BH6" i="5"/>
  <c r="BG9" i="5"/>
  <c r="BF9" i="5"/>
  <c r="BH9" i="5"/>
  <c r="BG10" i="5"/>
  <c r="BF10" i="5"/>
  <c r="BH10" i="5"/>
  <c r="BG12" i="5"/>
  <c r="BF12" i="5"/>
  <c r="BH12" i="5"/>
  <c r="BG13" i="5"/>
  <c r="BF13" i="5"/>
  <c r="BH13" i="5"/>
  <c r="BG3" i="5"/>
  <c r="BF3" i="5"/>
  <c r="BH3" i="5"/>
  <c r="BQ13" i="5"/>
  <c r="BP13" i="5"/>
  <c r="BR13" i="5"/>
  <c r="BQ4" i="5"/>
  <c r="BP4" i="5"/>
  <c r="BR4" i="5"/>
  <c r="BQ6" i="5"/>
  <c r="BP6" i="5"/>
  <c r="BR6" i="5"/>
  <c r="BQ7" i="5"/>
  <c r="BP7" i="5"/>
  <c r="BR7" i="5"/>
  <c r="BQ9" i="5"/>
  <c r="BP9" i="5"/>
  <c r="BR9" i="5"/>
  <c r="BQ10" i="5"/>
  <c r="BP10" i="5"/>
  <c r="BR10" i="5"/>
  <c r="BQ12" i="5"/>
  <c r="BP12" i="5"/>
  <c r="BR12" i="5"/>
  <c r="BQ3" i="5"/>
  <c r="BP3" i="5"/>
  <c r="BR3" i="5"/>
  <c r="BZ4" i="5"/>
  <c r="CB4" i="5"/>
  <c r="CA6" i="5"/>
  <c r="BZ6" i="5"/>
  <c r="CB6" i="5"/>
  <c r="CA7" i="5"/>
  <c r="BZ7" i="5"/>
  <c r="CB7" i="5"/>
  <c r="CA9" i="5"/>
  <c r="BZ9" i="5"/>
  <c r="CB9" i="5"/>
  <c r="CA10" i="5"/>
  <c r="BZ10" i="5"/>
  <c r="CB10" i="5"/>
  <c r="CA12" i="5"/>
  <c r="BZ12" i="5"/>
  <c r="CB12" i="5"/>
  <c r="CA13" i="5"/>
  <c r="BZ13" i="5"/>
  <c r="CB13" i="5"/>
  <c r="CA3" i="5"/>
  <c r="BZ3" i="5"/>
  <c r="CB3" i="5"/>
  <c r="CK4" i="5"/>
  <c r="CJ4" i="5"/>
  <c r="CL4" i="5"/>
  <c r="CK6" i="5"/>
  <c r="CJ6" i="5"/>
  <c r="CL6" i="5"/>
  <c r="CK7" i="5"/>
  <c r="CJ7" i="5"/>
  <c r="CL7" i="5"/>
  <c r="CK9" i="5"/>
  <c r="CJ9" i="5"/>
  <c r="CL9" i="5"/>
  <c r="CK10" i="5"/>
  <c r="CJ10" i="5"/>
  <c r="CL10" i="5"/>
  <c r="CK12" i="5"/>
  <c r="CJ12" i="5"/>
  <c r="CL12" i="5"/>
  <c r="CK13" i="5"/>
  <c r="CJ13" i="5"/>
  <c r="CL13" i="5"/>
  <c r="CK3" i="5"/>
  <c r="CJ3" i="5"/>
  <c r="CL3" i="5"/>
  <c r="CU6" i="5"/>
  <c r="CT6" i="5"/>
  <c r="CV6" i="5"/>
  <c r="CU7" i="5"/>
  <c r="CT7" i="5"/>
  <c r="CV7" i="5"/>
  <c r="CU9" i="5"/>
  <c r="CT9" i="5"/>
  <c r="CV9" i="5"/>
  <c r="CU10" i="5"/>
  <c r="CT10" i="5"/>
  <c r="CV10" i="5"/>
  <c r="CU12" i="5"/>
  <c r="CT12" i="5"/>
  <c r="CV12" i="5"/>
  <c r="CU3" i="5"/>
  <c r="CT3" i="5"/>
  <c r="CV3" i="5"/>
  <c r="CU13" i="5"/>
  <c r="CT13" i="5"/>
  <c r="CV13" i="5"/>
  <c r="CV34" i="5"/>
  <c r="CB39" i="5"/>
  <c r="T36" i="5"/>
  <c r="CB37" i="5"/>
  <c r="AX21" i="5"/>
  <c r="BR25" i="5"/>
  <c r="CV25" i="5"/>
  <c r="AD4" i="5"/>
  <c r="J33" i="5"/>
  <c r="CV33" i="5"/>
  <c r="AX39" i="5"/>
  <c r="AD13" i="5"/>
  <c r="CV31" i="5"/>
  <c r="CL40" i="5"/>
  <c r="T19" i="5"/>
  <c r="J25" i="5"/>
  <c r="AX10" i="5"/>
  <c r="J40" i="5"/>
  <c r="AD18" i="5"/>
  <c r="CL22" i="5"/>
  <c r="BH7" i="5"/>
  <c r="CV39" i="5"/>
  <c r="T7" i="5"/>
  <c r="T40" i="5"/>
  <c r="J21" i="5"/>
  <c r="AD9" i="5"/>
  <c r="BH19" i="5"/>
  <c r="CB24" i="5"/>
  <c r="AN12" i="5"/>
  <c r="AN36" i="5"/>
  <c r="BR40" i="5"/>
  <c r="AD36" i="5"/>
  <c r="CV37" i="5"/>
  <c r="CB40" i="5"/>
  <c r="CV21" i="5"/>
  <c r="AD22" i="5"/>
  <c r="AN9" i="5"/>
  <c r="AN19" i="5"/>
  <c r="T6" i="5"/>
</calcChain>
</file>

<file path=xl/sharedStrings.xml><?xml version="1.0" encoding="utf-8"?>
<sst xmlns="http://schemas.openxmlformats.org/spreadsheetml/2006/main" count="1311" uniqueCount="85">
  <si>
    <t>Disorder</t>
  </si>
  <si>
    <t>Order</t>
  </si>
  <si>
    <t>Methylation - K</t>
  </si>
  <si>
    <t>Methylation - R</t>
  </si>
  <si>
    <t>Acetylation - K</t>
  </si>
  <si>
    <t>Ubiquitination - K</t>
  </si>
  <si>
    <t>Methylation - K changed to R</t>
  </si>
  <si>
    <t>Methylation - R changed to K</t>
  </si>
  <si>
    <t>Acetylation - K changed to A,G,M,S,T</t>
  </si>
  <si>
    <t>NA</t>
  </si>
  <si>
    <t>PRIMATES</t>
  </si>
  <si>
    <t>SUPRAPRIMATES</t>
  </si>
  <si>
    <t>EUTHERIA</t>
  </si>
  <si>
    <t>MAMMALS</t>
  </si>
  <si>
    <t>TETRAPODA</t>
  </si>
  <si>
    <t>VERTEBRATES</t>
  </si>
  <si>
    <t>CHORDATES</t>
  </si>
  <si>
    <t>DEUTEROSTOMIA</t>
  </si>
  <si>
    <t>METAZOA</t>
  </si>
  <si>
    <t>EUKARYOTES</t>
  </si>
  <si>
    <t>Sites with multiple MAUs</t>
  </si>
  <si>
    <t xml:space="preserve"> </t>
  </si>
  <si>
    <t xml:space="preserve">                                         SUPRAPRIMATES</t>
  </si>
  <si>
    <t xml:space="preserve">CHORDATES   </t>
  </si>
  <si>
    <t xml:space="preserve"> DEUTEROSTOMIA</t>
  </si>
  <si>
    <t>NIL</t>
  </si>
  <si>
    <t>TETRAPODS</t>
  </si>
  <si>
    <t xml:space="preserve">Methylation- K </t>
  </si>
  <si>
    <t>Methylation -R</t>
  </si>
  <si>
    <t>Acetylation- K</t>
  </si>
  <si>
    <t>Eutheria</t>
  </si>
  <si>
    <t>ORDER</t>
  </si>
  <si>
    <t>DISORDER</t>
  </si>
  <si>
    <t>APES</t>
  </si>
  <si>
    <t>Number of all Ks/Rs</t>
  </si>
  <si>
    <t>Hypergeometric P-value</t>
  </si>
  <si>
    <t>Eukaryotes</t>
  </si>
  <si>
    <t>Apes</t>
  </si>
  <si>
    <t>Primates</t>
  </si>
  <si>
    <t>Supraprimates</t>
  </si>
  <si>
    <t>Mammals</t>
  </si>
  <si>
    <t>Tetrapods</t>
  </si>
  <si>
    <t>Vertebrates</t>
  </si>
  <si>
    <t>Chordates</t>
  </si>
  <si>
    <t>Deuterostomia</t>
  </si>
  <si>
    <t>Metazoa</t>
  </si>
  <si>
    <t>Deuterostomes</t>
  </si>
  <si>
    <t>Metazoans</t>
  </si>
  <si>
    <t>Number of modified Ks/Rs</t>
  </si>
  <si>
    <t>Hypergeometric test for Enrichment</t>
  </si>
  <si>
    <t>Number of all new conserved Ks/Rs</t>
  </si>
  <si>
    <t>Number of new conserved modified Ks/Rs</t>
  </si>
  <si>
    <t>Number of MAU-modified sites</t>
  </si>
  <si>
    <t>Number of conserved MAU-modified sites</t>
  </si>
  <si>
    <t>Fraction: Number of MAU-conserved modified sites / Number of all conserved K/R residues</t>
  </si>
  <si>
    <t xml:space="preserve">Number of all conserved K/R residues </t>
  </si>
  <si>
    <t>Number of all K/R residues</t>
  </si>
  <si>
    <t>Number of all new conserved K/R residues</t>
  </si>
  <si>
    <t>Number of new conserved MAU-modified sites</t>
  </si>
  <si>
    <t>Fraction: Number of new conserved MAU-modified sites / Number of all new conserved K/R residues</t>
  </si>
  <si>
    <t>Hypergeometric P-value (New Conserved sites)</t>
  </si>
  <si>
    <t>Number of conserved K/R residues in FB regions</t>
  </si>
  <si>
    <t>Number of conserved K/R residues in O/DO and FB regions</t>
  </si>
  <si>
    <t>Number of conserved MAU-modified K/R  sites in O/DO and FB regions</t>
  </si>
  <si>
    <t>Number of conserved MAU-modified K/R sites in FB regions</t>
  </si>
  <si>
    <t>Number of K residues in O/DO regions of FB proteins</t>
  </si>
  <si>
    <t>Number of MAU-modified sites with multiple MAUs in FB regions</t>
  </si>
  <si>
    <t>Methylation  - R changed to K</t>
  </si>
  <si>
    <t>Eutherian</t>
  </si>
  <si>
    <t>Metazoan</t>
  </si>
  <si>
    <t>No. of proteins with conserved MAU sites in each clade</t>
  </si>
  <si>
    <t>Table A: Conservation of MAU sites in ordered and disordered regions across all eukaryotic clade</t>
  </si>
  <si>
    <t xml:space="preserve"> Table B: Conservation of MAU sites as other MAU residue type in ordered and disordered regions across all eukaryotic clades.</t>
  </si>
  <si>
    <t xml:space="preserve"> Table C. Conservation of MAU sites filtered with ZORRO program in ordered and disordered regions across all eukaryotic clades.</t>
  </si>
  <si>
    <t xml:space="preserve"> Table D. Conservation of MAU sites in non-histone proteins in ordered and disordered regions across all eukaryotic clades.</t>
  </si>
  <si>
    <t>Table E. Conservation of new MAU sites in 'old' proteins in ordered and disordered regions across all eukaryotic clades.</t>
  </si>
  <si>
    <t>Table F: Conservation of MAU sites in ordered and disordered regions of histone proteins across all eukaryotic clades.</t>
  </si>
  <si>
    <t>Table G: Conservation of MAU sites in as other MAU residue type in ordered and disordered regions of histone proteins across all eukaryotic clades.</t>
  </si>
  <si>
    <t>Table H: Conservation of sites with multiple MAUs in ordered and disordered regions across all eukaryotic clades.</t>
  </si>
  <si>
    <t>Table I: Conservation of MAU sites in FB (treated as a sample of ordered and disordered) regions  across all eukaryotic clades.</t>
  </si>
  <si>
    <t>Table L: Conservation of MAU sites in disordered regions across all eukaryotic clade, sequences are aligned using KMAD alignment tool</t>
  </si>
  <si>
    <t>Table K: Conservation of MAU sites in and disordered regions(disordered regions predicted by IUPRED) regions across all eukaryotic clade</t>
  </si>
  <si>
    <t>Table J: Conservation of sites with multiple MAU sites in FB (treated as a sample of ordered or disordered) regions across all eukaryotes</t>
  </si>
  <si>
    <t>Number of MAU-modified sites in O/DO regions of FB proteins</t>
  </si>
  <si>
    <t>Number of K residues in FB proteins with multiple MAU sites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</si>
</sst>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0"/>
    <numFmt numFmtId="166" formatCode="0.0"/>
    <numFmt numFmtId="167" formatCode="#,##0.000"/>
  </numFmts>
  <fonts count="11" x14ac:knownFonts="1">
    <font>
      <sz val="12"/>
      <color theme="1"/>
      <name val="Calibri"/>
      <family val="2"/>
      <scheme val="minor"/>
    </font>
    <font>
      <u/>
      <sz val="12"/>
      <color theme="10"/>
      <name val="Calibri"/>
      <family val="2"/>
      <scheme val="minor"/>
    </font>
    <font>
      <u/>
      <sz val="12"/>
      <color theme="11"/>
      <name val="Calibri"/>
      <family val="2"/>
      <scheme val="minor"/>
    </font>
    <font>
      <sz val="12"/>
      <color rgb="FFFF0000"/>
      <name val="Calibri"/>
      <family val="2"/>
      <scheme val="minor"/>
    </font>
    <font>
      <sz val="8"/>
      <name val="Calibri"/>
      <family val="2"/>
      <scheme val="minor"/>
    </font>
    <font>
      <sz val="12"/>
      <color rgb="FF000000"/>
      <name val="Calibri"/>
      <family val="2"/>
      <scheme val="minor"/>
    </font>
    <font>
      <sz val="12"/>
      <color indexed="8"/>
      <name val="Calibri"/>
      <family val="2"/>
    </font>
    <font>
      <sz val="12"/>
      <color theme="0"/>
      <name val="Calibri"/>
      <family val="2"/>
      <scheme val="minor"/>
    </font>
    <font>
      <sz val="12"/>
      <name val="Calibri"/>
      <family val="2"/>
      <scheme val="minor"/>
    </font>
    <font>
      <sz val="12"/>
      <color rgb="FF333333"/>
      <name val="Calibri"/>
      <family val="2"/>
      <scheme val="minor"/>
    </font>
    <font>
      <sz val="15"/>
      <color rgb="FF212121"/>
      <name val="Tahoma"/>
      <family val="2"/>
    </font>
  </fonts>
  <fills count="23">
    <fill>
      <patternFill patternType="none"/>
    </fill>
    <fill>
      <patternFill patternType="gray125"/>
    </fill>
    <fill>
      <patternFill patternType="solid">
        <fgColor rgb="FFE5E0EC"/>
        <bgColor indexed="64"/>
      </patternFill>
    </fill>
    <fill>
      <patternFill patternType="solid">
        <fgColor theme="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theme="3" tint="0.59999389629810485"/>
        <bgColor rgb="FF000000"/>
      </patternFill>
    </fill>
    <fill>
      <patternFill patternType="solid">
        <fgColor theme="6" tint="0.59999389629810485"/>
        <bgColor rgb="FF000000"/>
      </patternFill>
    </fill>
    <fill>
      <patternFill patternType="solid">
        <fgColor theme="9" tint="0.59999389629810485"/>
        <bgColor rgb="FF000000"/>
      </patternFill>
    </fill>
    <fill>
      <patternFill patternType="solid">
        <fgColor theme="9" tint="0.79998168889431442"/>
        <bgColor rgb="FF000000"/>
      </patternFill>
    </fill>
    <fill>
      <patternFill patternType="solid">
        <fgColor rgb="FFFFFFFF"/>
        <bgColor rgb="FF000000"/>
      </patternFill>
    </fill>
    <fill>
      <patternFill patternType="solid">
        <fgColor theme="5"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39997558519241921"/>
        <bgColor indexed="64"/>
      </patternFill>
    </fill>
  </fills>
  <borders count="45">
    <border>
      <left/>
      <right/>
      <top/>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1"/>
      </left>
      <right/>
      <top style="thin">
        <color theme="1"/>
      </top>
      <bottom style="thin">
        <color theme="1"/>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top/>
      <bottom/>
      <diagonal/>
    </border>
    <border>
      <left style="thin">
        <color theme="1"/>
      </left>
      <right/>
      <top/>
      <bottom style="thin">
        <color theme="1"/>
      </bottom>
      <diagonal/>
    </border>
    <border>
      <left/>
      <right/>
      <top style="thin">
        <color theme="1"/>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right style="thin">
        <color theme="1" tint="0.499984740745262"/>
      </right>
      <top style="thin">
        <color theme="0"/>
      </top>
      <bottom style="thin">
        <color theme="0"/>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1"/>
      </left>
      <right style="thin">
        <color theme="1"/>
      </right>
      <top/>
      <bottom/>
      <diagonal/>
    </border>
    <border>
      <left style="thin">
        <color theme="0"/>
      </left>
      <right/>
      <top style="thin">
        <color theme="0"/>
      </top>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theme="0"/>
      </left>
      <right style="thin">
        <color theme="0"/>
      </right>
      <top/>
      <bottom/>
      <diagonal/>
    </border>
    <border>
      <left style="thin">
        <color theme="1"/>
      </left>
      <right style="thin">
        <color theme="0"/>
      </right>
      <top style="thin">
        <color theme="0"/>
      </top>
      <bottom style="thin">
        <color theme="1"/>
      </bottom>
      <diagonal/>
    </border>
    <border>
      <left style="thin">
        <color theme="0"/>
      </left>
      <right/>
      <top/>
      <bottom/>
      <diagonal/>
    </border>
    <border>
      <left/>
      <right/>
      <top style="thin">
        <color auto="1"/>
      </top>
      <bottom style="thin">
        <color auto="1"/>
      </bottom>
      <diagonal/>
    </border>
    <border>
      <left/>
      <right style="thin">
        <color theme="0"/>
      </right>
      <top style="thin">
        <color auto="1"/>
      </top>
      <bottom style="thin">
        <color theme="0"/>
      </bottom>
      <diagonal/>
    </border>
    <border>
      <left/>
      <right style="thin">
        <color theme="1"/>
      </right>
      <top style="thin">
        <color theme="1"/>
      </top>
      <bottom/>
      <diagonal/>
    </border>
    <border>
      <left style="thin">
        <color theme="0"/>
      </left>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top/>
      <bottom style="thin">
        <color theme="0"/>
      </bottom>
      <diagonal/>
    </border>
    <border>
      <left/>
      <right style="thin">
        <color theme="1"/>
      </right>
      <top style="thin">
        <color theme="0"/>
      </top>
      <bottom style="thin">
        <color theme="1"/>
      </bottom>
      <diagonal/>
    </border>
  </borders>
  <cellStyleXfs count="439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 fillId="0" borderId="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17">
    <xf numFmtId="0" fontId="0" fillId="0" borderId="0" xfId="0"/>
    <xf numFmtId="0" fontId="0" fillId="0" borderId="0" xfId="0" applyAlignment="1">
      <alignment vertical="top" wrapText="1"/>
    </xf>
    <xf numFmtId="0" fontId="0" fillId="0" borderId="0" xfId="0" applyFont="1" applyFill="1"/>
    <xf numFmtId="0" fontId="0" fillId="0" borderId="0" xfId="0" applyFont="1"/>
    <xf numFmtId="2" fontId="0" fillId="0" borderId="0" xfId="0" applyNumberFormat="1" applyFont="1" applyFill="1" applyAlignment="1">
      <alignment vertical="top"/>
    </xf>
    <xf numFmtId="0" fontId="0" fillId="0" borderId="0" xfId="0" applyFont="1" applyFill="1" applyAlignment="1">
      <alignment vertical="top"/>
    </xf>
    <xf numFmtId="0" fontId="7" fillId="0" borderId="0" xfId="0" applyFont="1" applyFill="1" applyAlignment="1">
      <alignment vertical="top"/>
    </xf>
    <xf numFmtId="0" fontId="7" fillId="3" borderId="2" xfId="0" applyFont="1" applyFill="1" applyBorder="1" applyAlignment="1">
      <alignment horizontal="left" vertical="top" wrapText="1"/>
    </xf>
    <xf numFmtId="0" fontId="0" fillId="9" borderId="10" xfId="0" applyFont="1" applyFill="1" applyBorder="1" applyAlignment="1">
      <alignment horizontal="left" vertical="top"/>
    </xf>
    <xf numFmtId="0" fontId="0" fillId="7" borderId="10" xfId="0" applyFont="1" applyFill="1" applyBorder="1" applyAlignment="1">
      <alignment horizontal="left" vertical="top"/>
    </xf>
    <xf numFmtId="0" fontId="0" fillId="8" borderId="10" xfId="0" applyFont="1" applyFill="1" applyBorder="1" applyAlignment="1">
      <alignment horizontal="left" vertical="top"/>
    </xf>
    <xf numFmtId="0" fontId="0" fillId="5" borderId="10" xfId="0" applyFont="1" applyFill="1" applyBorder="1" applyAlignment="1">
      <alignment horizontal="left" vertical="top"/>
    </xf>
    <xf numFmtId="2" fontId="0" fillId="6" borderId="16" xfId="0" applyNumberFormat="1" applyFont="1" applyFill="1" applyBorder="1" applyAlignment="1">
      <alignment horizontal="left" vertical="top"/>
    </xf>
    <xf numFmtId="0" fontId="0" fillId="10" borderId="10" xfId="0" applyFont="1" applyFill="1" applyBorder="1" applyAlignment="1">
      <alignment horizontal="left" vertical="top"/>
    </xf>
    <xf numFmtId="1" fontId="0" fillId="4" borderId="10" xfId="0" applyNumberFormat="1" applyFont="1" applyFill="1" applyBorder="1" applyAlignment="1">
      <alignment horizontal="left" vertical="top"/>
    </xf>
    <xf numFmtId="0" fontId="5" fillId="7" borderId="10" xfId="0" applyFont="1" applyFill="1" applyBorder="1" applyAlignment="1">
      <alignment horizontal="left" vertical="top"/>
    </xf>
    <xf numFmtId="0" fontId="5" fillId="10" borderId="10" xfId="0" applyFont="1" applyFill="1" applyBorder="1" applyAlignment="1">
      <alignment horizontal="left" vertical="top"/>
    </xf>
    <xf numFmtId="0" fontId="5" fillId="4" borderId="10" xfId="0" applyFont="1" applyFill="1" applyBorder="1" applyAlignment="1">
      <alignment horizontal="left" vertical="top"/>
    </xf>
    <xf numFmtId="2" fontId="0" fillId="2" borderId="10" xfId="0" applyNumberFormat="1" applyFont="1" applyFill="1" applyBorder="1" applyAlignment="1">
      <alignment horizontal="left" vertical="top"/>
    </xf>
    <xf numFmtId="0" fontId="0" fillId="0" borderId="10" xfId="0" applyNumberFormat="1" applyFont="1" applyFill="1" applyBorder="1" applyAlignment="1">
      <alignment horizontal="left" vertical="top"/>
    </xf>
    <xf numFmtId="0" fontId="0" fillId="4" borderId="10" xfId="0" applyFont="1" applyFill="1" applyBorder="1" applyAlignment="1">
      <alignment horizontal="left" vertical="top"/>
    </xf>
    <xf numFmtId="2" fontId="0" fillId="6" borderId="10" xfId="0" applyNumberFormat="1" applyFont="1" applyFill="1" applyBorder="1" applyAlignment="1">
      <alignment horizontal="left" vertical="top"/>
    </xf>
    <xf numFmtId="165" fontId="0" fillId="0" borderId="10" xfId="0" applyNumberFormat="1" applyFont="1" applyFill="1" applyBorder="1" applyAlignment="1">
      <alignment horizontal="left" vertical="top"/>
    </xf>
    <xf numFmtId="11" fontId="0" fillId="0" borderId="10" xfId="0" applyNumberFormat="1" applyFont="1" applyFill="1" applyBorder="1" applyAlignment="1">
      <alignment horizontal="left" vertical="top"/>
    </xf>
    <xf numFmtId="0" fontId="9" fillId="0" borderId="10" xfId="0" applyNumberFormat="1" applyFont="1" applyFill="1" applyBorder="1" applyAlignment="1">
      <alignment horizontal="left" vertical="top"/>
    </xf>
    <xf numFmtId="11" fontId="9" fillId="0" borderId="10" xfId="0" applyNumberFormat="1" applyFont="1" applyFill="1" applyBorder="1" applyAlignment="1">
      <alignment horizontal="left" vertical="top"/>
    </xf>
    <xf numFmtId="0" fontId="8" fillId="9" borderId="9" xfId="0" applyFont="1" applyFill="1" applyBorder="1" applyAlignment="1">
      <alignment horizontal="left" vertical="top"/>
    </xf>
    <xf numFmtId="0" fontId="0" fillId="7" borderId="9" xfId="0" applyFont="1" applyFill="1" applyBorder="1" applyAlignment="1">
      <alignment horizontal="left" vertical="top"/>
    </xf>
    <xf numFmtId="0" fontId="0" fillId="8" borderId="9" xfId="0" applyFont="1" applyFill="1" applyBorder="1" applyAlignment="1">
      <alignment horizontal="left" vertical="top"/>
    </xf>
    <xf numFmtId="0" fontId="0" fillId="5" borderId="9" xfId="0" applyFont="1" applyFill="1" applyBorder="1" applyAlignment="1">
      <alignment horizontal="left" vertical="top"/>
    </xf>
    <xf numFmtId="0" fontId="0" fillId="10" borderId="9" xfId="0" applyFont="1" applyFill="1" applyBorder="1" applyAlignment="1">
      <alignment horizontal="left" vertical="top"/>
    </xf>
    <xf numFmtId="1" fontId="0" fillId="4" borderId="9" xfId="0" applyNumberFormat="1" applyFont="1" applyFill="1" applyBorder="1" applyAlignment="1">
      <alignment horizontal="left" vertical="top"/>
    </xf>
    <xf numFmtId="2" fontId="0" fillId="6" borderId="7" xfId="0" applyNumberFormat="1" applyFont="1" applyFill="1" applyBorder="1" applyAlignment="1">
      <alignment horizontal="left" vertical="top"/>
    </xf>
    <xf numFmtId="0" fontId="5" fillId="7" borderId="9" xfId="0" applyFont="1" applyFill="1" applyBorder="1" applyAlignment="1">
      <alignment horizontal="left" vertical="top"/>
    </xf>
    <xf numFmtId="0" fontId="5" fillId="10" borderId="9" xfId="0" applyFont="1" applyFill="1" applyBorder="1" applyAlignment="1">
      <alignment horizontal="left" vertical="top"/>
    </xf>
    <xf numFmtId="0" fontId="5" fillId="4" borderId="9" xfId="0" applyFont="1" applyFill="1" applyBorder="1" applyAlignment="1">
      <alignment horizontal="left" vertical="top"/>
    </xf>
    <xf numFmtId="2" fontId="0" fillId="2" borderId="9" xfId="0" applyNumberFormat="1" applyFont="1" applyFill="1" applyBorder="1" applyAlignment="1">
      <alignment horizontal="left" vertical="top"/>
    </xf>
    <xf numFmtId="0" fontId="0" fillId="0" borderId="9" xfId="0" applyNumberFormat="1" applyFont="1" applyFill="1" applyBorder="1" applyAlignment="1">
      <alignment horizontal="left" vertical="top"/>
    </xf>
    <xf numFmtId="0" fontId="0" fillId="4" borderId="9" xfId="0" applyFont="1" applyFill="1" applyBorder="1" applyAlignment="1">
      <alignment horizontal="left" vertical="top"/>
    </xf>
    <xf numFmtId="2" fontId="0" fillId="6" borderId="9" xfId="0" applyNumberFormat="1" applyFont="1" applyFill="1" applyBorder="1" applyAlignment="1">
      <alignment horizontal="left" vertical="top"/>
    </xf>
    <xf numFmtId="11" fontId="0" fillId="0" borderId="9" xfId="0" applyNumberFormat="1" applyFont="1" applyFill="1" applyBorder="1" applyAlignment="1">
      <alignment horizontal="left" vertical="top"/>
    </xf>
    <xf numFmtId="0" fontId="9" fillId="0" borderId="9" xfId="0" applyNumberFormat="1" applyFont="1" applyFill="1" applyBorder="1" applyAlignment="1">
      <alignment horizontal="left" vertical="top"/>
    </xf>
    <xf numFmtId="11" fontId="9" fillId="0" borderId="9" xfId="0" applyNumberFormat="1" applyFont="1" applyFill="1" applyBorder="1" applyAlignment="1">
      <alignment horizontal="left" vertical="top"/>
    </xf>
    <xf numFmtId="2" fontId="0" fillId="0" borderId="0" xfId="0" applyNumberFormat="1" applyFont="1" applyFill="1" applyAlignment="1">
      <alignment horizontal="left" vertical="top"/>
    </xf>
    <xf numFmtId="2" fontId="0" fillId="0" borderId="9" xfId="0" applyNumberFormat="1" applyFont="1" applyFill="1" applyBorder="1" applyAlignment="1">
      <alignment horizontal="left" vertical="top"/>
    </xf>
    <xf numFmtId="0" fontId="0" fillId="0" borderId="9" xfId="0" applyFont="1" applyFill="1" applyBorder="1" applyAlignment="1">
      <alignment horizontal="left" vertical="top"/>
    </xf>
    <xf numFmtId="2" fontId="0" fillId="0" borderId="16" xfId="0" applyNumberFormat="1" applyFont="1" applyFill="1" applyBorder="1" applyAlignment="1">
      <alignment horizontal="left" vertical="top"/>
    </xf>
    <xf numFmtId="1" fontId="0" fillId="0" borderId="9" xfId="0" applyNumberFormat="1" applyFont="1" applyFill="1" applyBorder="1" applyAlignment="1">
      <alignment horizontal="left" vertical="top"/>
    </xf>
    <xf numFmtId="2" fontId="0" fillId="0" borderId="7" xfId="0" applyNumberFormat="1" applyFont="1" applyFill="1" applyBorder="1" applyAlignment="1">
      <alignment horizontal="left" vertical="top"/>
    </xf>
    <xf numFmtId="0" fontId="0" fillId="0" borderId="0" xfId="0" applyFont="1" applyFill="1" applyAlignment="1">
      <alignment horizontal="left" vertical="top"/>
    </xf>
    <xf numFmtId="0" fontId="0" fillId="9" borderId="9" xfId="0" applyFont="1" applyFill="1" applyBorder="1" applyAlignment="1">
      <alignment horizontal="left" vertical="top"/>
    </xf>
    <xf numFmtId="0" fontId="7" fillId="0" borderId="0" xfId="0" applyFont="1" applyFill="1" applyAlignment="1">
      <alignment horizontal="left" vertical="top"/>
    </xf>
    <xf numFmtId="0" fontId="0" fillId="0" borderId="8" xfId="0" applyNumberFormat="1" applyFont="1" applyFill="1" applyBorder="1" applyAlignment="1">
      <alignment horizontal="left" vertical="top"/>
    </xf>
    <xf numFmtId="0" fontId="5" fillId="0" borderId="9" xfId="0" applyFont="1" applyFill="1" applyBorder="1" applyAlignment="1">
      <alignment horizontal="left" vertical="top"/>
    </xf>
    <xf numFmtId="0" fontId="0" fillId="0" borderId="15" xfId="0" applyNumberFormat="1" applyFont="1" applyFill="1" applyBorder="1" applyAlignment="1">
      <alignment horizontal="left" vertical="top"/>
    </xf>
    <xf numFmtId="0" fontId="0" fillId="0" borderId="0" xfId="0" applyFont="1" applyFill="1" applyBorder="1" applyAlignment="1">
      <alignment horizontal="left" vertical="top"/>
    </xf>
    <xf numFmtId="165" fontId="0" fillId="0" borderId="17" xfId="0" applyNumberFormat="1" applyFont="1" applyFill="1" applyBorder="1" applyAlignment="1">
      <alignment horizontal="left" vertical="top"/>
    </xf>
    <xf numFmtId="0" fontId="0" fillId="0" borderId="0" xfId="0" applyNumberFormat="1" applyFont="1" applyFill="1" applyBorder="1" applyAlignment="1">
      <alignment horizontal="left" vertical="top"/>
    </xf>
    <xf numFmtId="2" fontId="0" fillId="0" borderId="0" xfId="0" applyNumberFormat="1" applyFont="1" applyFill="1" applyBorder="1" applyAlignment="1">
      <alignment horizontal="left" vertical="top"/>
    </xf>
    <xf numFmtId="0" fontId="5" fillId="0" borderId="0" xfId="0" applyFont="1" applyFill="1" applyBorder="1" applyAlignment="1">
      <alignment horizontal="left" vertical="top"/>
    </xf>
    <xf numFmtId="2" fontId="0" fillId="0" borderId="0" xfId="0" applyNumberFormat="1" applyFont="1" applyAlignment="1">
      <alignment horizontal="left" vertical="top"/>
    </xf>
    <xf numFmtId="0" fontId="0" fillId="10" borderId="10" xfId="0" applyNumberFormat="1" applyFont="1" applyFill="1" applyBorder="1" applyAlignment="1">
      <alignment horizontal="left" vertical="top"/>
    </xf>
    <xf numFmtId="0" fontId="0" fillId="10" borderId="9" xfId="0" applyNumberFormat="1" applyFont="1" applyFill="1" applyBorder="1" applyAlignment="1">
      <alignment horizontal="left" vertical="top"/>
    </xf>
    <xf numFmtId="0" fontId="0" fillId="7" borderId="9" xfId="0" applyNumberFormat="1" applyFont="1" applyFill="1" applyBorder="1" applyAlignment="1">
      <alignment horizontal="left" vertical="top"/>
    </xf>
    <xf numFmtId="1" fontId="0" fillId="0" borderId="0" xfId="0" applyNumberFormat="1" applyFont="1" applyFill="1" applyBorder="1" applyAlignment="1">
      <alignment horizontal="left" vertical="top"/>
    </xf>
    <xf numFmtId="0" fontId="7" fillId="3" borderId="3" xfId="0" applyFont="1" applyFill="1" applyBorder="1" applyAlignment="1">
      <alignment horizontal="left" vertical="top" wrapText="1"/>
    </xf>
    <xf numFmtId="1" fontId="0" fillId="7" borderId="9" xfId="0" applyNumberFormat="1" applyFont="1" applyFill="1" applyBorder="1" applyAlignment="1">
      <alignment horizontal="left" vertical="top"/>
    </xf>
    <xf numFmtId="1" fontId="0" fillId="8" borderId="9" xfId="0" applyNumberFormat="1" applyFont="1" applyFill="1" applyBorder="1" applyAlignment="1">
      <alignment horizontal="left" vertical="top"/>
    </xf>
    <xf numFmtId="1" fontId="0" fillId="5" borderId="9" xfId="0" applyNumberFormat="1" applyFont="1" applyFill="1" applyBorder="1" applyAlignment="1">
      <alignment horizontal="left" vertical="top"/>
    </xf>
    <xf numFmtId="1" fontId="0" fillId="10" borderId="9" xfId="0" applyNumberFormat="1" applyFont="1" applyFill="1" applyBorder="1" applyAlignment="1">
      <alignment horizontal="left" vertical="top"/>
    </xf>
    <xf numFmtId="1" fontId="5" fillId="10" borderId="9" xfId="0" applyNumberFormat="1" applyFont="1" applyFill="1" applyBorder="1" applyAlignment="1">
      <alignment horizontal="left" vertical="top"/>
    </xf>
    <xf numFmtId="1" fontId="5" fillId="4" borderId="9" xfId="0" applyNumberFormat="1" applyFont="1" applyFill="1" applyBorder="1" applyAlignment="1">
      <alignment horizontal="left" vertical="top"/>
    </xf>
    <xf numFmtId="0" fontId="9" fillId="0" borderId="9" xfId="0" applyNumberFormat="1" applyFont="1" applyBorder="1" applyAlignment="1">
      <alignment horizontal="left" vertical="top"/>
    </xf>
    <xf numFmtId="11" fontId="9" fillId="0" borderId="9" xfId="0" applyNumberFormat="1" applyFont="1" applyBorder="1" applyAlignment="1">
      <alignment horizontal="left" vertical="top"/>
    </xf>
    <xf numFmtId="1" fontId="8" fillId="5" borderId="9" xfId="0" applyNumberFormat="1" applyFont="1" applyFill="1" applyBorder="1" applyAlignment="1">
      <alignment horizontal="left" vertical="top"/>
    </xf>
    <xf numFmtId="1" fontId="8" fillId="7" borderId="9" xfId="0" applyNumberFormat="1" applyFont="1" applyFill="1" applyBorder="1" applyAlignment="1">
      <alignment horizontal="left" vertical="top"/>
    </xf>
    <xf numFmtId="1" fontId="5" fillId="0" borderId="9" xfId="0" applyNumberFormat="1" applyFont="1" applyFill="1" applyBorder="1" applyAlignment="1">
      <alignment horizontal="left" vertical="top"/>
    </xf>
    <xf numFmtId="1" fontId="8" fillId="0" borderId="9" xfId="0" applyNumberFormat="1" applyFont="1" applyFill="1" applyBorder="1" applyAlignment="1">
      <alignment horizontal="left" vertical="top"/>
    </xf>
    <xf numFmtId="1" fontId="3" fillId="0" borderId="9" xfId="0" applyNumberFormat="1" applyFont="1" applyFill="1" applyBorder="1" applyAlignment="1">
      <alignment horizontal="left" vertical="top"/>
    </xf>
    <xf numFmtId="164" fontId="0" fillId="0" borderId="9" xfId="0" applyNumberFormat="1" applyFont="1" applyFill="1" applyBorder="1" applyAlignment="1">
      <alignment horizontal="left" vertical="top"/>
    </xf>
    <xf numFmtId="0" fontId="0" fillId="4" borderId="16" xfId="0" applyFont="1" applyFill="1" applyBorder="1" applyAlignment="1">
      <alignment horizontal="left" vertical="top"/>
    </xf>
    <xf numFmtId="11" fontId="0" fillId="11" borderId="16" xfId="0" applyNumberFormat="1" applyFont="1" applyFill="1" applyBorder="1" applyAlignment="1">
      <alignment horizontal="left" vertical="top"/>
    </xf>
    <xf numFmtId="0" fontId="5" fillId="13" borderId="26" xfId="0" applyFont="1" applyFill="1" applyBorder="1" applyAlignment="1">
      <alignment horizontal="left" vertical="top"/>
    </xf>
    <xf numFmtId="0" fontId="5" fillId="14" borderId="27" xfId="0" applyFont="1" applyFill="1" applyBorder="1" applyAlignment="1">
      <alignment horizontal="left" vertical="top"/>
    </xf>
    <xf numFmtId="0" fontId="5" fillId="16" borderId="28" xfId="0" applyFont="1" applyFill="1" applyBorder="1" applyAlignment="1">
      <alignment horizontal="left" vertical="top"/>
    </xf>
    <xf numFmtId="0" fontId="8" fillId="13" borderId="26" xfId="0" applyFont="1" applyFill="1" applyBorder="1" applyAlignment="1">
      <alignment horizontal="left" vertical="top"/>
    </xf>
    <xf numFmtId="0" fontId="0" fillId="0" borderId="16" xfId="0" applyFont="1" applyFill="1" applyBorder="1" applyAlignment="1">
      <alignment horizontal="left" vertical="top"/>
    </xf>
    <xf numFmtId="2" fontId="5" fillId="0" borderId="27" xfId="0" applyNumberFormat="1" applyFont="1" applyFill="1" applyBorder="1" applyAlignment="1">
      <alignment horizontal="left" vertical="top"/>
    </xf>
    <xf numFmtId="0" fontId="5" fillId="0" borderId="27" xfId="0" applyFont="1" applyFill="1" applyBorder="1" applyAlignment="1">
      <alignment horizontal="left" vertical="top"/>
    </xf>
    <xf numFmtId="0" fontId="5" fillId="0" borderId="28" xfId="0" applyFont="1" applyFill="1" applyBorder="1" applyAlignment="1">
      <alignment horizontal="left"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horizontal="left"/>
    </xf>
    <xf numFmtId="11" fontId="0" fillId="0" borderId="0" xfId="0" applyNumberFormat="1" applyFont="1" applyAlignment="1">
      <alignment horizontal="left" vertical="top"/>
    </xf>
    <xf numFmtId="164" fontId="0" fillId="0" borderId="0" xfId="0" applyNumberFormat="1" applyFont="1" applyAlignment="1">
      <alignment horizontal="left" vertical="top"/>
    </xf>
    <xf numFmtId="0" fontId="0" fillId="0" borderId="0" xfId="0" applyFont="1" applyFill="1" applyAlignment="1">
      <alignment vertical="top" wrapText="1"/>
    </xf>
    <xf numFmtId="11" fontId="0" fillId="0" borderId="0" xfId="0" applyNumberFormat="1" applyFont="1"/>
    <xf numFmtId="1" fontId="0" fillId="0" borderId="0" xfId="0" applyNumberFormat="1" applyFont="1"/>
    <xf numFmtId="0" fontId="9" fillId="0" borderId="8" xfId="0" applyNumberFormat="1" applyFont="1" applyFill="1" applyBorder="1" applyAlignment="1">
      <alignment horizontal="left" vertical="top"/>
    </xf>
    <xf numFmtId="164" fontId="9" fillId="0" borderId="8" xfId="0" applyNumberFormat="1" applyFont="1" applyFill="1" applyBorder="1" applyAlignment="1">
      <alignment horizontal="left" vertical="top"/>
    </xf>
    <xf numFmtId="164" fontId="9" fillId="0" borderId="13" xfId="0" applyNumberFormat="1" applyFont="1" applyFill="1" applyBorder="1" applyAlignment="1">
      <alignment horizontal="left" vertical="top"/>
    </xf>
    <xf numFmtId="164" fontId="9" fillId="0" borderId="14" xfId="0" applyNumberFormat="1" applyFont="1" applyFill="1" applyBorder="1" applyAlignment="1">
      <alignment horizontal="left" vertical="top"/>
    </xf>
    <xf numFmtId="164" fontId="0" fillId="0" borderId="10" xfId="0" applyNumberFormat="1" applyFont="1" applyFill="1" applyBorder="1" applyAlignment="1">
      <alignment horizontal="left" vertical="top"/>
    </xf>
    <xf numFmtId="1" fontId="7" fillId="3" borderId="2" xfId="0" applyNumberFormat="1" applyFont="1" applyFill="1" applyBorder="1" applyAlignment="1">
      <alignment horizontal="left" vertical="top" wrapText="1"/>
    </xf>
    <xf numFmtId="2" fontId="7" fillId="3" borderId="2"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center" vertical="top" wrapText="1"/>
    </xf>
    <xf numFmtId="0" fontId="0" fillId="0" borderId="18" xfId="0" applyFont="1" applyBorder="1" applyAlignment="1">
      <alignment horizontal="center" vertical="top" wrapText="1"/>
    </xf>
    <xf numFmtId="0" fontId="0" fillId="9" borderId="11" xfId="0" applyFont="1" applyFill="1" applyBorder="1" applyAlignment="1">
      <alignment horizontal="left" vertical="top"/>
    </xf>
    <xf numFmtId="0" fontId="0" fillId="9" borderId="12" xfId="0" applyFont="1" applyFill="1" applyBorder="1" applyAlignment="1">
      <alignment horizontal="left" vertical="top"/>
    </xf>
    <xf numFmtId="0" fontId="0" fillId="0" borderId="8" xfId="0" applyFont="1" applyFill="1" applyBorder="1" applyAlignment="1">
      <alignment horizontal="left" vertical="top"/>
    </xf>
    <xf numFmtId="0" fontId="0" fillId="0" borderId="12" xfId="0" applyFont="1" applyFill="1" applyBorder="1" applyAlignment="1">
      <alignment horizontal="left" vertical="top"/>
    </xf>
    <xf numFmtId="1" fontId="0" fillId="0" borderId="0" xfId="0" applyNumberFormat="1" applyFont="1" applyAlignment="1">
      <alignment horizontal="left" vertical="top"/>
    </xf>
    <xf numFmtId="0" fontId="0" fillId="0" borderId="0" xfId="0" applyNumberFormat="1" applyFont="1" applyFill="1" applyAlignment="1">
      <alignment horizontal="left" vertical="top"/>
    </xf>
    <xf numFmtId="0" fontId="0" fillId="0" borderId="0" xfId="0" applyFont="1" applyAlignment="1">
      <alignment vertical="top"/>
    </xf>
    <xf numFmtId="0" fontId="0" fillId="0" borderId="0" xfId="0" applyNumberFormat="1" applyFont="1" applyAlignment="1">
      <alignment horizontal="left" vertical="top"/>
    </xf>
    <xf numFmtId="0" fontId="0" fillId="0" borderId="0" xfId="0" applyFont="1" applyAlignment="1">
      <alignment vertical="top" wrapText="1"/>
    </xf>
    <xf numFmtId="1" fontId="0" fillId="0" borderId="0" xfId="0" applyNumberFormat="1" applyFont="1" applyFill="1" applyAlignment="1">
      <alignment horizontal="left" vertical="top"/>
    </xf>
    <xf numFmtId="164" fontId="0" fillId="0" borderId="0" xfId="0" applyNumberFormat="1" applyFont="1" applyFill="1" applyAlignment="1">
      <alignment horizontal="left" vertical="top"/>
    </xf>
    <xf numFmtId="1" fontId="7" fillId="3" borderId="3" xfId="0" applyNumberFormat="1" applyFont="1" applyFill="1" applyBorder="1" applyAlignment="1">
      <alignment horizontal="left" vertical="top" wrapText="1"/>
    </xf>
    <xf numFmtId="2" fontId="7" fillId="3" borderId="3" xfId="0" applyNumberFormat="1" applyFont="1" applyFill="1" applyBorder="1" applyAlignment="1">
      <alignment horizontal="left" vertical="top" wrapText="1"/>
    </xf>
    <xf numFmtId="11" fontId="0" fillId="0" borderId="0" xfId="0" applyNumberFormat="1" applyFont="1" applyBorder="1" applyAlignment="1">
      <alignment horizontal="left" vertical="top"/>
    </xf>
    <xf numFmtId="0" fontId="0" fillId="0" borderId="0" xfId="0" applyFont="1" applyBorder="1" applyAlignment="1">
      <alignment horizontal="left" vertical="top"/>
    </xf>
    <xf numFmtId="2" fontId="0" fillId="0" borderId="0" xfId="0" applyNumberFormat="1" applyFont="1" applyBorder="1" applyAlignment="1">
      <alignment horizontal="left" vertical="top"/>
    </xf>
    <xf numFmtId="0" fontId="8" fillId="0" borderId="9" xfId="0" applyFont="1" applyFill="1" applyBorder="1" applyAlignment="1">
      <alignment horizontal="left" vertical="top"/>
    </xf>
    <xf numFmtId="0" fontId="8" fillId="0" borderId="0" xfId="0" applyFont="1" applyFill="1" applyAlignment="1">
      <alignment vertical="top" wrapText="1"/>
    </xf>
    <xf numFmtId="0" fontId="5" fillId="0" borderId="26" xfId="0" applyFont="1" applyFill="1" applyBorder="1" applyAlignment="1">
      <alignment horizontal="left" vertical="top"/>
    </xf>
    <xf numFmtId="0" fontId="7" fillId="0" borderId="30" xfId="0" applyFont="1" applyFill="1" applyBorder="1" applyAlignment="1">
      <alignment vertical="top"/>
    </xf>
    <xf numFmtId="0" fontId="8" fillId="0" borderId="0" xfId="0" applyFont="1" applyFill="1" applyAlignment="1">
      <alignment vertical="top"/>
    </xf>
    <xf numFmtId="0" fontId="0" fillId="0" borderId="0" xfId="0" applyFont="1" applyFill="1" applyBorder="1" applyAlignment="1">
      <alignment vertical="top"/>
    </xf>
    <xf numFmtId="164" fontId="0" fillId="0" borderId="0" xfId="0" applyNumberFormat="1" applyFont="1" applyFill="1" applyBorder="1" applyAlignment="1">
      <alignment horizontal="left" vertical="top"/>
    </xf>
    <xf numFmtId="2" fontId="0" fillId="0" borderId="0" xfId="0" applyNumberFormat="1" applyFont="1" applyFill="1" applyBorder="1" applyAlignment="1">
      <alignment vertical="top"/>
    </xf>
    <xf numFmtId="2" fontId="0" fillId="12" borderId="10" xfId="0" applyNumberFormat="1" applyFont="1" applyFill="1" applyBorder="1" applyAlignment="1">
      <alignment horizontal="left" vertical="top"/>
    </xf>
    <xf numFmtId="164" fontId="9" fillId="0" borderId="10" xfId="0" applyNumberFormat="1" applyFont="1" applyFill="1" applyBorder="1" applyAlignment="1">
      <alignment horizontal="left" vertical="top"/>
    </xf>
    <xf numFmtId="164" fontId="9" fillId="0" borderId="9" xfId="0" applyNumberFormat="1" applyFont="1" applyFill="1" applyBorder="1" applyAlignment="1">
      <alignment horizontal="left" vertical="top"/>
    </xf>
    <xf numFmtId="2" fontId="0" fillId="0" borderId="10" xfId="0" applyNumberFormat="1" applyFont="1" applyFill="1" applyBorder="1" applyAlignment="1">
      <alignment horizontal="left" vertical="top"/>
    </xf>
    <xf numFmtId="0" fontId="0" fillId="0" borderId="10" xfId="0" applyFont="1" applyFill="1" applyBorder="1" applyAlignment="1">
      <alignment horizontal="left" vertical="top"/>
    </xf>
    <xf numFmtId="1" fontId="0" fillId="0" borderId="10" xfId="0" applyNumberFormat="1" applyFont="1" applyFill="1" applyBorder="1" applyAlignment="1">
      <alignment horizontal="left" vertical="top"/>
    </xf>
    <xf numFmtId="0" fontId="5" fillId="0" borderId="10" xfId="0" applyFont="1" applyFill="1" applyBorder="1" applyAlignment="1">
      <alignment horizontal="left" vertical="top"/>
    </xf>
    <xf numFmtId="165" fontId="0" fillId="0" borderId="17" xfId="0" applyNumberFormat="1" applyFont="1" applyFill="1" applyBorder="1" applyAlignment="1">
      <alignment vertical="top"/>
    </xf>
    <xf numFmtId="2" fontId="0" fillId="0" borderId="17" xfId="0" applyNumberFormat="1" applyFont="1" applyFill="1" applyBorder="1" applyAlignment="1">
      <alignment vertical="top"/>
    </xf>
    <xf numFmtId="0" fontId="0" fillId="0" borderId="17" xfId="0" applyFont="1" applyFill="1" applyBorder="1" applyAlignment="1">
      <alignment vertical="top"/>
    </xf>
    <xf numFmtId="0" fontId="0" fillId="0" borderId="0" xfId="0" applyNumberFormat="1" applyFont="1" applyFill="1" applyBorder="1" applyAlignment="1">
      <alignment vertical="top"/>
    </xf>
    <xf numFmtId="2" fontId="0" fillId="0" borderId="0" xfId="0" applyNumberFormat="1" applyFont="1" applyFill="1" applyBorder="1" applyAlignment="1">
      <alignment horizontal="center" vertical="top"/>
    </xf>
    <xf numFmtId="0" fontId="5" fillId="0" borderId="0" xfId="0" applyFont="1" applyFill="1" applyBorder="1" applyAlignment="1">
      <alignment vertical="top"/>
    </xf>
    <xf numFmtId="0" fontId="0" fillId="0" borderId="0" xfId="0" applyNumberFormat="1" applyFont="1" applyFill="1" applyBorder="1" applyAlignment="1">
      <alignment horizontal="center" vertical="top"/>
    </xf>
    <xf numFmtId="2" fontId="0" fillId="0" borderId="0" xfId="0" applyNumberFormat="1" applyFont="1" applyAlignment="1">
      <alignment vertical="top"/>
    </xf>
    <xf numFmtId="0" fontId="0" fillId="7" borderId="10" xfId="0" applyNumberFormat="1" applyFont="1" applyFill="1" applyBorder="1" applyAlignment="1">
      <alignment horizontal="left" vertical="top"/>
    </xf>
    <xf numFmtId="0" fontId="7" fillId="0" borderId="0" xfId="0" applyFont="1" applyFill="1" applyBorder="1" applyAlignment="1">
      <alignment vertical="top"/>
    </xf>
    <xf numFmtId="1" fontId="0" fillId="0" borderId="0" xfId="0" applyNumberFormat="1" applyFont="1" applyFill="1" applyBorder="1" applyAlignment="1">
      <alignment vertical="top"/>
    </xf>
    <xf numFmtId="0" fontId="9" fillId="0" borderId="0" xfId="0" applyNumberFormat="1" applyFont="1" applyFill="1" applyBorder="1" applyAlignment="1">
      <alignment vertical="top"/>
    </xf>
    <xf numFmtId="11" fontId="0" fillId="0" borderId="0" xfId="0" applyNumberFormat="1" applyFont="1" applyFill="1" applyBorder="1" applyAlignment="1">
      <alignment vertical="top"/>
    </xf>
    <xf numFmtId="1" fontId="0" fillId="0" borderId="0" xfId="0" applyNumberFormat="1" applyFont="1" applyFill="1" applyBorder="1" applyAlignment="1">
      <alignment horizontal="center" vertical="top"/>
    </xf>
    <xf numFmtId="0" fontId="3" fillId="0" borderId="0" xfId="0" applyFont="1" applyFill="1" applyBorder="1" applyAlignment="1">
      <alignment vertical="top"/>
    </xf>
    <xf numFmtId="0" fontId="7" fillId="0" borderId="0" xfId="0" applyFont="1" applyFill="1" applyBorder="1" applyAlignment="1">
      <alignment vertical="top" wrapText="1"/>
    </xf>
    <xf numFmtId="2" fontId="7" fillId="0" borderId="0" xfId="0" applyNumberFormat="1" applyFont="1" applyFill="1" applyBorder="1" applyAlignment="1">
      <alignment vertical="top"/>
    </xf>
    <xf numFmtId="11" fontId="0" fillId="0" borderId="0" xfId="0" applyNumberFormat="1" applyFont="1" applyAlignment="1">
      <alignment vertical="top"/>
    </xf>
    <xf numFmtId="0" fontId="0" fillId="0" borderId="19" xfId="0" applyFont="1" applyBorder="1" applyAlignment="1">
      <alignment vertical="top"/>
    </xf>
    <xf numFmtId="0" fontId="0" fillId="0" borderId="0" xfId="0" applyNumberFormat="1" applyFont="1" applyFill="1" applyAlignment="1">
      <alignment vertical="top"/>
    </xf>
    <xf numFmtId="1" fontId="0" fillId="0" borderId="0" xfId="0" applyNumberFormat="1" applyFont="1" applyAlignment="1">
      <alignment vertical="top"/>
    </xf>
    <xf numFmtId="0" fontId="0" fillId="0" borderId="0" xfId="0" applyNumberFormat="1" applyFont="1" applyAlignment="1">
      <alignment vertical="top"/>
    </xf>
    <xf numFmtId="164" fontId="0" fillId="0" borderId="0" xfId="0" applyNumberFormat="1" applyFont="1" applyAlignment="1">
      <alignment vertical="top"/>
    </xf>
    <xf numFmtId="0" fontId="7" fillId="0" borderId="0" xfId="0" applyFont="1" applyFill="1" applyBorder="1" applyAlignment="1">
      <alignment horizontal="center" vertical="top"/>
    </xf>
    <xf numFmtId="1" fontId="7" fillId="0" borderId="0" xfId="0" applyNumberFormat="1" applyFont="1" applyFill="1" applyBorder="1" applyAlignment="1">
      <alignment vertical="top"/>
    </xf>
    <xf numFmtId="1" fontId="7" fillId="0" borderId="0" xfId="0" applyNumberFormat="1" applyFont="1" applyFill="1" applyBorder="1" applyAlignment="1">
      <alignment horizontal="center" vertical="top"/>
    </xf>
    <xf numFmtId="2" fontId="7" fillId="0" borderId="0" xfId="0" applyNumberFormat="1" applyFont="1" applyFill="1" applyBorder="1" applyAlignment="1">
      <alignment vertical="top" wrapText="1"/>
    </xf>
    <xf numFmtId="2" fontId="7" fillId="0" borderId="0" xfId="0" applyNumberFormat="1" applyFont="1" applyFill="1" applyBorder="1" applyAlignment="1">
      <alignment horizontal="center" vertical="top"/>
    </xf>
    <xf numFmtId="1" fontId="7" fillId="0" borderId="0" xfId="0" applyNumberFormat="1" applyFont="1" applyFill="1" applyBorder="1" applyAlignment="1">
      <alignment vertical="top" wrapText="1"/>
    </xf>
    <xf numFmtId="0" fontId="0" fillId="0" borderId="21" xfId="0" applyFont="1" applyBorder="1"/>
    <xf numFmtId="0" fontId="0" fillId="0" borderId="22" xfId="0" applyFont="1" applyBorder="1"/>
    <xf numFmtId="0" fontId="0" fillId="0" borderId="0" xfId="0" applyFont="1" applyBorder="1"/>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0" fillId="11" borderId="0" xfId="0" applyFont="1" applyFill="1" applyBorder="1" applyAlignment="1">
      <alignment horizontal="center" vertical="center" wrapText="1"/>
    </xf>
    <xf numFmtId="11" fontId="0" fillId="11" borderId="0" xfId="0"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NumberFormat="1" applyFont="1" applyAlignment="1">
      <alignment horizontal="center" vertical="center"/>
    </xf>
    <xf numFmtId="0" fontId="0" fillId="0" borderId="0" xfId="0" applyFont="1" applyFill="1" applyAlignment="1">
      <alignment horizontal="center" vertical="center"/>
    </xf>
    <xf numFmtId="0" fontId="0" fillId="0" borderId="0" xfId="0" applyNumberFormat="1" applyFont="1" applyFill="1" applyBorder="1" applyAlignment="1">
      <alignment horizontal="center" vertical="center"/>
    </xf>
    <xf numFmtId="2" fontId="0" fillId="0" borderId="0" xfId="0" applyNumberFormat="1" applyFont="1" applyFill="1" applyAlignment="1">
      <alignment horizontal="center" vertical="center"/>
    </xf>
    <xf numFmtId="164" fontId="0" fillId="0" borderId="0" xfId="0" applyNumberFormat="1" applyFont="1" applyFill="1" applyAlignment="1">
      <alignment horizontal="center" vertical="center"/>
    </xf>
    <xf numFmtId="11" fontId="9" fillId="0" borderId="8" xfId="0" applyNumberFormat="1" applyFont="1" applyBorder="1" applyAlignment="1">
      <alignment horizontal="left" vertical="top"/>
    </xf>
    <xf numFmtId="11" fontId="5" fillId="17" borderId="28" xfId="0" applyNumberFormat="1" applyFont="1" applyFill="1" applyBorder="1" applyAlignment="1">
      <alignment horizontal="left" vertical="top"/>
    </xf>
    <xf numFmtId="0" fontId="5" fillId="14" borderId="28" xfId="0" applyFont="1" applyFill="1" applyBorder="1" applyAlignment="1">
      <alignment horizontal="left" vertical="top"/>
    </xf>
    <xf numFmtId="0" fontId="0" fillId="8" borderId="16" xfId="0" applyFont="1" applyFill="1" applyBorder="1" applyAlignment="1">
      <alignment horizontal="left" vertical="top"/>
    </xf>
    <xf numFmtId="0" fontId="5" fillId="15" borderId="27" xfId="0" applyFont="1" applyFill="1" applyBorder="1" applyAlignment="1">
      <alignment horizontal="left" vertical="top"/>
    </xf>
    <xf numFmtId="2" fontId="0" fillId="7" borderId="9" xfId="0" applyNumberFormat="1" applyFont="1" applyFill="1" applyBorder="1" applyAlignment="1">
      <alignment horizontal="left" vertical="top"/>
    </xf>
    <xf numFmtId="0" fontId="0" fillId="0" borderId="17" xfId="0" applyFont="1" applyFill="1" applyBorder="1" applyAlignment="1">
      <alignment horizontal="left" vertical="top"/>
    </xf>
    <xf numFmtId="0" fontId="0" fillId="10" borderId="29" xfId="0" applyFont="1" applyFill="1" applyBorder="1" applyAlignment="1">
      <alignment horizontal="left" vertical="top"/>
    </xf>
    <xf numFmtId="1" fontId="0" fillId="4" borderId="12" xfId="0" applyNumberFormat="1" applyFont="1" applyFill="1" applyBorder="1" applyAlignment="1">
      <alignment horizontal="left" vertical="top"/>
    </xf>
    <xf numFmtId="0" fontId="0" fillId="10" borderId="8" xfId="0" applyFont="1" applyFill="1" applyBorder="1" applyAlignment="1">
      <alignment horizontal="left" vertical="top"/>
    </xf>
    <xf numFmtId="1" fontId="0" fillId="11" borderId="16" xfId="0" applyNumberFormat="1" applyFont="1" applyFill="1" applyBorder="1" applyAlignment="1">
      <alignment horizontal="left" vertical="top"/>
    </xf>
    <xf numFmtId="1" fontId="0" fillId="0" borderId="16" xfId="0" applyNumberFormat="1" applyFont="1" applyFill="1" applyBorder="1" applyAlignment="1">
      <alignment horizontal="left" vertical="top"/>
    </xf>
    <xf numFmtId="2" fontId="0" fillId="11" borderId="16" xfId="0" applyNumberFormat="1" applyFont="1" applyFill="1" applyBorder="1" applyAlignment="1">
      <alignment horizontal="left" vertical="top"/>
    </xf>
    <xf numFmtId="0" fontId="8" fillId="9" borderId="12" xfId="0" applyFont="1" applyFill="1" applyBorder="1" applyAlignment="1">
      <alignment horizontal="left" vertical="top"/>
    </xf>
    <xf numFmtId="2" fontId="9" fillId="0" borderId="8" xfId="0" applyNumberFormat="1" applyFont="1" applyBorder="1" applyAlignment="1">
      <alignment horizontal="left"/>
    </xf>
    <xf numFmtId="2" fontId="0" fillId="0" borderId="31" xfId="0" applyNumberFormat="1" applyFont="1" applyFill="1" applyBorder="1" applyAlignment="1">
      <alignment horizontal="left" vertical="top"/>
    </xf>
    <xf numFmtId="166" fontId="0" fillId="11" borderId="16" xfId="0" applyNumberFormat="1" applyFont="1" applyFill="1" applyBorder="1" applyAlignment="1">
      <alignment horizontal="left" vertical="top"/>
    </xf>
    <xf numFmtId="2" fontId="5" fillId="17" borderId="28" xfId="0" applyNumberFormat="1" applyFont="1" applyFill="1" applyBorder="1" applyAlignment="1">
      <alignment horizontal="left" vertical="top"/>
    </xf>
    <xf numFmtId="2" fontId="5" fillId="0" borderId="9" xfId="0" applyNumberFormat="1" applyFont="1" applyFill="1" applyBorder="1" applyAlignment="1">
      <alignment horizontal="left" vertical="top"/>
    </xf>
    <xf numFmtId="11" fontId="5" fillId="0" borderId="9" xfId="0" applyNumberFormat="1" applyFont="1" applyFill="1" applyBorder="1" applyAlignment="1">
      <alignment horizontal="left" vertical="top"/>
    </xf>
    <xf numFmtId="1" fontId="9" fillId="0" borderId="8" xfId="0" applyNumberFormat="1" applyFont="1" applyBorder="1" applyAlignment="1">
      <alignment horizontal="left"/>
    </xf>
    <xf numFmtId="1" fontId="9" fillId="0" borderId="9" xfId="0" applyNumberFormat="1" applyFont="1" applyFill="1" applyBorder="1" applyAlignment="1">
      <alignment horizontal="left" vertical="top"/>
    </xf>
    <xf numFmtId="164" fontId="3" fillId="0" borderId="9" xfId="0" applyNumberFormat="1" applyFont="1" applyFill="1" applyBorder="1" applyAlignment="1">
      <alignment horizontal="left" vertical="top"/>
    </xf>
    <xf numFmtId="167" fontId="0" fillId="0" borderId="9" xfId="0" applyNumberFormat="1" applyFont="1" applyFill="1" applyBorder="1" applyAlignment="1">
      <alignment horizontal="left" vertical="top"/>
    </xf>
    <xf numFmtId="11" fontId="3" fillId="0" borderId="9" xfId="0" applyNumberFormat="1" applyFont="1" applyFill="1" applyBorder="1" applyAlignment="1">
      <alignment horizontal="left" vertical="top"/>
    </xf>
    <xf numFmtId="11" fontId="0" fillId="0" borderId="0" xfId="0" applyNumberFormat="1" applyFont="1" applyFill="1" applyBorder="1" applyAlignment="1">
      <alignment horizontal="left" vertical="top"/>
    </xf>
    <xf numFmtId="0" fontId="0" fillId="9" borderId="8" xfId="0" applyFont="1" applyFill="1" applyBorder="1" applyAlignment="1">
      <alignment horizontal="left" vertical="top"/>
    </xf>
    <xf numFmtId="0" fontId="0" fillId="7" borderId="8" xfId="0" applyFont="1" applyFill="1" applyBorder="1" applyAlignment="1">
      <alignment horizontal="left" vertical="top"/>
    </xf>
    <xf numFmtId="0" fontId="0" fillId="8" borderId="8" xfId="0" applyFont="1" applyFill="1" applyBorder="1" applyAlignment="1">
      <alignment horizontal="left" vertical="top"/>
    </xf>
    <xf numFmtId="0" fontId="0" fillId="5" borderId="8" xfId="0" applyFont="1" applyFill="1" applyBorder="1" applyAlignment="1">
      <alignment horizontal="left" vertical="top"/>
    </xf>
    <xf numFmtId="2" fontId="0" fillId="6" borderId="8" xfId="0" applyNumberFormat="1" applyFont="1" applyFill="1" applyBorder="1" applyAlignment="1">
      <alignment horizontal="left" vertical="top"/>
    </xf>
    <xf numFmtId="0" fontId="0" fillId="4" borderId="8" xfId="0" applyFont="1" applyFill="1" applyBorder="1" applyAlignment="1">
      <alignment horizontal="left" vertical="top"/>
    </xf>
    <xf numFmtId="0" fontId="0" fillId="0" borderId="8" xfId="0" applyFont="1" applyBorder="1" applyAlignment="1">
      <alignment horizontal="left" vertical="top"/>
    </xf>
    <xf numFmtId="2" fontId="0" fillId="9" borderId="8" xfId="0" applyNumberFormat="1" applyFont="1" applyFill="1" applyBorder="1" applyAlignment="1">
      <alignment horizontal="left" vertical="top"/>
    </xf>
    <xf numFmtId="2" fontId="0" fillId="7" borderId="8" xfId="0" applyNumberFormat="1" applyFont="1" applyFill="1" applyBorder="1" applyAlignment="1">
      <alignment horizontal="left" vertical="top"/>
    </xf>
    <xf numFmtId="2" fontId="0" fillId="8" borderId="8" xfId="0" applyNumberFormat="1" applyFont="1" applyFill="1" applyBorder="1" applyAlignment="1">
      <alignment horizontal="left" vertical="top"/>
    </xf>
    <xf numFmtId="2" fontId="0" fillId="0" borderId="8" xfId="0" applyNumberFormat="1" applyFont="1" applyBorder="1" applyAlignment="1">
      <alignment horizontal="left" vertical="top"/>
    </xf>
    <xf numFmtId="0" fontId="0" fillId="5" borderId="8" xfId="0" applyNumberFormat="1" applyFont="1" applyFill="1" applyBorder="1" applyAlignment="1">
      <alignment horizontal="left" vertical="top"/>
    </xf>
    <xf numFmtId="0" fontId="0" fillId="7" borderId="8" xfId="0" applyNumberFormat="1" applyFont="1" applyFill="1" applyBorder="1" applyAlignment="1">
      <alignment horizontal="left" vertical="top"/>
    </xf>
    <xf numFmtId="164" fontId="0" fillId="10" borderId="8" xfId="0" applyNumberFormat="1" applyFont="1" applyFill="1" applyBorder="1" applyAlignment="1">
      <alignment horizontal="left" vertical="top"/>
    </xf>
    <xf numFmtId="1" fontId="7" fillId="0" borderId="0" xfId="0" applyNumberFormat="1" applyFont="1" applyFill="1" applyAlignment="1">
      <alignment horizontal="center" vertical="center" wrapText="1"/>
    </xf>
    <xf numFmtId="0" fontId="7" fillId="0" borderId="0" xfId="0" applyFont="1" applyFill="1" applyBorder="1" applyAlignment="1">
      <alignment horizontal="left" vertical="top"/>
    </xf>
    <xf numFmtId="1"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1" fontId="8" fillId="0" borderId="0" xfId="0" applyNumberFormat="1" applyFont="1" applyFill="1" applyBorder="1" applyAlignment="1">
      <alignment horizontal="left" vertical="top"/>
    </xf>
    <xf numFmtId="164" fontId="9" fillId="0" borderId="8" xfId="0" applyNumberFormat="1" applyFont="1" applyBorder="1" applyAlignment="1">
      <alignment horizontal="left" vertical="top"/>
    </xf>
    <xf numFmtId="164" fontId="0" fillId="0" borderId="8" xfId="0" applyNumberFormat="1" applyFont="1" applyFill="1" applyBorder="1" applyAlignment="1">
      <alignment horizontal="left" vertical="top"/>
    </xf>
    <xf numFmtId="164" fontId="0" fillId="0" borderId="15" xfId="0" applyNumberFormat="1" applyFont="1" applyFill="1" applyBorder="1" applyAlignment="1">
      <alignment horizontal="left" vertical="top"/>
    </xf>
    <xf numFmtId="166" fontId="9" fillId="0" borderId="8" xfId="0" applyNumberFormat="1" applyFont="1" applyBorder="1" applyAlignment="1">
      <alignment horizontal="left" vertical="top"/>
    </xf>
    <xf numFmtId="166" fontId="9" fillId="0" borderId="13" xfId="0" applyNumberFormat="1" applyFont="1" applyBorder="1" applyAlignment="1">
      <alignment horizontal="left" vertical="top"/>
    </xf>
    <xf numFmtId="166" fontId="0" fillId="0" borderId="8" xfId="0" applyNumberFormat="1" applyFont="1" applyFill="1" applyBorder="1" applyAlignment="1">
      <alignment horizontal="left" vertical="top"/>
    </xf>
    <xf numFmtId="166" fontId="9" fillId="0" borderId="14" xfId="0" applyNumberFormat="1" applyFont="1" applyBorder="1" applyAlignment="1">
      <alignment horizontal="left" vertical="top"/>
    </xf>
    <xf numFmtId="11" fontId="0" fillId="0" borderId="8" xfId="0" applyNumberFormat="1" applyFont="1" applyBorder="1" applyAlignment="1">
      <alignment horizontal="left" vertical="top"/>
    </xf>
    <xf numFmtId="164" fontId="0" fillId="0" borderId="0" xfId="0" applyNumberFormat="1" applyFont="1" applyFill="1" applyBorder="1" applyAlignment="1">
      <alignment vertical="top"/>
    </xf>
    <xf numFmtId="0" fontId="0" fillId="0" borderId="0" xfId="0" applyFont="1" applyFill="1" applyBorder="1"/>
    <xf numFmtId="0" fontId="7" fillId="3" borderId="32" xfId="0" applyFont="1" applyFill="1" applyBorder="1" applyAlignment="1">
      <alignment horizontal="left" vertical="top" wrapText="1"/>
    </xf>
    <xf numFmtId="1" fontId="7" fillId="0" borderId="0" xfId="0" applyNumberFormat="1" applyFont="1" applyFill="1" applyBorder="1" applyAlignment="1">
      <alignment horizontal="left" vertical="top" wrapText="1"/>
    </xf>
    <xf numFmtId="2" fontId="7" fillId="0" borderId="0" xfId="0" applyNumberFormat="1" applyFont="1" applyFill="1" applyBorder="1" applyAlignment="1">
      <alignment horizontal="left" vertical="top" wrapText="1"/>
    </xf>
    <xf numFmtId="0" fontId="7" fillId="0" borderId="0" xfId="0" applyFont="1" applyFill="1" applyBorder="1" applyAlignment="1">
      <alignment horizontal="left" vertical="top" wrapText="1"/>
    </xf>
    <xf numFmtId="0" fontId="0" fillId="11" borderId="0" xfId="0" applyFont="1" applyFill="1" applyBorder="1" applyAlignment="1">
      <alignment horizontal="center" vertical="top" wrapText="1"/>
    </xf>
    <xf numFmtId="0" fontId="8" fillId="9" borderId="10" xfId="0" applyFont="1" applyFill="1" applyBorder="1" applyAlignment="1">
      <alignment horizontal="left" vertical="top"/>
    </xf>
    <xf numFmtId="0" fontId="8" fillId="7" borderId="10" xfId="0" applyNumberFormat="1" applyFont="1" applyFill="1" applyBorder="1" applyAlignment="1">
      <alignment horizontal="left" vertical="top"/>
    </xf>
    <xf numFmtId="0" fontId="8" fillId="8" borderId="10" xfId="0" applyFont="1" applyFill="1" applyBorder="1" applyAlignment="1">
      <alignment horizontal="left" vertical="top"/>
    </xf>
    <xf numFmtId="0" fontId="8" fillId="5" borderId="10" xfId="0" applyFont="1" applyFill="1" applyBorder="1" applyAlignment="1">
      <alignment horizontal="left" vertical="top"/>
    </xf>
    <xf numFmtId="2" fontId="8" fillId="6" borderId="16" xfId="0" applyNumberFormat="1" applyFont="1" applyFill="1" applyBorder="1" applyAlignment="1">
      <alignment horizontal="left" vertical="top"/>
    </xf>
    <xf numFmtId="0" fontId="8" fillId="7" borderId="9" xfId="0" applyNumberFormat="1" applyFont="1" applyFill="1" applyBorder="1" applyAlignment="1">
      <alignment horizontal="left" vertical="top"/>
    </xf>
    <xf numFmtId="0" fontId="8" fillId="8" borderId="9" xfId="0" applyFont="1" applyFill="1" applyBorder="1" applyAlignment="1">
      <alignment horizontal="left" vertical="top"/>
    </xf>
    <xf numFmtId="0" fontId="8" fillId="5" borderId="9" xfId="0" applyFont="1" applyFill="1" applyBorder="1" applyAlignment="1">
      <alignment horizontal="left" vertical="top"/>
    </xf>
    <xf numFmtId="0" fontId="8" fillId="0" borderId="9" xfId="0" applyNumberFormat="1" applyFont="1" applyFill="1" applyBorder="1" applyAlignment="1">
      <alignment horizontal="left" vertical="top"/>
    </xf>
    <xf numFmtId="2" fontId="8" fillId="0" borderId="16" xfId="0" applyNumberFormat="1" applyFont="1" applyFill="1" applyBorder="1" applyAlignment="1">
      <alignment horizontal="left" vertical="top"/>
    </xf>
    <xf numFmtId="0" fontId="0" fillId="7" borderId="13" xfId="0" applyFont="1" applyFill="1" applyBorder="1" applyAlignment="1">
      <alignment horizontal="left" vertical="top"/>
    </xf>
    <xf numFmtId="0" fontId="0" fillId="8" borderId="13" xfId="0" applyFont="1" applyFill="1" applyBorder="1" applyAlignment="1">
      <alignment horizontal="left" vertical="top"/>
    </xf>
    <xf numFmtId="0" fontId="0" fillId="5" borderId="13" xfId="0" applyFont="1" applyFill="1" applyBorder="1" applyAlignment="1">
      <alignment horizontal="left" vertical="top"/>
    </xf>
    <xf numFmtId="2" fontId="0" fillId="6" borderId="13" xfId="0" applyNumberFormat="1" applyFont="1" applyFill="1" applyBorder="1" applyAlignment="1">
      <alignment horizontal="left" vertical="top"/>
    </xf>
    <xf numFmtId="1" fontId="0" fillId="0" borderId="0" xfId="0" applyNumberFormat="1" applyFont="1" applyBorder="1" applyAlignment="1">
      <alignment horizontal="left" vertical="top"/>
    </xf>
    <xf numFmtId="0" fontId="0" fillId="0" borderId="1" xfId="0" applyFont="1" applyBorder="1" applyAlignment="1">
      <alignment horizontal="left" vertical="top"/>
    </xf>
    <xf numFmtId="2" fontId="0" fillId="0" borderId="1" xfId="0" applyNumberFormat="1" applyFont="1" applyFill="1" applyBorder="1" applyAlignment="1">
      <alignment horizontal="left" vertical="top"/>
    </xf>
    <xf numFmtId="0" fontId="0" fillId="7" borderId="25" xfId="0" applyFont="1" applyFill="1" applyBorder="1" applyAlignment="1">
      <alignment horizontal="left" vertical="top"/>
    </xf>
    <xf numFmtId="0" fontId="0" fillId="0" borderId="0" xfId="0" applyFont="1" applyBorder="1" applyAlignment="1">
      <alignment horizontal="center" vertical="center"/>
    </xf>
    <xf numFmtId="2" fontId="0" fillId="9" borderId="0" xfId="0" applyNumberFormat="1" applyFont="1" applyFill="1" applyBorder="1" applyAlignment="1">
      <alignment horizontal="left" vertical="top"/>
    </xf>
    <xf numFmtId="2" fontId="0" fillId="9" borderId="23" xfId="0" applyNumberFormat="1" applyFont="1" applyFill="1" applyBorder="1" applyAlignment="1">
      <alignment horizontal="left" vertical="top"/>
    </xf>
    <xf numFmtId="0" fontId="0" fillId="0" borderId="9" xfId="0" applyFont="1" applyBorder="1" applyAlignment="1">
      <alignment horizontal="left" vertical="top"/>
    </xf>
    <xf numFmtId="2" fontId="0" fillId="0" borderId="9" xfId="0" applyNumberFormat="1" applyFont="1" applyBorder="1" applyAlignment="1">
      <alignment horizontal="left" vertical="top"/>
    </xf>
    <xf numFmtId="2" fontId="5" fillId="0" borderId="10" xfId="0" applyNumberFormat="1" applyFont="1" applyFill="1" applyBorder="1" applyAlignment="1">
      <alignment horizontal="left" vertical="top"/>
    </xf>
    <xf numFmtId="2" fontId="9" fillId="0" borderId="14" xfId="0" applyNumberFormat="1" applyFont="1" applyBorder="1" applyAlignment="1">
      <alignment horizontal="left"/>
    </xf>
    <xf numFmtId="0" fontId="0" fillId="0" borderId="0" xfId="0" applyFont="1" applyBorder="1" applyAlignment="1">
      <alignment vertical="top" wrapText="1"/>
    </xf>
    <xf numFmtId="0" fontId="0" fillId="20" borderId="9" xfId="0" applyFont="1" applyFill="1" applyBorder="1" applyAlignment="1">
      <alignment horizontal="left" vertical="top"/>
    </xf>
    <xf numFmtId="0" fontId="0" fillId="21" borderId="9" xfId="0" applyFont="1" applyFill="1" applyBorder="1" applyAlignment="1">
      <alignment horizontal="left" vertical="top"/>
    </xf>
    <xf numFmtId="0" fontId="0" fillId="18" borderId="9" xfId="0" applyFont="1" applyFill="1" applyBorder="1" applyAlignment="1">
      <alignment horizontal="left" vertical="top"/>
    </xf>
    <xf numFmtId="0" fontId="0" fillId="19" borderId="9" xfId="0" applyFont="1" applyFill="1" applyBorder="1" applyAlignment="1">
      <alignment horizontal="left" vertical="top"/>
    </xf>
    <xf numFmtId="164" fontId="0" fillId="0" borderId="9" xfId="0" applyNumberFormat="1" applyFont="1" applyBorder="1" applyAlignment="1">
      <alignment horizontal="left" vertical="top"/>
    </xf>
    <xf numFmtId="164" fontId="9" fillId="0" borderId="9" xfId="0" applyNumberFormat="1" applyFont="1" applyBorder="1" applyAlignment="1">
      <alignment horizontal="left" vertical="top"/>
    </xf>
    <xf numFmtId="11" fontId="0" fillId="0" borderId="9" xfId="0" applyNumberFormat="1" applyFont="1" applyBorder="1" applyAlignment="1">
      <alignment horizontal="left" vertical="top"/>
    </xf>
    <xf numFmtId="2" fontId="0" fillId="0" borderId="8" xfId="0" applyNumberFormat="1" applyFont="1" applyFill="1" applyBorder="1" applyAlignment="1">
      <alignment horizontal="left" vertical="top"/>
    </xf>
    <xf numFmtId="0" fontId="0" fillId="0" borderId="13" xfId="0" applyFont="1" applyFill="1" applyBorder="1" applyAlignment="1">
      <alignment horizontal="left" vertical="top"/>
    </xf>
    <xf numFmtId="2" fontId="0" fillId="0" borderId="13" xfId="0" applyNumberFormat="1" applyFont="1" applyFill="1" applyBorder="1" applyAlignment="1">
      <alignment horizontal="left" vertical="top"/>
    </xf>
    <xf numFmtId="0" fontId="7" fillId="3" borderId="4" xfId="0" applyFont="1" applyFill="1" applyBorder="1" applyAlignment="1">
      <alignment horizontal="left" vertical="top" wrapText="1"/>
    </xf>
    <xf numFmtId="0" fontId="7" fillId="3" borderId="2" xfId="0" applyFont="1" applyFill="1" applyBorder="1" applyAlignment="1">
      <alignment vertical="top" wrapText="1"/>
    </xf>
    <xf numFmtId="0" fontId="7" fillId="3" borderId="2" xfId="0" applyFont="1" applyFill="1" applyBorder="1" applyAlignment="1">
      <alignment horizontal="left" vertical="top"/>
    </xf>
    <xf numFmtId="0" fontId="8" fillId="0" borderId="31" xfId="0" applyFont="1" applyFill="1" applyBorder="1" applyAlignment="1">
      <alignment horizontal="left" vertical="top"/>
    </xf>
    <xf numFmtId="0" fontId="0" fillId="9" borderId="25" xfId="0" applyFont="1" applyFill="1" applyBorder="1" applyAlignment="1">
      <alignment horizontal="left" vertical="top"/>
    </xf>
    <xf numFmtId="0" fontId="0" fillId="9" borderId="23" xfId="0" applyFont="1" applyFill="1" applyBorder="1" applyAlignment="1">
      <alignment horizontal="left" vertical="top"/>
    </xf>
    <xf numFmtId="1" fontId="0" fillId="9" borderId="12" xfId="0" applyNumberFormat="1" applyFont="1" applyFill="1" applyBorder="1" applyAlignment="1">
      <alignment horizontal="left" vertical="top"/>
    </xf>
    <xf numFmtId="1" fontId="0" fillId="0" borderId="12" xfId="0" applyNumberFormat="1" applyFont="1" applyFill="1" applyBorder="1" applyAlignment="1">
      <alignment horizontal="left" vertical="top"/>
    </xf>
    <xf numFmtId="0" fontId="0" fillId="3" borderId="2" xfId="0" applyFont="1" applyFill="1" applyBorder="1" applyAlignment="1">
      <alignment horizontal="left" vertical="top"/>
    </xf>
    <xf numFmtId="1" fontId="7" fillId="0" borderId="2" xfId="0" applyNumberFormat="1" applyFont="1" applyFill="1" applyBorder="1" applyAlignment="1">
      <alignment vertical="top"/>
    </xf>
    <xf numFmtId="1" fontId="7" fillId="0" borderId="2" xfId="0" applyNumberFormat="1" applyFont="1" applyFill="1" applyBorder="1" applyAlignment="1">
      <alignment horizontal="left" vertical="top"/>
    </xf>
    <xf numFmtId="2" fontId="7" fillId="0" borderId="2" xfId="0" applyNumberFormat="1" applyFont="1" applyFill="1" applyBorder="1" applyAlignment="1">
      <alignment vertical="top"/>
    </xf>
    <xf numFmtId="2" fontId="7" fillId="0" borderId="2" xfId="0" applyNumberFormat="1" applyFont="1" applyFill="1" applyBorder="1" applyAlignment="1">
      <alignment horizontal="left" vertical="top"/>
    </xf>
    <xf numFmtId="0" fontId="7" fillId="0" borderId="2" xfId="0" applyFont="1" applyFill="1" applyBorder="1" applyAlignment="1">
      <alignment vertical="top"/>
    </xf>
    <xf numFmtId="0" fontId="7" fillId="0" borderId="2" xfId="0" applyFont="1" applyFill="1" applyBorder="1" applyAlignment="1">
      <alignment horizontal="left" vertical="top"/>
    </xf>
    <xf numFmtId="0" fontId="0" fillId="3" borderId="2" xfId="0" applyFont="1" applyFill="1" applyBorder="1" applyAlignment="1">
      <alignment horizontal="left" vertical="top" wrapText="1"/>
    </xf>
    <xf numFmtId="2" fontId="0" fillId="0" borderId="2" xfId="0" applyNumberFormat="1" applyFont="1" applyFill="1" applyBorder="1" applyAlignment="1">
      <alignment vertical="top"/>
    </xf>
    <xf numFmtId="2" fontId="0" fillId="0" borderId="2" xfId="0" applyNumberFormat="1" applyFont="1" applyFill="1" applyBorder="1" applyAlignment="1">
      <alignment horizontal="left" vertical="top"/>
    </xf>
    <xf numFmtId="0" fontId="7" fillId="3" borderId="2" xfId="0" applyFont="1" applyFill="1" applyBorder="1" applyAlignment="1">
      <alignment horizontal="center" vertical="top" wrapText="1"/>
    </xf>
    <xf numFmtId="0" fontId="7" fillId="3" borderId="34" xfId="0" applyFont="1" applyFill="1" applyBorder="1" applyAlignment="1">
      <alignment horizontal="left" vertical="top" wrapText="1"/>
    </xf>
    <xf numFmtId="0" fontId="0" fillId="20" borderId="12" xfId="0" applyFont="1" applyFill="1" applyBorder="1" applyAlignment="1">
      <alignment horizontal="left" vertical="top"/>
    </xf>
    <xf numFmtId="0" fontId="7" fillId="3" borderId="2" xfId="0" applyFont="1" applyFill="1" applyBorder="1" applyAlignment="1">
      <alignment wrapText="1"/>
    </xf>
    <xf numFmtId="164" fontId="0" fillId="0" borderId="8" xfId="0" applyNumberFormat="1" applyFont="1" applyBorder="1" applyAlignment="1">
      <alignment horizontal="left" vertical="top"/>
    </xf>
    <xf numFmtId="1" fontId="0" fillId="0" borderId="8" xfId="0" applyNumberFormat="1" applyFont="1" applyBorder="1" applyAlignment="1">
      <alignment horizontal="left" vertical="top"/>
    </xf>
    <xf numFmtId="11" fontId="0" fillId="0" borderId="9" xfId="0" applyNumberFormat="1" applyFont="1" applyFill="1" applyBorder="1" applyAlignment="1" applyProtection="1">
      <alignment horizontal="left" vertical="top"/>
      <protection locked="0"/>
    </xf>
    <xf numFmtId="1" fontId="0" fillId="0" borderId="8" xfId="0" applyNumberFormat="1" applyFont="1" applyFill="1" applyBorder="1" applyAlignment="1">
      <alignment horizontal="left" vertical="top"/>
    </xf>
    <xf numFmtId="1" fontId="0" fillId="10" borderId="8" xfId="0" applyNumberFormat="1" applyFont="1" applyFill="1" applyBorder="1" applyAlignment="1">
      <alignment horizontal="left" vertical="top"/>
    </xf>
    <xf numFmtId="11" fontId="0" fillId="0" borderId="8" xfId="0" applyNumberFormat="1" applyFont="1" applyFill="1" applyBorder="1" applyAlignment="1">
      <alignment horizontal="left" vertical="top"/>
    </xf>
    <xf numFmtId="1" fontId="9" fillId="0" borderId="10" xfId="0" applyNumberFormat="1" applyFont="1" applyFill="1" applyBorder="1" applyAlignment="1">
      <alignment horizontal="left" vertical="top"/>
    </xf>
    <xf numFmtId="11" fontId="0" fillId="0" borderId="16" xfId="0" applyNumberFormat="1" applyFont="1" applyFill="1" applyBorder="1" applyAlignment="1">
      <alignment horizontal="left" vertical="top"/>
    </xf>
    <xf numFmtId="2" fontId="0" fillId="6" borderId="24" xfId="0" applyNumberFormat="1" applyFont="1" applyFill="1" applyBorder="1" applyAlignment="1">
      <alignment horizontal="left" vertical="top"/>
    </xf>
    <xf numFmtId="1" fontId="0" fillId="7" borderId="8" xfId="0" applyNumberFormat="1" applyFont="1" applyFill="1" applyBorder="1" applyAlignment="1">
      <alignment horizontal="left" vertical="top"/>
    </xf>
    <xf numFmtId="1" fontId="0" fillId="5" borderId="8" xfId="0" applyNumberFormat="1" applyFont="1" applyFill="1" applyBorder="1" applyAlignment="1">
      <alignment horizontal="left" vertical="top"/>
    </xf>
    <xf numFmtId="1" fontId="0" fillId="8" borderId="8" xfId="0" applyNumberFormat="1" applyFont="1" applyFill="1" applyBorder="1" applyAlignment="1">
      <alignment horizontal="left" vertical="top"/>
    </xf>
    <xf numFmtId="1" fontId="0" fillId="4" borderId="8" xfId="0" applyNumberFormat="1" applyFont="1" applyFill="1" applyBorder="1" applyAlignment="1">
      <alignment horizontal="left" vertical="top"/>
    </xf>
    <xf numFmtId="0" fontId="7" fillId="3" borderId="6" xfId="0" applyFont="1" applyFill="1" applyBorder="1"/>
    <xf numFmtId="0" fontId="0" fillId="9" borderId="9" xfId="0" applyFont="1" applyFill="1" applyBorder="1"/>
    <xf numFmtId="0" fontId="0" fillId="7" borderId="9" xfId="0" applyFont="1" applyFill="1" applyBorder="1"/>
    <xf numFmtId="0" fontId="0" fillId="8" borderId="9" xfId="0" applyFont="1" applyFill="1" applyBorder="1"/>
    <xf numFmtId="0" fontId="0" fillId="5" borderId="9" xfId="0" applyFont="1" applyFill="1" applyBorder="1"/>
    <xf numFmtId="2" fontId="0" fillId="12" borderId="9" xfId="0" applyNumberFormat="1" applyFont="1" applyFill="1" applyBorder="1"/>
    <xf numFmtId="0" fontId="0" fillId="10" borderId="9" xfId="0" applyFont="1" applyFill="1" applyBorder="1"/>
    <xf numFmtId="1" fontId="0" fillId="4" borderId="9" xfId="0" applyNumberFormat="1" applyFont="1" applyFill="1" applyBorder="1"/>
    <xf numFmtId="2" fontId="0" fillId="6" borderId="9" xfId="0" applyNumberFormat="1" applyFont="1" applyFill="1" applyBorder="1" applyAlignment="1">
      <alignment horizontal="center"/>
    </xf>
    <xf numFmtId="164" fontId="9" fillId="0" borderId="9" xfId="0" applyNumberFormat="1" applyFont="1" applyBorder="1"/>
    <xf numFmtId="0" fontId="5" fillId="7" borderId="9" xfId="0" applyFont="1" applyFill="1" applyBorder="1"/>
    <xf numFmtId="0" fontId="5" fillId="10" borderId="9" xfId="0" applyFont="1" applyFill="1" applyBorder="1"/>
    <xf numFmtId="0" fontId="5" fillId="4" borderId="9" xfId="0" applyFont="1" applyFill="1" applyBorder="1"/>
    <xf numFmtId="2" fontId="0" fillId="2" borderId="9" xfId="0" applyNumberFormat="1" applyFont="1" applyFill="1" applyBorder="1" applyAlignment="1">
      <alignment horizontal="center"/>
    </xf>
    <xf numFmtId="164" fontId="8" fillId="0" borderId="9" xfId="0" applyNumberFormat="1" applyFont="1" applyFill="1" applyBorder="1"/>
    <xf numFmtId="1" fontId="8" fillId="0" borderId="9" xfId="0" applyNumberFormat="1" applyFont="1" applyFill="1" applyBorder="1"/>
    <xf numFmtId="0" fontId="0" fillId="4" borderId="9" xfId="0" applyFont="1" applyFill="1" applyBorder="1"/>
    <xf numFmtId="164" fontId="0" fillId="0" borderId="9" xfId="0" applyNumberFormat="1" applyFont="1" applyFill="1" applyBorder="1"/>
    <xf numFmtId="11" fontId="0" fillId="0" borderId="9" xfId="0" applyNumberFormat="1" applyFont="1" applyFill="1" applyBorder="1"/>
    <xf numFmtId="1" fontId="0" fillId="0" borderId="9" xfId="0" applyNumberFormat="1" applyFont="1" applyFill="1" applyBorder="1"/>
    <xf numFmtId="0" fontId="9" fillId="0" borderId="9" xfId="0" applyNumberFormat="1" applyFont="1" applyBorder="1"/>
    <xf numFmtId="2" fontId="0" fillId="0" borderId="9" xfId="0" applyNumberFormat="1" applyFont="1" applyFill="1" applyBorder="1"/>
    <xf numFmtId="1" fontId="9" fillId="0" borderId="9" xfId="0" applyNumberFormat="1" applyFont="1" applyBorder="1"/>
    <xf numFmtId="0" fontId="5" fillId="0" borderId="0" xfId="0" applyFont="1"/>
    <xf numFmtId="0" fontId="0" fillId="0" borderId="0" xfId="0" applyAlignment="1">
      <alignment wrapText="1"/>
    </xf>
    <xf numFmtId="0" fontId="0" fillId="0" borderId="0" xfId="0" applyAlignment="1"/>
    <xf numFmtId="0" fontId="0" fillId="0" borderId="0" xfId="0" applyAlignment="1">
      <alignment vertical="top"/>
    </xf>
    <xf numFmtId="2" fontId="0" fillId="0" borderId="0" xfId="0" applyNumberFormat="1" applyFont="1" applyFill="1" applyBorder="1" applyAlignment="1">
      <alignment vertical="center"/>
    </xf>
    <xf numFmtId="0" fontId="0" fillId="0" borderId="0" xfId="0" applyFont="1" applyFill="1" applyBorder="1" applyAlignment="1">
      <alignment vertical="center"/>
    </xf>
    <xf numFmtId="0" fontId="5" fillId="0" borderId="0" xfId="0" applyFont="1" applyAlignment="1">
      <alignment horizontal="left" vertical="top"/>
    </xf>
    <xf numFmtId="11" fontId="5" fillId="0" borderId="0" xfId="0" applyNumberFormat="1" applyFont="1" applyAlignment="1">
      <alignment horizontal="left" vertical="top"/>
    </xf>
    <xf numFmtId="11" fontId="0" fillId="0" borderId="0" xfId="0" applyNumberFormat="1" applyFont="1" applyFill="1" applyBorder="1" applyAlignment="1">
      <alignment horizontal="left" vertical="top" wrapText="1"/>
    </xf>
    <xf numFmtId="1" fontId="5" fillId="0" borderId="0" xfId="0" applyNumberFormat="1" applyFont="1" applyAlignment="1">
      <alignment horizontal="left" vertical="top"/>
    </xf>
    <xf numFmtId="0" fontId="0" fillId="9" borderId="0" xfId="0" applyFont="1" applyFill="1" applyBorder="1" applyAlignment="1">
      <alignment horizontal="left" vertical="top"/>
    </xf>
    <xf numFmtId="0" fontId="0" fillId="7" borderId="0" xfId="0" applyFont="1" applyFill="1" applyBorder="1" applyAlignment="1">
      <alignment horizontal="left" vertical="top"/>
    </xf>
    <xf numFmtId="0" fontId="5" fillId="7" borderId="0" xfId="0" applyFont="1" applyFill="1" applyBorder="1" applyAlignment="1">
      <alignment horizontal="left" vertical="top"/>
    </xf>
    <xf numFmtId="0" fontId="8" fillId="9" borderId="0" xfId="0" applyFont="1" applyFill="1" applyBorder="1" applyAlignment="1">
      <alignment horizontal="left" vertical="top"/>
    </xf>
    <xf numFmtId="0" fontId="0" fillId="22" borderId="0" xfId="0" applyFont="1" applyFill="1" applyBorder="1" applyAlignment="1">
      <alignment horizontal="left" vertical="top"/>
    </xf>
    <xf numFmtId="0" fontId="0" fillId="5" borderId="0" xfId="0" applyFont="1" applyFill="1" applyBorder="1" applyAlignment="1">
      <alignment horizontal="left" vertical="top"/>
    </xf>
    <xf numFmtId="0" fontId="7" fillId="3" borderId="3" xfId="0" applyFont="1" applyFill="1" applyBorder="1" applyAlignment="1">
      <alignment vertical="top" wrapText="1"/>
    </xf>
    <xf numFmtId="0" fontId="7" fillId="3" borderId="3" xfId="0" applyFont="1" applyFill="1" applyBorder="1" applyAlignment="1">
      <alignment vertical="center" wrapText="1"/>
    </xf>
    <xf numFmtId="0" fontId="7" fillId="0" borderId="33" xfId="0" applyFont="1" applyFill="1" applyBorder="1" applyAlignment="1">
      <alignment vertical="center" wrapText="1"/>
    </xf>
    <xf numFmtId="0" fontId="7" fillId="0" borderId="33" xfId="0" applyFont="1" applyFill="1" applyBorder="1" applyAlignment="1">
      <alignment vertical="top" wrapText="1"/>
    </xf>
    <xf numFmtId="0" fontId="7" fillId="3" borderId="35" xfId="0" applyFont="1" applyFill="1" applyBorder="1" applyAlignment="1">
      <alignment vertical="top" wrapText="1"/>
    </xf>
    <xf numFmtId="0" fontId="7" fillId="0" borderId="0" xfId="0" applyFont="1" applyFill="1" applyBorder="1" applyAlignment="1">
      <alignment vertical="center" wrapText="1"/>
    </xf>
    <xf numFmtId="11" fontId="9" fillId="0" borderId="0" xfId="0" applyNumberFormat="1" applyFont="1" applyFill="1" applyBorder="1" applyAlignment="1">
      <alignment horizontal="left" vertical="top"/>
    </xf>
    <xf numFmtId="0" fontId="0" fillId="0" borderId="0" xfId="0" applyFont="1" applyFill="1" applyBorder="1" applyAlignment="1">
      <alignment vertical="top" wrapText="1"/>
    </xf>
    <xf numFmtId="164" fontId="9" fillId="0" borderId="0" xfId="0" applyNumberFormat="1" applyFont="1" applyFill="1" applyBorder="1" applyAlignment="1">
      <alignment horizontal="left" vertical="top"/>
    </xf>
    <xf numFmtId="0" fontId="0" fillId="21" borderId="12" xfId="0" applyFont="1" applyFill="1" applyBorder="1" applyAlignment="1">
      <alignment horizontal="left" vertical="top"/>
    </xf>
    <xf numFmtId="11" fontId="0" fillId="0" borderId="29" xfId="0" applyNumberFormat="1" applyFont="1" applyBorder="1" applyAlignment="1">
      <alignment horizontal="left" vertical="top"/>
    </xf>
    <xf numFmtId="0" fontId="0" fillId="20" borderId="29" xfId="0" applyFont="1" applyFill="1" applyBorder="1" applyAlignment="1">
      <alignment horizontal="left" vertical="top"/>
    </xf>
    <xf numFmtId="0" fontId="0" fillId="20" borderId="36" xfId="0" applyFont="1" applyFill="1" applyBorder="1" applyAlignment="1">
      <alignment horizontal="left" vertical="top"/>
    </xf>
    <xf numFmtId="0" fontId="0" fillId="0" borderId="37" xfId="0" applyFont="1" applyBorder="1"/>
    <xf numFmtId="0" fontId="0" fillId="0" borderId="1" xfId="0" applyFont="1" applyBorder="1"/>
    <xf numFmtId="0" fontId="7" fillId="3" borderId="38" xfId="0" applyFont="1" applyFill="1" applyBorder="1" applyAlignment="1">
      <alignment vertical="top" wrapText="1"/>
    </xf>
    <xf numFmtId="0" fontId="0" fillId="0" borderId="32" xfId="0" applyFont="1" applyBorder="1"/>
    <xf numFmtId="0" fontId="0" fillId="21" borderId="29" xfId="0" applyFont="1" applyFill="1" applyBorder="1" applyAlignment="1">
      <alignment horizontal="left" vertical="top"/>
    </xf>
    <xf numFmtId="0" fontId="0" fillId="18" borderId="29" xfId="0" applyFont="1" applyFill="1" applyBorder="1" applyAlignment="1">
      <alignment horizontal="left" vertical="top"/>
    </xf>
    <xf numFmtId="0" fontId="7" fillId="3" borderId="39" xfId="0" applyFont="1" applyFill="1" applyBorder="1" applyAlignment="1">
      <alignment vertical="top" wrapText="1"/>
    </xf>
    <xf numFmtId="0" fontId="0" fillId="20" borderId="40" xfId="0" applyFont="1" applyFill="1" applyBorder="1" applyAlignment="1">
      <alignment horizontal="left" vertical="top"/>
    </xf>
    <xf numFmtId="0" fontId="0" fillId="0" borderId="35" xfId="0" applyFont="1" applyBorder="1"/>
    <xf numFmtId="0" fontId="7" fillId="3" borderId="41" xfId="0" applyFont="1" applyFill="1" applyBorder="1" applyAlignment="1">
      <alignment vertical="top" wrapText="1"/>
    </xf>
    <xf numFmtId="0" fontId="7" fillId="3" borderId="42" xfId="0" applyFont="1" applyFill="1" applyBorder="1" applyAlignment="1">
      <alignment vertical="top" wrapText="1"/>
    </xf>
    <xf numFmtId="0" fontId="0" fillId="0" borderId="37" xfId="0" applyFont="1" applyBorder="1" applyAlignment="1">
      <alignment horizontal="left" vertical="top" wrapText="1"/>
    </xf>
    <xf numFmtId="0" fontId="10" fillId="0" borderId="35" xfId="0" applyFont="1" applyBorder="1"/>
    <xf numFmtId="0" fontId="0" fillId="0" borderId="37" xfId="0" applyFont="1" applyBorder="1" applyAlignment="1">
      <alignment horizontal="left" vertical="top"/>
    </xf>
    <xf numFmtId="0" fontId="0" fillId="0" borderId="43" xfId="0" applyBorder="1"/>
    <xf numFmtId="2" fontId="5" fillId="0" borderId="0" xfId="0" applyNumberFormat="1" applyFont="1" applyAlignment="1">
      <alignment horizontal="left" vertical="top"/>
    </xf>
    <xf numFmtId="0" fontId="7" fillId="3" borderId="3"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xf numFmtId="2" fontId="7" fillId="3" borderId="6" xfId="0" applyNumberFormat="1" applyFont="1" applyFill="1" applyBorder="1" applyAlignment="1">
      <alignment horizontal="center" vertical="center"/>
    </xf>
    <xf numFmtId="2" fontId="7" fillId="3" borderId="5" xfId="0" applyNumberFormat="1" applyFont="1" applyFill="1" applyBorder="1" applyAlignment="1">
      <alignment horizontal="center" vertical="center"/>
    </xf>
    <xf numFmtId="2" fontId="7" fillId="3" borderId="4" xfId="0" applyNumberFormat="1" applyFont="1" applyFill="1" applyBorder="1" applyAlignment="1">
      <alignment horizontal="center" vertical="center"/>
    </xf>
    <xf numFmtId="0" fontId="7" fillId="3" borderId="2" xfId="0" applyFont="1" applyFill="1" applyBorder="1" applyAlignment="1">
      <alignment horizontal="center" vertical="top" wrapText="1"/>
    </xf>
    <xf numFmtId="0" fontId="7" fillId="3" borderId="2" xfId="0" applyFont="1" applyFill="1" applyBorder="1" applyAlignment="1">
      <alignment horizontal="center" vertical="center" wrapText="1"/>
    </xf>
    <xf numFmtId="1" fontId="7" fillId="3" borderId="2" xfId="0" applyNumberFormat="1" applyFont="1" applyFill="1" applyBorder="1" applyAlignment="1">
      <alignment horizontal="center" vertical="center"/>
    </xf>
    <xf numFmtId="1" fontId="7" fillId="3" borderId="2"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6" xfId="0" applyFont="1" applyFill="1" applyBorder="1" applyAlignment="1">
      <alignment horizontal="center" vertical="top"/>
    </xf>
    <xf numFmtId="0" fontId="7" fillId="3" borderId="5" xfId="0" applyFont="1" applyFill="1" applyBorder="1" applyAlignment="1">
      <alignment horizontal="center" vertical="top"/>
    </xf>
    <xf numFmtId="0" fontId="7" fillId="3" borderId="4" xfId="0" applyFont="1" applyFill="1" applyBorder="1" applyAlignment="1">
      <alignment horizontal="center" vertical="top"/>
    </xf>
    <xf numFmtId="0" fontId="7" fillId="3" borderId="20" xfId="0" applyFont="1" applyFill="1" applyBorder="1" applyAlignment="1">
      <alignment horizontal="center" vertical="top"/>
    </xf>
    <xf numFmtId="0" fontId="7" fillId="3" borderId="20" xfId="0" applyFont="1" applyFill="1" applyBorder="1" applyAlignment="1">
      <alignment horizontal="center" vertical="center"/>
    </xf>
    <xf numFmtId="0" fontId="7" fillId="3" borderId="0" xfId="0" applyFont="1" applyFill="1" applyAlignment="1">
      <alignment horizontal="center" vertical="center" wrapText="1"/>
    </xf>
    <xf numFmtId="0" fontId="8" fillId="0" borderId="0" xfId="0" applyFont="1" applyFill="1" applyBorder="1" applyAlignment="1">
      <alignment horizontal="left" vertical="top"/>
    </xf>
    <xf numFmtId="11" fontId="8" fillId="0" borderId="0" xfId="0" applyNumberFormat="1" applyFont="1" applyFill="1" applyBorder="1" applyAlignment="1">
      <alignment horizontal="left" vertical="top" wrapText="1"/>
    </xf>
    <xf numFmtId="11" fontId="8" fillId="0" borderId="0" xfId="0" applyNumberFormat="1" applyFont="1" applyFill="1" applyBorder="1" applyAlignment="1">
      <alignment horizontal="left" vertical="top"/>
    </xf>
    <xf numFmtId="0" fontId="8" fillId="0" borderId="0" xfId="0" applyFont="1" applyFill="1" applyBorder="1" applyAlignment="1">
      <alignment vertical="top" wrapText="1"/>
    </xf>
    <xf numFmtId="2" fontId="8" fillId="0" borderId="0" xfId="0" applyNumberFormat="1" applyFont="1" applyFill="1" applyBorder="1" applyAlignment="1">
      <alignment horizontal="left" vertical="top"/>
    </xf>
    <xf numFmtId="0" fontId="7" fillId="3" borderId="6" xfId="0" applyFont="1" applyFill="1" applyBorder="1" applyAlignment="1">
      <alignment horizontal="left" vertical="top"/>
    </xf>
    <xf numFmtId="0" fontId="0" fillId="20" borderId="8" xfId="0" applyFont="1" applyFill="1" applyBorder="1" applyAlignment="1">
      <alignment horizontal="left" vertical="top"/>
    </xf>
    <xf numFmtId="0" fontId="0" fillId="21" borderId="8" xfId="0" applyFont="1" applyFill="1" applyBorder="1" applyAlignment="1">
      <alignment horizontal="left" vertical="top"/>
    </xf>
    <xf numFmtId="0" fontId="0" fillId="18" borderId="8" xfId="0" applyFont="1" applyFill="1" applyBorder="1" applyAlignment="1">
      <alignment horizontal="left" vertical="top"/>
    </xf>
    <xf numFmtId="0" fontId="10" fillId="0" borderId="37" xfId="0" applyFont="1" applyBorder="1"/>
    <xf numFmtId="11" fontId="0" fillId="0" borderId="44" xfId="0" applyNumberFormat="1" applyFont="1" applyBorder="1" applyAlignment="1">
      <alignment horizontal="left" vertical="top"/>
    </xf>
    <xf numFmtId="0" fontId="0" fillId="19" borderId="29" xfId="0" applyFont="1" applyFill="1" applyBorder="1" applyAlignment="1">
      <alignment horizontal="left" vertical="top"/>
    </xf>
    <xf numFmtId="0" fontId="0" fillId="19" borderId="8" xfId="0" applyFont="1" applyFill="1" applyBorder="1" applyAlignment="1">
      <alignment horizontal="left" vertical="top"/>
    </xf>
  </cellXfs>
  <cellStyles count="4397">
    <cellStyle name="Excel Built-in Normal" xfId="829"/>
    <cellStyle name="Followed Hyperlink" xfId="40" builtinId="9" hidden="1"/>
    <cellStyle name="Followed Hyperlink" xfId="60" builtinId="9" hidden="1"/>
    <cellStyle name="Followed Hyperlink" xfId="10" builtinId="9" hidden="1"/>
    <cellStyle name="Followed Hyperlink" xfId="4" builtinId="9" hidden="1"/>
    <cellStyle name="Followed Hyperlink" xfId="18" builtinId="9" hidden="1"/>
    <cellStyle name="Followed Hyperlink" xfId="54" builtinId="9" hidden="1"/>
    <cellStyle name="Followed Hyperlink" xfId="48" builtinId="9" hidden="1"/>
    <cellStyle name="Followed Hyperlink" xfId="26" builtinId="9" hidden="1"/>
    <cellStyle name="Followed Hyperlink" xfId="90" builtinId="9" hidden="1"/>
    <cellStyle name="Followed Hyperlink" xfId="122" builtinId="9" hidden="1"/>
    <cellStyle name="Followed Hyperlink" xfId="154" builtinId="9" hidden="1"/>
    <cellStyle name="Followed Hyperlink" xfId="186" builtinId="9" hidden="1"/>
    <cellStyle name="Followed Hyperlink" xfId="218" builtinId="9" hidden="1"/>
    <cellStyle name="Followed Hyperlink" xfId="250" builtinId="9" hidden="1"/>
    <cellStyle name="Followed Hyperlink" xfId="282" builtinId="9" hidden="1"/>
    <cellStyle name="Followed Hyperlink" xfId="314" builtinId="9" hidden="1"/>
    <cellStyle name="Followed Hyperlink" xfId="346" builtinId="9" hidden="1"/>
    <cellStyle name="Followed Hyperlink" xfId="378" builtinId="9" hidden="1"/>
    <cellStyle name="Followed Hyperlink" xfId="410" builtinId="9" hidden="1"/>
    <cellStyle name="Followed Hyperlink" xfId="442" builtinId="9" hidden="1"/>
    <cellStyle name="Followed Hyperlink" xfId="474" builtinId="9" hidden="1"/>
    <cellStyle name="Followed Hyperlink" xfId="506" builtinId="9" hidden="1"/>
    <cellStyle name="Followed Hyperlink" xfId="492" builtinId="9" hidden="1"/>
    <cellStyle name="Followed Hyperlink" xfId="460" builtinId="9" hidden="1"/>
    <cellStyle name="Followed Hyperlink" xfId="428" builtinId="9" hidden="1"/>
    <cellStyle name="Followed Hyperlink" xfId="396" builtinId="9" hidden="1"/>
    <cellStyle name="Followed Hyperlink" xfId="364" builtinId="9" hidden="1"/>
    <cellStyle name="Followed Hyperlink" xfId="332" builtinId="9" hidden="1"/>
    <cellStyle name="Followed Hyperlink" xfId="300" builtinId="9" hidden="1"/>
    <cellStyle name="Followed Hyperlink" xfId="268" builtinId="9" hidden="1"/>
    <cellStyle name="Followed Hyperlink" xfId="236" builtinId="9" hidden="1"/>
    <cellStyle name="Followed Hyperlink" xfId="204" builtinId="9" hidden="1"/>
    <cellStyle name="Followed Hyperlink" xfId="120" builtinId="9" hidden="1"/>
    <cellStyle name="Followed Hyperlink" xfId="144" builtinId="9" hidden="1"/>
    <cellStyle name="Followed Hyperlink" xfId="164" builtinId="9" hidden="1"/>
    <cellStyle name="Followed Hyperlink" xfId="184" builtinId="9" hidden="1"/>
    <cellStyle name="Followed Hyperlink" xfId="156" builtinId="9" hidden="1"/>
    <cellStyle name="Followed Hyperlink" xfId="84" builtinId="9" hidden="1"/>
    <cellStyle name="Followed Hyperlink" xfId="104" builtinId="9" hidden="1"/>
    <cellStyle name="Followed Hyperlink" xfId="72" builtinId="9" hidden="1"/>
    <cellStyle name="Followed Hyperlink" xfId="80" builtinId="9" hidden="1"/>
    <cellStyle name="Followed Hyperlink" xfId="100" builtinId="9" hidden="1"/>
    <cellStyle name="Followed Hyperlink" xfId="108" builtinId="9" hidden="1"/>
    <cellStyle name="Followed Hyperlink" xfId="172" builtinId="9" hidden="1"/>
    <cellStyle name="Followed Hyperlink" xfId="180" builtinId="9" hidden="1"/>
    <cellStyle name="Followed Hyperlink" xfId="160" builtinId="9" hidden="1"/>
    <cellStyle name="Followed Hyperlink" xfId="136" builtinId="9" hidden="1"/>
    <cellStyle name="Followed Hyperlink" xfId="116" builtinId="9" hidden="1"/>
    <cellStyle name="Followed Hyperlink" xfId="212" builtinId="9" hidden="1"/>
    <cellStyle name="Followed Hyperlink" xfId="244" builtinId="9" hidden="1"/>
    <cellStyle name="Followed Hyperlink" xfId="276" builtinId="9" hidden="1"/>
    <cellStyle name="Followed Hyperlink" xfId="308" builtinId="9" hidden="1"/>
    <cellStyle name="Followed Hyperlink" xfId="340" builtinId="9" hidden="1"/>
    <cellStyle name="Followed Hyperlink" xfId="372" builtinId="9" hidden="1"/>
    <cellStyle name="Followed Hyperlink" xfId="404" builtinId="9" hidden="1"/>
    <cellStyle name="Followed Hyperlink" xfId="436" builtinId="9" hidden="1"/>
    <cellStyle name="Followed Hyperlink" xfId="468" builtinId="9" hidden="1"/>
    <cellStyle name="Followed Hyperlink" xfId="500" builtinId="9" hidden="1"/>
    <cellStyle name="Followed Hyperlink" xfId="498" builtinId="9" hidden="1"/>
    <cellStyle name="Followed Hyperlink" xfId="466" builtinId="9" hidden="1"/>
    <cellStyle name="Followed Hyperlink" xfId="434" builtinId="9" hidden="1"/>
    <cellStyle name="Followed Hyperlink" xfId="402" builtinId="9" hidden="1"/>
    <cellStyle name="Followed Hyperlink" xfId="370" builtinId="9" hidden="1"/>
    <cellStyle name="Followed Hyperlink" xfId="338" builtinId="9" hidden="1"/>
    <cellStyle name="Followed Hyperlink" xfId="306" builtinId="9" hidden="1"/>
    <cellStyle name="Followed Hyperlink" xfId="274" builtinId="9" hidden="1"/>
    <cellStyle name="Followed Hyperlink" xfId="242" builtinId="9" hidden="1"/>
    <cellStyle name="Followed Hyperlink" xfId="210" builtinId="9" hidden="1"/>
    <cellStyle name="Followed Hyperlink" xfId="178" builtinId="9" hidden="1"/>
    <cellStyle name="Followed Hyperlink" xfId="146" builtinId="9" hidden="1"/>
    <cellStyle name="Followed Hyperlink" xfId="114" builtinId="9" hidden="1"/>
    <cellStyle name="Followed Hyperlink" xfId="82" builtinId="9" hidden="1"/>
    <cellStyle name="Followed Hyperlink" xfId="32" builtinId="9" hidden="1"/>
    <cellStyle name="Followed Hyperlink" xfId="52" builtinId="9" hidden="1"/>
    <cellStyle name="Followed Hyperlink" xfId="38" builtinId="9" hidden="1"/>
    <cellStyle name="Followed Hyperlink" xfId="14" builtinId="9" hidden="1"/>
    <cellStyle name="Followed Hyperlink" xfId="6" builtinId="9" hidden="1"/>
    <cellStyle name="Followed Hyperlink" xfId="30" builtinId="9" hidden="1"/>
    <cellStyle name="Followed Hyperlink" xfId="56" builtinId="9" hidden="1"/>
    <cellStyle name="Followed Hyperlink" xfId="34" builtinId="9" hidden="1"/>
    <cellStyle name="Followed Hyperlink" xfId="78" builtinId="9" hidden="1"/>
    <cellStyle name="Followed Hyperlink" xfId="110" builtinId="9" hidden="1"/>
    <cellStyle name="Followed Hyperlink" xfId="142" builtinId="9" hidden="1"/>
    <cellStyle name="Followed Hyperlink" xfId="174" builtinId="9" hidden="1"/>
    <cellStyle name="Followed Hyperlink" xfId="206" builtinId="9" hidden="1"/>
    <cellStyle name="Followed Hyperlink" xfId="238" builtinId="9" hidden="1"/>
    <cellStyle name="Followed Hyperlink" xfId="270" builtinId="9" hidden="1"/>
    <cellStyle name="Followed Hyperlink" xfId="302" builtinId="9" hidden="1"/>
    <cellStyle name="Followed Hyperlink" xfId="334" builtinId="9" hidden="1"/>
    <cellStyle name="Followed Hyperlink" xfId="366" builtinId="9" hidden="1"/>
    <cellStyle name="Followed Hyperlink" xfId="398" builtinId="9" hidden="1"/>
    <cellStyle name="Followed Hyperlink" xfId="430" builtinId="9" hidden="1"/>
    <cellStyle name="Followed Hyperlink" xfId="462" builtinId="9" hidden="1"/>
    <cellStyle name="Followed Hyperlink" xfId="494" builtinId="9" hidden="1"/>
    <cellStyle name="Followed Hyperlink" xfId="504" builtinId="9" hidden="1"/>
    <cellStyle name="Followed Hyperlink" xfId="472" builtinId="9" hidden="1"/>
    <cellStyle name="Followed Hyperlink" xfId="288" builtinId="9" hidden="1"/>
    <cellStyle name="Followed Hyperlink" xfId="304" builtinId="9" hidden="1"/>
    <cellStyle name="Followed Hyperlink" xfId="328" builtinId="9" hidden="1"/>
    <cellStyle name="Followed Hyperlink" xfId="352" builtinId="9" hidden="1"/>
    <cellStyle name="Followed Hyperlink" xfId="368" builtinId="9" hidden="1"/>
    <cellStyle name="Followed Hyperlink" xfId="392" builtinId="9" hidden="1"/>
    <cellStyle name="Followed Hyperlink" xfId="416" builtinId="9" hidden="1"/>
    <cellStyle name="Followed Hyperlink" xfId="432" builtinId="9" hidden="1"/>
    <cellStyle name="Followed Hyperlink" xfId="440" builtinId="9" hidden="1"/>
    <cellStyle name="Followed Hyperlink" xfId="376" builtinId="9" hidden="1"/>
    <cellStyle name="Followed Hyperlink" xfId="312" builtinId="9" hidden="1"/>
    <cellStyle name="Followed Hyperlink" xfId="232" builtinId="9" hidden="1"/>
    <cellStyle name="Followed Hyperlink" xfId="256" builtinId="9" hidden="1"/>
    <cellStyle name="Followed Hyperlink" xfId="272" builtinId="9" hidden="1"/>
    <cellStyle name="Followed Hyperlink" xfId="216" builtinId="9" hidden="1"/>
    <cellStyle name="Followed Hyperlink" xfId="208" builtinId="9" hidden="1"/>
    <cellStyle name="Followed Hyperlink" xfId="200" builtinId="9" hidden="1"/>
    <cellStyle name="Followed Hyperlink" xfId="224" builtinId="9" hidden="1"/>
    <cellStyle name="Followed Hyperlink" xfId="248" builtinId="9" hidden="1"/>
    <cellStyle name="Followed Hyperlink" xfId="264" builtinId="9" hidden="1"/>
    <cellStyle name="Followed Hyperlink" xfId="240" builtinId="9" hidden="1"/>
    <cellStyle name="Followed Hyperlink" xfId="280" builtinId="9" hidden="1"/>
    <cellStyle name="Followed Hyperlink" xfId="344" builtinId="9" hidden="1"/>
    <cellStyle name="Followed Hyperlink" xfId="408" builtinId="9" hidden="1"/>
    <cellStyle name="Followed Hyperlink" xfId="448" builtinId="9" hidden="1"/>
    <cellStyle name="Followed Hyperlink" xfId="424" builtinId="9" hidden="1"/>
    <cellStyle name="Followed Hyperlink" xfId="400" builtinId="9" hidden="1"/>
    <cellStyle name="Followed Hyperlink" xfId="384" builtinId="9" hidden="1"/>
    <cellStyle name="Followed Hyperlink" xfId="360" builtinId="9" hidden="1"/>
    <cellStyle name="Followed Hyperlink" xfId="336" builtinId="9" hidden="1"/>
    <cellStyle name="Followed Hyperlink" xfId="320" builtinId="9" hidden="1"/>
    <cellStyle name="Followed Hyperlink" xfId="296" builtinId="9" hidden="1"/>
    <cellStyle name="Followed Hyperlink" xfId="456" builtinId="9" hidden="1"/>
    <cellStyle name="Followed Hyperlink" xfId="488" builtinId="9" hidden="1"/>
    <cellStyle name="Followed Hyperlink" xfId="510" builtinId="9" hidden="1"/>
    <cellStyle name="Followed Hyperlink" xfId="478" builtinId="9" hidden="1"/>
    <cellStyle name="Followed Hyperlink" xfId="446" builtinId="9" hidden="1"/>
    <cellStyle name="Followed Hyperlink" xfId="414" builtinId="9" hidden="1"/>
    <cellStyle name="Followed Hyperlink" xfId="382" builtinId="9" hidden="1"/>
    <cellStyle name="Followed Hyperlink" xfId="350" builtinId="9" hidden="1"/>
    <cellStyle name="Followed Hyperlink" xfId="318" builtinId="9" hidden="1"/>
    <cellStyle name="Followed Hyperlink" xfId="286" builtinId="9" hidden="1"/>
    <cellStyle name="Followed Hyperlink" xfId="254" builtinId="9" hidden="1"/>
    <cellStyle name="Followed Hyperlink" xfId="222" builtinId="9" hidden="1"/>
    <cellStyle name="Followed Hyperlink" xfId="190" builtinId="9" hidden="1"/>
    <cellStyle name="Followed Hyperlink" xfId="158" builtinId="9" hidden="1"/>
    <cellStyle name="Followed Hyperlink" xfId="126" builtinId="9" hidden="1"/>
    <cellStyle name="Followed Hyperlink" xfId="94" builtinId="9" hidden="1"/>
    <cellStyle name="Followed Hyperlink" xfId="24" builtinId="9" hidden="1"/>
    <cellStyle name="Followed Hyperlink" xfId="44" builtinId="9" hidden="1"/>
    <cellStyle name="Followed Hyperlink" xfId="62" builtinId="9" hidden="1"/>
    <cellStyle name="Followed Hyperlink" xfId="16" builtinId="9" hidden="1"/>
    <cellStyle name="Followed Hyperlink" xfId="2" builtinId="9" hidden="1"/>
    <cellStyle name="Followed Hyperlink" xfId="12" builtinId="9" hidden="1"/>
    <cellStyle name="Followed Hyperlink" xfId="64" builtinId="9" hidden="1"/>
    <cellStyle name="Followed Hyperlink" xfId="42" builtinId="9" hidden="1"/>
    <cellStyle name="Followed Hyperlink" xfId="66" builtinId="9" hidden="1"/>
    <cellStyle name="Followed Hyperlink" xfId="98" builtinId="9" hidden="1"/>
    <cellStyle name="Followed Hyperlink" xfId="130" builtinId="9" hidden="1"/>
    <cellStyle name="Followed Hyperlink" xfId="162" builtinId="9" hidden="1"/>
    <cellStyle name="Followed Hyperlink" xfId="194" builtinId="9" hidden="1"/>
    <cellStyle name="Followed Hyperlink" xfId="226" builtinId="9" hidden="1"/>
    <cellStyle name="Followed Hyperlink" xfId="258" builtinId="9" hidden="1"/>
    <cellStyle name="Followed Hyperlink" xfId="290" builtinId="9" hidden="1"/>
    <cellStyle name="Followed Hyperlink" xfId="322" builtinId="9" hidden="1"/>
    <cellStyle name="Followed Hyperlink" xfId="354" builtinId="9" hidden="1"/>
    <cellStyle name="Followed Hyperlink" xfId="386" builtinId="9" hidden="1"/>
    <cellStyle name="Followed Hyperlink" xfId="418" builtinId="9" hidden="1"/>
    <cellStyle name="Followed Hyperlink" xfId="450" builtinId="9" hidden="1"/>
    <cellStyle name="Followed Hyperlink" xfId="482" builtinId="9" hidden="1"/>
    <cellStyle name="Followed Hyperlink" xfId="514" builtinId="9" hidden="1"/>
    <cellStyle name="Followed Hyperlink" xfId="484" builtinId="9" hidden="1"/>
    <cellStyle name="Followed Hyperlink" xfId="452" builtinId="9" hidden="1"/>
    <cellStyle name="Followed Hyperlink" xfId="420" builtinId="9" hidden="1"/>
    <cellStyle name="Followed Hyperlink" xfId="388" builtinId="9" hidden="1"/>
    <cellStyle name="Followed Hyperlink" xfId="356" builtinId="9" hidden="1"/>
    <cellStyle name="Followed Hyperlink" xfId="324" builtinId="9" hidden="1"/>
    <cellStyle name="Followed Hyperlink" xfId="292" builtinId="9" hidden="1"/>
    <cellStyle name="Followed Hyperlink" xfId="260" builtinId="9" hidden="1"/>
    <cellStyle name="Followed Hyperlink" xfId="228" builtinId="9" hidden="1"/>
    <cellStyle name="Followed Hyperlink" xfId="196" builtinId="9" hidden="1"/>
    <cellStyle name="Followed Hyperlink" xfId="128" builtinId="9" hidden="1"/>
    <cellStyle name="Followed Hyperlink" xfId="148" builtinId="9" hidden="1"/>
    <cellStyle name="Followed Hyperlink" xfId="168" builtinId="9" hidden="1"/>
    <cellStyle name="Followed Hyperlink" xfId="192" builtinId="9" hidden="1"/>
    <cellStyle name="Followed Hyperlink" xfId="140" builtinId="9" hidden="1"/>
    <cellStyle name="Followed Hyperlink" xfId="88" builtinId="9" hidden="1"/>
    <cellStyle name="Followed Hyperlink" xfId="92" builtinId="9" hidden="1"/>
    <cellStyle name="Followed Hyperlink" xfId="68" builtinId="9" hidden="1"/>
    <cellStyle name="Followed Hyperlink" xfId="76" builtinId="9" hidden="1"/>
    <cellStyle name="Followed Hyperlink" xfId="96" builtinId="9" hidden="1"/>
    <cellStyle name="Followed Hyperlink" xfId="124" builtinId="9" hidden="1"/>
    <cellStyle name="Followed Hyperlink" xfId="188" builtinId="9" hidden="1"/>
    <cellStyle name="Followed Hyperlink" xfId="176" builtinId="9" hidden="1"/>
    <cellStyle name="Followed Hyperlink" xfId="152" builtinId="9" hidden="1"/>
    <cellStyle name="Followed Hyperlink" xfId="132" builtinId="9" hidden="1"/>
    <cellStyle name="Followed Hyperlink" xfId="112" builtinId="9" hidden="1"/>
    <cellStyle name="Followed Hyperlink" xfId="220" builtinId="9" hidden="1"/>
    <cellStyle name="Followed Hyperlink" xfId="252" builtinId="9" hidden="1"/>
    <cellStyle name="Followed Hyperlink" xfId="284" builtinId="9" hidden="1"/>
    <cellStyle name="Followed Hyperlink" xfId="316" builtinId="9" hidden="1"/>
    <cellStyle name="Followed Hyperlink" xfId="348" builtinId="9" hidden="1"/>
    <cellStyle name="Followed Hyperlink" xfId="380" builtinId="9" hidden="1"/>
    <cellStyle name="Followed Hyperlink" xfId="412" builtinId="9" hidden="1"/>
    <cellStyle name="Followed Hyperlink" xfId="444" builtinId="9" hidden="1"/>
    <cellStyle name="Followed Hyperlink" xfId="476" builtinId="9" hidden="1"/>
    <cellStyle name="Followed Hyperlink" xfId="508" builtinId="9" hidden="1"/>
    <cellStyle name="Followed Hyperlink" xfId="490" builtinId="9" hidden="1"/>
    <cellStyle name="Followed Hyperlink" xfId="458" builtinId="9" hidden="1"/>
    <cellStyle name="Followed Hyperlink" xfId="426" builtinId="9" hidden="1"/>
    <cellStyle name="Followed Hyperlink" xfId="394" builtinId="9" hidden="1"/>
    <cellStyle name="Followed Hyperlink" xfId="362" builtinId="9" hidden="1"/>
    <cellStyle name="Followed Hyperlink" xfId="330" builtinId="9" hidden="1"/>
    <cellStyle name="Followed Hyperlink" xfId="298" builtinId="9" hidden="1"/>
    <cellStyle name="Followed Hyperlink" xfId="266" builtinId="9" hidden="1"/>
    <cellStyle name="Followed Hyperlink" xfId="234" builtinId="9" hidden="1"/>
    <cellStyle name="Followed Hyperlink" xfId="202" builtinId="9" hidden="1"/>
    <cellStyle name="Followed Hyperlink" xfId="170" builtinId="9" hidden="1"/>
    <cellStyle name="Followed Hyperlink" xfId="138" builtinId="9" hidden="1"/>
    <cellStyle name="Followed Hyperlink" xfId="106" builtinId="9" hidden="1"/>
    <cellStyle name="Followed Hyperlink" xfId="74" builtinId="9" hidden="1"/>
    <cellStyle name="Followed Hyperlink" xfId="36" builtinId="9" hidden="1"/>
    <cellStyle name="Followed Hyperlink" xfId="58" builtinId="9" hidden="1"/>
    <cellStyle name="Followed Hyperlink" xfId="22" builtinId="9" hidden="1"/>
    <cellStyle name="Followed Hyperlink" xfId="8" builtinId="9" hidden="1"/>
    <cellStyle name="Followed Hyperlink" xfId="20" builtinId="9" hidden="1"/>
    <cellStyle name="Followed Hyperlink" xfId="46" builtinId="9" hidden="1"/>
    <cellStyle name="Followed Hyperlink" xfId="50" builtinId="9" hidden="1"/>
    <cellStyle name="Followed Hyperlink" xfId="28" builtinId="9" hidden="1"/>
    <cellStyle name="Followed Hyperlink" xfId="390" builtinId="9" hidden="1"/>
    <cellStyle name="Followed Hyperlink" xfId="374" builtinId="9" hidden="1"/>
    <cellStyle name="Followed Hyperlink" xfId="358" builtinId="9" hidden="1"/>
    <cellStyle name="Followed Hyperlink" xfId="326" builtinId="9" hidden="1"/>
    <cellStyle name="Followed Hyperlink" xfId="310" builtinId="9" hidden="1"/>
    <cellStyle name="Followed Hyperlink" xfId="294" builtinId="9" hidden="1"/>
    <cellStyle name="Followed Hyperlink" xfId="262" builtinId="9" hidden="1"/>
    <cellStyle name="Followed Hyperlink" xfId="246" builtinId="9" hidden="1"/>
    <cellStyle name="Followed Hyperlink" xfId="230" builtinId="9" hidden="1"/>
    <cellStyle name="Followed Hyperlink" xfId="198" builtinId="9" hidden="1"/>
    <cellStyle name="Followed Hyperlink" xfId="182" builtinId="9" hidden="1"/>
    <cellStyle name="Followed Hyperlink" xfId="166" builtinId="9" hidden="1"/>
    <cellStyle name="Followed Hyperlink" xfId="134" builtinId="9" hidden="1"/>
    <cellStyle name="Followed Hyperlink" xfId="118" builtinId="9" hidden="1"/>
    <cellStyle name="Followed Hyperlink" xfId="102" builtinId="9" hidden="1"/>
    <cellStyle name="Followed Hyperlink" xfId="70" builtinId="9" hidden="1"/>
    <cellStyle name="Followed Hyperlink" xfId="86" builtinId="9" hidden="1"/>
    <cellStyle name="Followed Hyperlink" xfId="150" builtinId="9" hidden="1"/>
    <cellStyle name="Followed Hyperlink" xfId="214" builtinId="9" hidden="1"/>
    <cellStyle name="Followed Hyperlink" xfId="278" builtinId="9" hidden="1"/>
    <cellStyle name="Followed Hyperlink" xfId="342" builtinId="9" hidden="1"/>
    <cellStyle name="Followed Hyperlink" xfId="406" builtinId="9" hidden="1"/>
    <cellStyle name="Followed Hyperlink" xfId="502" builtinId="9" hidden="1"/>
    <cellStyle name="Followed Hyperlink" xfId="486" builtinId="9" hidden="1"/>
    <cellStyle name="Followed Hyperlink" xfId="454" builtinId="9" hidden="1"/>
    <cellStyle name="Followed Hyperlink" xfId="438" builtinId="9" hidden="1"/>
    <cellStyle name="Followed Hyperlink" xfId="422" builtinId="9" hidden="1"/>
    <cellStyle name="Followed Hyperlink" xfId="470" builtinId="9" hidden="1"/>
    <cellStyle name="Followed Hyperlink" xfId="496" builtinId="9" hidden="1"/>
    <cellStyle name="Followed Hyperlink" xfId="512" builtinId="9" hidden="1"/>
    <cellStyle name="Followed Hyperlink" xfId="480" builtinId="9" hidden="1"/>
    <cellStyle name="Followed Hyperlink" xfId="46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Followed Hyperlink" xfId="2110" builtinId="9" hidden="1"/>
    <cellStyle name="Followed Hyperlink" xfId="2112" builtinId="9" hidden="1"/>
    <cellStyle name="Followed Hyperlink" xfId="2114" builtinId="9" hidden="1"/>
    <cellStyle name="Followed Hyperlink" xfId="2116" builtinId="9" hidden="1"/>
    <cellStyle name="Followed Hyperlink" xfId="2118" builtinId="9" hidden="1"/>
    <cellStyle name="Followed Hyperlink" xfId="2120" builtinId="9" hidden="1"/>
    <cellStyle name="Followed Hyperlink" xfId="2122" builtinId="9" hidden="1"/>
    <cellStyle name="Followed Hyperlink" xfId="2124" builtinId="9" hidden="1"/>
    <cellStyle name="Followed Hyperlink" xfId="2126" builtinId="9" hidden="1"/>
    <cellStyle name="Followed Hyperlink" xfId="2128" builtinId="9" hidden="1"/>
    <cellStyle name="Followed Hyperlink" xfId="2130" builtinId="9" hidden="1"/>
    <cellStyle name="Followed Hyperlink" xfId="2132" builtinId="9" hidden="1"/>
    <cellStyle name="Followed Hyperlink" xfId="2134" builtinId="9" hidden="1"/>
    <cellStyle name="Followed Hyperlink" xfId="2136" builtinId="9" hidden="1"/>
    <cellStyle name="Followed Hyperlink" xfId="2138" builtinId="9" hidden="1"/>
    <cellStyle name="Followed Hyperlink" xfId="2140" builtinId="9" hidden="1"/>
    <cellStyle name="Followed Hyperlink" xfId="2142" builtinId="9" hidden="1"/>
    <cellStyle name="Followed Hyperlink" xfId="2144" builtinId="9" hidden="1"/>
    <cellStyle name="Followed Hyperlink" xfId="2146" builtinId="9" hidden="1"/>
    <cellStyle name="Followed Hyperlink" xfId="2148" builtinId="9" hidden="1"/>
    <cellStyle name="Followed Hyperlink" xfId="2150" builtinId="9" hidden="1"/>
    <cellStyle name="Followed Hyperlink" xfId="2152" builtinId="9" hidden="1"/>
    <cellStyle name="Followed Hyperlink" xfId="2154" builtinId="9" hidden="1"/>
    <cellStyle name="Followed Hyperlink" xfId="2156" builtinId="9" hidden="1"/>
    <cellStyle name="Followed Hyperlink" xfId="2158" builtinId="9" hidden="1"/>
    <cellStyle name="Followed Hyperlink" xfId="2160" builtinId="9" hidden="1"/>
    <cellStyle name="Followed Hyperlink" xfId="2162" builtinId="9" hidden="1"/>
    <cellStyle name="Followed Hyperlink" xfId="2164" builtinId="9" hidden="1"/>
    <cellStyle name="Followed Hyperlink" xfId="2166" builtinId="9" hidden="1"/>
    <cellStyle name="Followed Hyperlink" xfId="2168" builtinId="9" hidden="1"/>
    <cellStyle name="Followed Hyperlink" xfId="2170" builtinId="9" hidden="1"/>
    <cellStyle name="Followed Hyperlink" xfId="2172" builtinId="9" hidden="1"/>
    <cellStyle name="Followed Hyperlink" xfId="2174" builtinId="9" hidden="1"/>
    <cellStyle name="Followed Hyperlink" xfId="2176" builtinId="9" hidden="1"/>
    <cellStyle name="Followed Hyperlink" xfId="2178" builtinId="9" hidden="1"/>
    <cellStyle name="Followed Hyperlink" xfId="2180" builtinId="9" hidden="1"/>
    <cellStyle name="Followed Hyperlink" xfId="2182" builtinId="9" hidden="1"/>
    <cellStyle name="Followed Hyperlink" xfId="2184" builtinId="9" hidden="1"/>
    <cellStyle name="Followed Hyperlink" xfId="2186" builtinId="9" hidden="1"/>
    <cellStyle name="Followed Hyperlink" xfId="2188" builtinId="9" hidden="1"/>
    <cellStyle name="Followed Hyperlink" xfId="2190" builtinId="9" hidden="1"/>
    <cellStyle name="Followed Hyperlink" xfId="2192" builtinId="9" hidden="1"/>
    <cellStyle name="Followed Hyperlink" xfId="2194" builtinId="9" hidden="1"/>
    <cellStyle name="Followed Hyperlink" xfId="2196" builtinId="9" hidden="1"/>
    <cellStyle name="Followed Hyperlink" xfId="2198" builtinId="9" hidden="1"/>
    <cellStyle name="Followed Hyperlink" xfId="2200" builtinId="9" hidden="1"/>
    <cellStyle name="Followed Hyperlink" xfId="2202" builtinId="9" hidden="1"/>
    <cellStyle name="Followed Hyperlink" xfId="2204" builtinId="9" hidden="1"/>
    <cellStyle name="Followed Hyperlink" xfId="2206" builtinId="9" hidden="1"/>
    <cellStyle name="Followed Hyperlink" xfId="2208" builtinId="9" hidden="1"/>
    <cellStyle name="Followed Hyperlink" xfId="2210" builtinId="9" hidden="1"/>
    <cellStyle name="Followed Hyperlink" xfId="2212" builtinId="9" hidden="1"/>
    <cellStyle name="Followed Hyperlink" xfId="2214" builtinId="9" hidden="1"/>
    <cellStyle name="Followed Hyperlink" xfId="2216" builtinId="9" hidden="1"/>
    <cellStyle name="Followed Hyperlink" xfId="2218" builtinId="9" hidden="1"/>
    <cellStyle name="Followed Hyperlink" xfId="2220" builtinId="9" hidden="1"/>
    <cellStyle name="Followed Hyperlink" xfId="2222" builtinId="9" hidden="1"/>
    <cellStyle name="Followed Hyperlink" xfId="2224" builtinId="9" hidden="1"/>
    <cellStyle name="Followed Hyperlink" xfId="2226" builtinId="9" hidden="1"/>
    <cellStyle name="Followed Hyperlink" xfId="2228" builtinId="9" hidden="1"/>
    <cellStyle name="Followed Hyperlink" xfId="2230" builtinId="9" hidden="1"/>
    <cellStyle name="Followed Hyperlink" xfId="2232" builtinId="9" hidden="1"/>
    <cellStyle name="Followed Hyperlink" xfId="2234" builtinId="9" hidden="1"/>
    <cellStyle name="Followed Hyperlink" xfId="2236" builtinId="9" hidden="1"/>
    <cellStyle name="Followed Hyperlink" xfId="2238" builtinId="9" hidden="1"/>
    <cellStyle name="Followed Hyperlink" xfId="2240" builtinId="9" hidden="1"/>
    <cellStyle name="Followed Hyperlink" xfId="2242" builtinId="9" hidden="1"/>
    <cellStyle name="Followed Hyperlink" xfId="2244" builtinId="9" hidden="1"/>
    <cellStyle name="Followed Hyperlink" xfId="2246" builtinId="9" hidden="1"/>
    <cellStyle name="Followed Hyperlink" xfId="2248" builtinId="9" hidden="1"/>
    <cellStyle name="Followed Hyperlink" xfId="2250" builtinId="9" hidden="1"/>
    <cellStyle name="Followed Hyperlink" xfId="2252" builtinId="9" hidden="1"/>
    <cellStyle name="Followed Hyperlink" xfId="2254" builtinId="9" hidden="1"/>
    <cellStyle name="Followed Hyperlink" xfId="2256" builtinId="9" hidden="1"/>
    <cellStyle name="Followed Hyperlink" xfId="2258" builtinId="9" hidden="1"/>
    <cellStyle name="Followed Hyperlink" xfId="2260" builtinId="9" hidden="1"/>
    <cellStyle name="Followed Hyperlink" xfId="2262" builtinId="9" hidden="1"/>
    <cellStyle name="Followed Hyperlink" xfId="2264" builtinId="9" hidden="1"/>
    <cellStyle name="Followed Hyperlink" xfId="2266" builtinId="9" hidden="1"/>
    <cellStyle name="Followed Hyperlink" xfId="2267" builtinId="9" hidden="1"/>
    <cellStyle name="Followed Hyperlink" xfId="2268" builtinId="9" hidden="1"/>
    <cellStyle name="Followed Hyperlink" xfId="2270" builtinId="9" hidden="1"/>
    <cellStyle name="Followed Hyperlink" xfId="2272" builtinId="9" hidden="1"/>
    <cellStyle name="Followed Hyperlink" xfId="2274" builtinId="9" hidden="1"/>
    <cellStyle name="Followed Hyperlink" xfId="2276" builtinId="9" hidden="1"/>
    <cellStyle name="Followed Hyperlink" xfId="2278" builtinId="9" hidden="1"/>
    <cellStyle name="Followed Hyperlink" xfId="2280" builtinId="9" hidden="1"/>
    <cellStyle name="Followed Hyperlink" xfId="2282" builtinId="9" hidden="1"/>
    <cellStyle name="Followed Hyperlink" xfId="2284" builtinId="9" hidden="1"/>
    <cellStyle name="Followed Hyperlink" xfId="2286" builtinId="9" hidden="1"/>
    <cellStyle name="Followed Hyperlink" xfId="2288" builtinId="9" hidden="1"/>
    <cellStyle name="Followed Hyperlink" xfId="2290" builtinId="9" hidden="1"/>
    <cellStyle name="Followed Hyperlink" xfId="2292" builtinId="9" hidden="1"/>
    <cellStyle name="Followed Hyperlink" xfId="2294" builtinId="9" hidden="1"/>
    <cellStyle name="Followed Hyperlink" xfId="2296" builtinId="9" hidden="1"/>
    <cellStyle name="Followed Hyperlink" xfId="2298" builtinId="9" hidden="1"/>
    <cellStyle name="Followed Hyperlink" xfId="2300" builtinId="9" hidden="1"/>
    <cellStyle name="Followed Hyperlink" xfId="2302" builtinId="9" hidden="1"/>
    <cellStyle name="Followed Hyperlink" xfId="2304" builtinId="9" hidden="1"/>
    <cellStyle name="Followed Hyperlink" xfId="2306" builtinId="9" hidden="1"/>
    <cellStyle name="Followed Hyperlink" xfId="2308" builtinId="9" hidden="1"/>
    <cellStyle name="Followed Hyperlink" xfId="2310" builtinId="9" hidden="1"/>
    <cellStyle name="Followed Hyperlink" xfId="2312" builtinId="9" hidden="1"/>
    <cellStyle name="Followed Hyperlink" xfId="2314" builtinId="9" hidden="1"/>
    <cellStyle name="Followed Hyperlink" xfId="2316" builtinId="9" hidden="1"/>
    <cellStyle name="Followed Hyperlink" xfId="2318" builtinId="9" hidden="1"/>
    <cellStyle name="Followed Hyperlink" xfId="2320" builtinId="9" hidden="1"/>
    <cellStyle name="Followed Hyperlink" xfId="2322" builtinId="9" hidden="1"/>
    <cellStyle name="Followed Hyperlink" xfId="2324" builtinId="9" hidden="1"/>
    <cellStyle name="Followed Hyperlink" xfId="2326" builtinId="9" hidden="1"/>
    <cellStyle name="Followed Hyperlink" xfId="2328" builtinId="9" hidden="1"/>
    <cellStyle name="Followed Hyperlink" xfId="2330" builtinId="9" hidden="1"/>
    <cellStyle name="Followed Hyperlink" xfId="2332" builtinId="9" hidden="1"/>
    <cellStyle name="Followed Hyperlink" xfId="2334" builtinId="9" hidden="1"/>
    <cellStyle name="Followed Hyperlink" xfId="2336" builtinId="9" hidden="1"/>
    <cellStyle name="Followed Hyperlink" xfId="2338" builtinId="9" hidden="1"/>
    <cellStyle name="Followed Hyperlink" xfId="2340" builtinId="9" hidden="1"/>
    <cellStyle name="Followed Hyperlink" xfId="2342" builtinId="9" hidden="1"/>
    <cellStyle name="Followed Hyperlink" xfId="2344" builtinId="9" hidden="1"/>
    <cellStyle name="Followed Hyperlink" xfId="2346" builtinId="9" hidden="1"/>
    <cellStyle name="Followed Hyperlink" xfId="2348" builtinId="9" hidden="1"/>
    <cellStyle name="Followed Hyperlink" xfId="2350" builtinId="9" hidden="1"/>
    <cellStyle name="Followed Hyperlink" xfId="2352" builtinId="9" hidden="1"/>
    <cellStyle name="Followed Hyperlink" xfId="2354" builtinId="9" hidden="1"/>
    <cellStyle name="Followed Hyperlink" xfId="2356" builtinId="9" hidden="1"/>
    <cellStyle name="Followed Hyperlink" xfId="2358" builtinId="9" hidden="1"/>
    <cellStyle name="Followed Hyperlink" xfId="2360" builtinId="9" hidden="1"/>
    <cellStyle name="Followed Hyperlink" xfId="2362" builtinId="9" hidden="1"/>
    <cellStyle name="Followed Hyperlink" xfId="2364" builtinId="9" hidden="1"/>
    <cellStyle name="Followed Hyperlink" xfId="2366" builtinId="9" hidden="1"/>
    <cellStyle name="Followed Hyperlink" xfId="2368" builtinId="9" hidden="1"/>
    <cellStyle name="Followed Hyperlink" xfId="2370" builtinId="9" hidden="1"/>
    <cellStyle name="Followed Hyperlink" xfId="2372" builtinId="9" hidden="1"/>
    <cellStyle name="Followed Hyperlink" xfId="2374" builtinId="9" hidden="1"/>
    <cellStyle name="Followed Hyperlink" xfId="2376" builtinId="9" hidden="1"/>
    <cellStyle name="Followed Hyperlink" xfId="2378" builtinId="9" hidden="1"/>
    <cellStyle name="Followed Hyperlink" xfId="2380" builtinId="9" hidden="1"/>
    <cellStyle name="Followed Hyperlink" xfId="2382" builtinId="9" hidden="1"/>
    <cellStyle name="Followed Hyperlink" xfId="2384" builtinId="9" hidden="1"/>
    <cellStyle name="Followed Hyperlink" xfId="2386" builtinId="9" hidden="1"/>
    <cellStyle name="Followed Hyperlink" xfId="2388" builtinId="9" hidden="1"/>
    <cellStyle name="Followed Hyperlink" xfId="2390" builtinId="9" hidden="1"/>
    <cellStyle name="Followed Hyperlink" xfId="2392" builtinId="9" hidden="1"/>
    <cellStyle name="Followed Hyperlink" xfId="2394" builtinId="9" hidden="1"/>
    <cellStyle name="Followed Hyperlink" xfId="2396" builtinId="9" hidden="1"/>
    <cellStyle name="Followed Hyperlink" xfId="2398" builtinId="9" hidden="1"/>
    <cellStyle name="Followed Hyperlink" xfId="2400" builtinId="9" hidden="1"/>
    <cellStyle name="Followed Hyperlink" xfId="2402" builtinId="9" hidden="1"/>
    <cellStyle name="Followed Hyperlink" xfId="2404" builtinId="9" hidden="1"/>
    <cellStyle name="Followed Hyperlink" xfId="2406" builtinId="9" hidden="1"/>
    <cellStyle name="Followed Hyperlink" xfId="2408" builtinId="9" hidden="1"/>
    <cellStyle name="Followed Hyperlink" xfId="2410" builtinId="9" hidden="1"/>
    <cellStyle name="Followed Hyperlink" xfId="2412" builtinId="9" hidden="1"/>
    <cellStyle name="Followed Hyperlink" xfId="2414" builtinId="9" hidden="1"/>
    <cellStyle name="Followed Hyperlink" xfId="2416" builtinId="9" hidden="1"/>
    <cellStyle name="Followed Hyperlink" xfId="2418" builtinId="9" hidden="1"/>
    <cellStyle name="Followed Hyperlink" xfId="2420" builtinId="9" hidden="1"/>
    <cellStyle name="Followed Hyperlink" xfId="2422" builtinId="9" hidden="1"/>
    <cellStyle name="Followed Hyperlink" xfId="2424" builtinId="9" hidden="1"/>
    <cellStyle name="Followed Hyperlink" xfId="2426" builtinId="9" hidden="1"/>
    <cellStyle name="Followed Hyperlink" xfId="2428" builtinId="9" hidden="1"/>
    <cellStyle name="Followed Hyperlink" xfId="2430" builtinId="9" hidden="1"/>
    <cellStyle name="Followed Hyperlink" xfId="2432" builtinId="9" hidden="1"/>
    <cellStyle name="Followed Hyperlink" xfId="2434" builtinId="9" hidden="1"/>
    <cellStyle name="Followed Hyperlink" xfId="2436" builtinId="9" hidden="1"/>
    <cellStyle name="Followed Hyperlink" xfId="2438" builtinId="9" hidden="1"/>
    <cellStyle name="Followed Hyperlink" xfId="2440" builtinId="9" hidden="1"/>
    <cellStyle name="Followed Hyperlink" xfId="2442" builtinId="9" hidden="1"/>
    <cellStyle name="Followed Hyperlink" xfId="2444" builtinId="9" hidden="1"/>
    <cellStyle name="Followed Hyperlink" xfId="2446" builtinId="9" hidden="1"/>
    <cellStyle name="Followed Hyperlink" xfId="2448" builtinId="9" hidden="1"/>
    <cellStyle name="Followed Hyperlink" xfId="2450" builtinId="9" hidden="1"/>
    <cellStyle name="Followed Hyperlink" xfId="2452" builtinId="9" hidden="1"/>
    <cellStyle name="Followed Hyperlink" xfId="2454" builtinId="9" hidden="1"/>
    <cellStyle name="Followed Hyperlink" xfId="2456" builtinId="9" hidden="1"/>
    <cellStyle name="Followed Hyperlink" xfId="2458" builtinId="9" hidden="1"/>
    <cellStyle name="Followed Hyperlink" xfId="2460" builtinId="9" hidden="1"/>
    <cellStyle name="Followed Hyperlink" xfId="2462" builtinId="9" hidden="1"/>
    <cellStyle name="Followed Hyperlink" xfId="2464" builtinId="9" hidden="1"/>
    <cellStyle name="Followed Hyperlink" xfId="2466" builtinId="9" hidden="1"/>
    <cellStyle name="Followed Hyperlink" xfId="2468" builtinId="9" hidden="1"/>
    <cellStyle name="Followed Hyperlink" xfId="2470" builtinId="9" hidden="1"/>
    <cellStyle name="Followed Hyperlink" xfId="2472" builtinId="9" hidden="1"/>
    <cellStyle name="Followed Hyperlink" xfId="2474" builtinId="9" hidden="1"/>
    <cellStyle name="Followed Hyperlink" xfId="2476" builtinId="9" hidden="1"/>
    <cellStyle name="Followed Hyperlink" xfId="2478" builtinId="9" hidden="1"/>
    <cellStyle name="Followed Hyperlink" xfId="2480" builtinId="9" hidden="1"/>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Followed Hyperlink" xfId="3444" builtinId="9" hidden="1"/>
    <cellStyle name="Followed Hyperlink" xfId="3446" builtinId="9" hidden="1"/>
    <cellStyle name="Followed Hyperlink" xfId="3448"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60"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2" builtinId="9" hidden="1"/>
    <cellStyle name="Followed Hyperlink" xfId="3474" builtinId="9" hidden="1"/>
    <cellStyle name="Followed Hyperlink" xfId="3476" builtinId="9" hidden="1"/>
    <cellStyle name="Followed Hyperlink" xfId="3478" builtinId="9" hidden="1"/>
    <cellStyle name="Followed Hyperlink" xfId="3480" builtinId="9" hidden="1"/>
    <cellStyle name="Followed Hyperlink" xfId="3482" builtinId="9" hidden="1"/>
    <cellStyle name="Followed Hyperlink" xfId="3484" builtinId="9" hidden="1"/>
    <cellStyle name="Followed Hyperlink" xfId="3486" builtinId="9" hidden="1"/>
    <cellStyle name="Followed Hyperlink" xfId="3488" builtinId="9" hidden="1"/>
    <cellStyle name="Followed Hyperlink" xfId="3490" builtinId="9" hidden="1"/>
    <cellStyle name="Followed Hyperlink" xfId="3492" builtinId="9" hidden="1"/>
    <cellStyle name="Followed Hyperlink" xfId="3494" builtinId="9" hidden="1"/>
    <cellStyle name="Followed Hyperlink" xfId="3496" builtinId="9" hidden="1"/>
    <cellStyle name="Followed Hyperlink" xfId="3498" builtinId="9" hidden="1"/>
    <cellStyle name="Followed Hyperlink" xfId="3500" builtinId="9" hidden="1"/>
    <cellStyle name="Followed Hyperlink" xfId="3502" builtinId="9" hidden="1"/>
    <cellStyle name="Followed Hyperlink" xfId="3504" builtinId="9" hidden="1"/>
    <cellStyle name="Followed Hyperlink" xfId="3506" builtinId="9" hidden="1"/>
    <cellStyle name="Followed Hyperlink" xfId="3508" builtinId="9" hidden="1"/>
    <cellStyle name="Followed Hyperlink" xfId="3510" builtinId="9" hidden="1"/>
    <cellStyle name="Followed Hyperlink" xfId="3512" builtinId="9" hidden="1"/>
    <cellStyle name="Followed Hyperlink" xfId="3514" builtinId="9" hidden="1"/>
    <cellStyle name="Followed Hyperlink" xfId="3516" builtinId="9" hidden="1"/>
    <cellStyle name="Followed Hyperlink" xfId="3518" builtinId="9" hidden="1"/>
    <cellStyle name="Followed Hyperlink" xfId="3520" builtinId="9" hidden="1"/>
    <cellStyle name="Followed Hyperlink" xfId="3522" builtinId="9" hidden="1"/>
    <cellStyle name="Followed Hyperlink" xfId="3524" builtinId="9" hidden="1"/>
    <cellStyle name="Followed Hyperlink" xfId="3526" builtinId="9" hidden="1"/>
    <cellStyle name="Followed Hyperlink" xfId="3528" builtinId="9" hidden="1"/>
    <cellStyle name="Followed Hyperlink" xfId="3530" builtinId="9" hidden="1"/>
    <cellStyle name="Followed Hyperlink" xfId="3532" builtinId="9" hidden="1"/>
    <cellStyle name="Followed Hyperlink" xfId="3534" builtinId="9" hidden="1"/>
    <cellStyle name="Followed Hyperlink" xfId="3536" builtinId="9" hidden="1"/>
    <cellStyle name="Followed Hyperlink" xfId="3538" builtinId="9" hidden="1"/>
    <cellStyle name="Followed Hyperlink" xfId="3540" builtinId="9" hidden="1"/>
    <cellStyle name="Followed Hyperlink" xfId="3542" builtinId="9" hidden="1"/>
    <cellStyle name="Followed Hyperlink" xfId="3544" builtinId="9" hidden="1"/>
    <cellStyle name="Followed Hyperlink" xfId="3546" builtinId="9" hidden="1"/>
    <cellStyle name="Followed Hyperlink" xfId="3548" builtinId="9" hidden="1"/>
    <cellStyle name="Followed Hyperlink" xfId="3550" builtinId="9" hidden="1"/>
    <cellStyle name="Followed Hyperlink" xfId="3552" builtinId="9" hidden="1"/>
    <cellStyle name="Followed Hyperlink" xfId="3554" builtinId="9" hidden="1"/>
    <cellStyle name="Followed Hyperlink" xfId="3556" builtinId="9" hidden="1"/>
    <cellStyle name="Followed Hyperlink" xfId="3558" builtinId="9" hidden="1"/>
    <cellStyle name="Followed Hyperlink" xfId="3560" builtinId="9" hidden="1"/>
    <cellStyle name="Followed Hyperlink" xfId="3562" builtinId="9" hidden="1"/>
    <cellStyle name="Followed Hyperlink" xfId="3564" builtinId="9" hidden="1"/>
    <cellStyle name="Followed Hyperlink" xfId="3566" builtinId="9" hidden="1"/>
    <cellStyle name="Followed Hyperlink" xfId="3568" builtinId="9" hidden="1"/>
    <cellStyle name="Followed Hyperlink" xfId="3570" builtinId="9" hidden="1"/>
    <cellStyle name="Followed Hyperlink" xfId="3572" builtinId="9" hidden="1"/>
    <cellStyle name="Followed Hyperlink" xfId="3574" builtinId="9" hidden="1"/>
    <cellStyle name="Followed Hyperlink" xfId="3576" builtinId="9" hidden="1"/>
    <cellStyle name="Followed Hyperlink" xfId="3578" builtinId="9" hidden="1"/>
    <cellStyle name="Followed Hyperlink" xfId="3580" builtinId="9" hidden="1"/>
    <cellStyle name="Followed Hyperlink" xfId="3582" builtinId="9" hidden="1"/>
    <cellStyle name="Followed Hyperlink" xfId="3584" builtinId="9" hidden="1"/>
    <cellStyle name="Followed Hyperlink" xfId="3586" builtinId="9" hidden="1"/>
    <cellStyle name="Followed Hyperlink" xfId="3588" builtinId="9" hidden="1"/>
    <cellStyle name="Followed Hyperlink" xfId="3590" builtinId="9" hidden="1"/>
    <cellStyle name="Followed Hyperlink" xfId="3592" builtinId="9" hidden="1"/>
    <cellStyle name="Followed Hyperlink" xfId="3594" builtinId="9" hidden="1"/>
    <cellStyle name="Followed Hyperlink" xfId="3596" builtinId="9" hidden="1"/>
    <cellStyle name="Followed Hyperlink" xfId="3598" builtinId="9" hidden="1"/>
    <cellStyle name="Followed Hyperlink" xfId="3600" builtinId="9" hidden="1"/>
    <cellStyle name="Followed Hyperlink" xfId="3602" builtinId="9" hidden="1"/>
    <cellStyle name="Followed Hyperlink" xfId="3604" builtinId="9" hidden="1"/>
    <cellStyle name="Followed Hyperlink" xfId="3606" builtinId="9" hidden="1"/>
    <cellStyle name="Followed Hyperlink" xfId="3608" builtinId="9" hidden="1"/>
    <cellStyle name="Followed Hyperlink" xfId="3610" builtinId="9" hidden="1"/>
    <cellStyle name="Followed Hyperlink" xfId="3612" builtinId="9" hidden="1"/>
    <cellStyle name="Followed Hyperlink" xfId="3614" builtinId="9" hidden="1"/>
    <cellStyle name="Followed Hyperlink" xfId="3616" builtinId="9" hidden="1"/>
    <cellStyle name="Followed Hyperlink" xfId="3618" builtinId="9" hidden="1"/>
    <cellStyle name="Followed Hyperlink" xfId="3620" builtinId="9" hidden="1"/>
    <cellStyle name="Followed Hyperlink" xfId="3622" builtinId="9" hidden="1"/>
    <cellStyle name="Followed Hyperlink" xfId="3624" builtinId="9" hidden="1"/>
    <cellStyle name="Followed Hyperlink" xfId="3626" builtinId="9" hidden="1"/>
    <cellStyle name="Followed Hyperlink" xfId="3628" builtinId="9" hidden="1"/>
    <cellStyle name="Followed Hyperlink" xfId="3630" builtinId="9" hidden="1"/>
    <cellStyle name="Followed Hyperlink" xfId="3632" builtinId="9" hidden="1"/>
    <cellStyle name="Followed Hyperlink" xfId="3634" builtinId="9" hidden="1"/>
    <cellStyle name="Followed Hyperlink" xfId="3636" builtinId="9" hidden="1"/>
    <cellStyle name="Followed Hyperlink" xfId="3638" builtinId="9" hidden="1"/>
    <cellStyle name="Followed Hyperlink" xfId="3640" builtinId="9" hidden="1"/>
    <cellStyle name="Followed Hyperlink" xfId="3642" builtinId="9" hidden="1"/>
    <cellStyle name="Followed Hyperlink" xfId="3644" builtinId="9" hidden="1"/>
    <cellStyle name="Followed Hyperlink" xfId="3646" builtinId="9" hidden="1"/>
    <cellStyle name="Followed Hyperlink" xfId="3648" builtinId="9" hidden="1"/>
    <cellStyle name="Followed Hyperlink" xfId="3650" builtinId="9" hidden="1"/>
    <cellStyle name="Followed Hyperlink" xfId="3652" builtinId="9" hidden="1"/>
    <cellStyle name="Followed Hyperlink" xfId="3654" builtinId="9" hidden="1"/>
    <cellStyle name="Followed Hyperlink" xfId="3656" builtinId="9" hidden="1"/>
    <cellStyle name="Followed Hyperlink" xfId="3658" builtinId="9" hidden="1"/>
    <cellStyle name="Followed Hyperlink" xfId="3660" builtinId="9" hidden="1"/>
    <cellStyle name="Followed Hyperlink" xfId="3662" builtinId="9" hidden="1"/>
    <cellStyle name="Followed Hyperlink" xfId="3664" builtinId="9" hidden="1"/>
    <cellStyle name="Followed Hyperlink" xfId="3666" builtinId="9" hidden="1"/>
    <cellStyle name="Followed Hyperlink" xfId="3668" builtinId="9" hidden="1"/>
    <cellStyle name="Followed Hyperlink" xfId="3670" builtinId="9" hidden="1"/>
    <cellStyle name="Followed Hyperlink" xfId="3672" builtinId="9" hidden="1"/>
    <cellStyle name="Followed Hyperlink" xfId="3674" builtinId="9" hidden="1"/>
    <cellStyle name="Followed Hyperlink" xfId="3676" builtinId="9" hidden="1"/>
    <cellStyle name="Followed Hyperlink" xfId="3678" builtinId="9" hidden="1"/>
    <cellStyle name="Followed Hyperlink" xfId="3680" builtinId="9" hidden="1"/>
    <cellStyle name="Followed Hyperlink" xfId="3682" builtinId="9" hidden="1"/>
    <cellStyle name="Followed Hyperlink" xfId="3684" builtinId="9" hidden="1"/>
    <cellStyle name="Followed Hyperlink" xfId="3686" builtinId="9" hidden="1"/>
    <cellStyle name="Followed Hyperlink" xfId="3688" builtinId="9" hidden="1"/>
    <cellStyle name="Followed Hyperlink" xfId="3690" builtinId="9" hidden="1"/>
    <cellStyle name="Followed Hyperlink" xfId="3692" builtinId="9" hidden="1"/>
    <cellStyle name="Followed Hyperlink" xfId="3694" builtinId="9" hidden="1"/>
    <cellStyle name="Followed Hyperlink" xfId="3696" builtinId="9" hidden="1"/>
    <cellStyle name="Followed Hyperlink" xfId="3698" builtinId="9" hidden="1"/>
    <cellStyle name="Followed Hyperlink" xfId="3700" builtinId="9" hidden="1"/>
    <cellStyle name="Followed Hyperlink" xfId="3702" builtinId="9" hidden="1"/>
    <cellStyle name="Followed Hyperlink" xfId="3704" builtinId="9" hidden="1"/>
    <cellStyle name="Followed Hyperlink" xfId="3706" builtinId="9" hidden="1"/>
    <cellStyle name="Followed Hyperlink" xfId="3708" builtinId="9" hidden="1"/>
    <cellStyle name="Followed Hyperlink" xfId="3710" builtinId="9" hidden="1"/>
    <cellStyle name="Followed Hyperlink" xfId="3712" builtinId="9" hidden="1"/>
    <cellStyle name="Followed Hyperlink" xfId="3714" builtinId="9" hidden="1"/>
    <cellStyle name="Followed Hyperlink" xfId="3716" builtinId="9" hidden="1"/>
    <cellStyle name="Followed Hyperlink" xfId="3718" builtinId="9" hidden="1"/>
    <cellStyle name="Followed Hyperlink" xfId="3720" builtinId="9" hidden="1"/>
    <cellStyle name="Followed Hyperlink" xfId="3722" builtinId="9" hidden="1"/>
    <cellStyle name="Followed Hyperlink" xfId="3724" builtinId="9" hidden="1"/>
    <cellStyle name="Followed Hyperlink" xfId="3726" builtinId="9" hidden="1"/>
    <cellStyle name="Followed Hyperlink" xfId="3728" builtinId="9" hidden="1"/>
    <cellStyle name="Followed Hyperlink" xfId="3730" builtinId="9" hidden="1"/>
    <cellStyle name="Followed Hyperlink" xfId="3732" builtinId="9" hidden="1"/>
    <cellStyle name="Followed Hyperlink" xfId="3734" builtinId="9" hidden="1"/>
    <cellStyle name="Followed Hyperlink" xfId="3736" builtinId="9" hidden="1"/>
    <cellStyle name="Followed Hyperlink" xfId="3738" builtinId="9" hidden="1"/>
    <cellStyle name="Followed Hyperlink" xfId="3740" builtinId="9" hidden="1"/>
    <cellStyle name="Followed Hyperlink" xfId="3742" builtinId="9" hidden="1"/>
    <cellStyle name="Followed Hyperlink" xfId="3744" builtinId="9" hidden="1"/>
    <cellStyle name="Followed Hyperlink" xfId="3746" builtinId="9" hidden="1"/>
    <cellStyle name="Followed Hyperlink" xfId="3748" builtinId="9" hidden="1"/>
    <cellStyle name="Followed Hyperlink" xfId="3750" builtinId="9" hidden="1"/>
    <cellStyle name="Followed Hyperlink" xfId="3752" builtinId="9" hidden="1"/>
    <cellStyle name="Followed Hyperlink" xfId="3754" builtinId="9" hidden="1"/>
    <cellStyle name="Followed Hyperlink" xfId="3756" builtinId="9" hidden="1"/>
    <cellStyle name="Followed Hyperlink" xfId="3758" builtinId="9" hidden="1"/>
    <cellStyle name="Followed Hyperlink" xfId="3760" builtinId="9" hidden="1"/>
    <cellStyle name="Followed Hyperlink" xfId="3762" builtinId="9" hidden="1"/>
    <cellStyle name="Followed Hyperlink" xfId="3764" builtinId="9" hidden="1"/>
    <cellStyle name="Followed Hyperlink" xfId="3766" builtinId="9" hidden="1"/>
    <cellStyle name="Followed Hyperlink" xfId="3768" builtinId="9" hidden="1"/>
    <cellStyle name="Followed Hyperlink" xfId="3770" builtinId="9" hidden="1"/>
    <cellStyle name="Followed Hyperlink" xfId="3772" builtinId="9" hidden="1"/>
    <cellStyle name="Followed Hyperlink" xfId="3774" builtinId="9" hidden="1"/>
    <cellStyle name="Followed Hyperlink" xfId="3776" builtinId="9" hidden="1"/>
    <cellStyle name="Followed Hyperlink" xfId="3778" builtinId="9" hidden="1"/>
    <cellStyle name="Followed Hyperlink" xfId="3780" builtinId="9" hidden="1"/>
    <cellStyle name="Followed Hyperlink" xfId="3782" builtinId="9" hidden="1"/>
    <cellStyle name="Followed Hyperlink" xfId="3784" builtinId="9" hidden="1"/>
    <cellStyle name="Followed Hyperlink" xfId="3786" builtinId="9" hidden="1"/>
    <cellStyle name="Followed Hyperlink" xfId="3788" builtinId="9" hidden="1"/>
    <cellStyle name="Followed Hyperlink" xfId="3790" builtinId="9" hidden="1"/>
    <cellStyle name="Followed Hyperlink" xfId="3792" builtinId="9" hidden="1"/>
    <cellStyle name="Followed Hyperlink" xfId="3794" builtinId="9" hidden="1"/>
    <cellStyle name="Followed Hyperlink" xfId="3796" builtinId="9" hidden="1"/>
    <cellStyle name="Followed Hyperlink" xfId="3798" builtinId="9" hidden="1"/>
    <cellStyle name="Followed Hyperlink" xfId="3800" builtinId="9" hidden="1"/>
    <cellStyle name="Followed Hyperlink" xfId="3802" builtinId="9" hidden="1"/>
    <cellStyle name="Followed Hyperlink" xfId="3804" builtinId="9" hidden="1"/>
    <cellStyle name="Followed Hyperlink" xfId="3806" builtinId="9" hidden="1"/>
    <cellStyle name="Followed Hyperlink" xfId="3808" builtinId="9" hidden="1"/>
    <cellStyle name="Followed Hyperlink" xfId="3810" builtinId="9" hidden="1"/>
    <cellStyle name="Followed Hyperlink" xfId="3812" builtinId="9" hidden="1"/>
    <cellStyle name="Followed Hyperlink" xfId="3814" builtinId="9" hidden="1"/>
    <cellStyle name="Followed Hyperlink" xfId="3816" builtinId="9" hidden="1"/>
    <cellStyle name="Followed Hyperlink" xfId="3818" builtinId="9" hidden="1"/>
    <cellStyle name="Followed Hyperlink" xfId="3820" builtinId="9" hidden="1"/>
    <cellStyle name="Followed Hyperlink" xfId="3822" builtinId="9" hidden="1"/>
    <cellStyle name="Followed Hyperlink" xfId="3824" builtinId="9" hidden="1"/>
    <cellStyle name="Followed Hyperlink" xfId="3826" builtinId="9" hidden="1"/>
    <cellStyle name="Followed Hyperlink" xfId="3828" builtinId="9" hidden="1"/>
    <cellStyle name="Followed Hyperlink" xfId="3830" builtinId="9" hidden="1"/>
    <cellStyle name="Followed Hyperlink" xfId="3832" builtinId="9" hidden="1"/>
    <cellStyle name="Followed Hyperlink" xfId="3834" builtinId="9" hidden="1"/>
    <cellStyle name="Followed Hyperlink" xfId="3836" builtinId="9" hidden="1"/>
    <cellStyle name="Followed Hyperlink" xfId="3838" builtinId="9" hidden="1"/>
    <cellStyle name="Followed Hyperlink" xfId="3840" builtinId="9" hidden="1"/>
    <cellStyle name="Followed Hyperlink" xfId="3842" builtinId="9" hidden="1"/>
    <cellStyle name="Followed Hyperlink" xfId="3844" builtinId="9" hidden="1"/>
    <cellStyle name="Followed Hyperlink" xfId="3846" builtinId="9" hidden="1"/>
    <cellStyle name="Followed Hyperlink" xfId="3848" builtinId="9" hidden="1"/>
    <cellStyle name="Followed Hyperlink" xfId="3850" builtinId="9" hidden="1"/>
    <cellStyle name="Followed Hyperlink" xfId="3852" builtinId="9" hidden="1"/>
    <cellStyle name="Followed Hyperlink" xfId="3854" builtinId="9" hidden="1"/>
    <cellStyle name="Followed Hyperlink" xfId="3856" builtinId="9" hidden="1"/>
    <cellStyle name="Followed Hyperlink" xfId="3858" builtinId="9" hidden="1"/>
    <cellStyle name="Followed Hyperlink" xfId="3860" builtinId="9" hidden="1"/>
    <cellStyle name="Followed Hyperlink" xfId="3862" builtinId="9" hidden="1"/>
    <cellStyle name="Followed Hyperlink" xfId="3864" builtinId="9" hidden="1"/>
    <cellStyle name="Followed Hyperlink" xfId="3866" builtinId="9" hidden="1"/>
    <cellStyle name="Followed Hyperlink" xfId="3868" builtinId="9" hidden="1"/>
    <cellStyle name="Followed Hyperlink" xfId="3870" builtinId="9" hidden="1"/>
    <cellStyle name="Followed Hyperlink" xfId="3872" builtinId="9" hidden="1"/>
    <cellStyle name="Followed Hyperlink" xfId="3874" builtinId="9" hidden="1"/>
    <cellStyle name="Followed Hyperlink" xfId="3876" builtinId="9" hidden="1"/>
    <cellStyle name="Followed Hyperlink" xfId="3878" builtinId="9" hidden="1"/>
    <cellStyle name="Followed Hyperlink" xfId="3880" builtinId="9" hidden="1"/>
    <cellStyle name="Followed Hyperlink" xfId="3882" builtinId="9" hidden="1"/>
    <cellStyle name="Followed Hyperlink" xfId="3884" builtinId="9" hidden="1"/>
    <cellStyle name="Followed Hyperlink" xfId="3886" builtinId="9" hidden="1"/>
    <cellStyle name="Followed Hyperlink" xfId="3888" builtinId="9" hidden="1"/>
    <cellStyle name="Followed Hyperlink" xfId="3890" builtinId="9" hidden="1"/>
    <cellStyle name="Followed Hyperlink" xfId="3892" builtinId="9" hidden="1"/>
    <cellStyle name="Followed Hyperlink" xfId="3894" builtinId="9" hidden="1"/>
    <cellStyle name="Followed Hyperlink" xfId="3896" builtinId="9" hidden="1"/>
    <cellStyle name="Followed Hyperlink" xfId="3898" builtinId="9" hidden="1"/>
    <cellStyle name="Followed Hyperlink" xfId="3900" builtinId="9" hidden="1"/>
    <cellStyle name="Followed Hyperlink" xfId="3902" builtinId="9" hidden="1"/>
    <cellStyle name="Followed Hyperlink" xfId="3904" builtinId="9" hidden="1"/>
    <cellStyle name="Followed Hyperlink" xfId="3906" builtinId="9" hidden="1"/>
    <cellStyle name="Followed Hyperlink" xfId="3908" builtinId="9" hidden="1"/>
    <cellStyle name="Followed Hyperlink" xfId="3910" builtinId="9" hidden="1"/>
    <cellStyle name="Followed Hyperlink" xfId="3912" builtinId="9" hidden="1"/>
    <cellStyle name="Followed Hyperlink" xfId="3914" builtinId="9" hidden="1"/>
    <cellStyle name="Followed Hyperlink" xfId="3916" builtinId="9" hidden="1"/>
    <cellStyle name="Followed Hyperlink" xfId="3918" builtinId="9" hidden="1"/>
    <cellStyle name="Followed Hyperlink" xfId="3920" builtinId="9" hidden="1"/>
    <cellStyle name="Followed Hyperlink" xfId="3922" builtinId="9" hidden="1"/>
    <cellStyle name="Followed Hyperlink" xfId="3924" builtinId="9" hidden="1"/>
    <cellStyle name="Followed Hyperlink" xfId="3926" builtinId="9" hidden="1"/>
    <cellStyle name="Followed Hyperlink" xfId="3928" builtinId="9" hidden="1"/>
    <cellStyle name="Followed Hyperlink" xfId="3930" builtinId="9" hidden="1"/>
    <cellStyle name="Followed Hyperlink" xfId="3932" builtinId="9" hidden="1"/>
    <cellStyle name="Followed Hyperlink" xfId="3934" builtinId="9" hidden="1"/>
    <cellStyle name="Followed Hyperlink" xfId="3936" builtinId="9" hidden="1"/>
    <cellStyle name="Followed Hyperlink" xfId="3938" builtinId="9" hidden="1"/>
    <cellStyle name="Followed Hyperlink" xfId="3940" builtinId="9" hidden="1"/>
    <cellStyle name="Followed Hyperlink" xfId="3942" builtinId="9" hidden="1"/>
    <cellStyle name="Followed Hyperlink" xfId="3944" builtinId="9" hidden="1"/>
    <cellStyle name="Followed Hyperlink" xfId="3946" builtinId="9" hidden="1"/>
    <cellStyle name="Followed Hyperlink" xfId="3948" builtinId="9" hidden="1"/>
    <cellStyle name="Followed Hyperlink" xfId="3950" builtinId="9" hidden="1"/>
    <cellStyle name="Followed Hyperlink" xfId="3952" builtinId="9" hidden="1"/>
    <cellStyle name="Followed Hyperlink" xfId="3954" builtinId="9" hidden="1"/>
    <cellStyle name="Followed Hyperlink" xfId="3956" builtinId="9" hidden="1"/>
    <cellStyle name="Followed Hyperlink" xfId="3958" builtinId="9" hidden="1"/>
    <cellStyle name="Followed Hyperlink" xfId="3960" builtinId="9" hidden="1"/>
    <cellStyle name="Followed Hyperlink" xfId="3962" builtinId="9" hidden="1"/>
    <cellStyle name="Followed Hyperlink" xfId="3964" builtinId="9" hidden="1"/>
    <cellStyle name="Followed Hyperlink" xfId="3966" builtinId="9" hidden="1"/>
    <cellStyle name="Followed Hyperlink" xfId="3968" builtinId="9" hidden="1"/>
    <cellStyle name="Followed Hyperlink" xfId="3970" builtinId="9" hidden="1"/>
    <cellStyle name="Followed Hyperlink" xfId="3972" builtinId="9" hidden="1"/>
    <cellStyle name="Followed Hyperlink" xfId="3974" builtinId="9" hidden="1"/>
    <cellStyle name="Followed Hyperlink" xfId="3976" builtinId="9" hidden="1"/>
    <cellStyle name="Followed Hyperlink" xfId="3978" builtinId="9" hidden="1"/>
    <cellStyle name="Followed Hyperlink" xfId="3980" builtinId="9" hidden="1"/>
    <cellStyle name="Followed Hyperlink" xfId="3982" builtinId="9" hidden="1"/>
    <cellStyle name="Followed Hyperlink" xfId="3984" builtinId="9" hidden="1"/>
    <cellStyle name="Followed Hyperlink" xfId="3986" builtinId="9" hidden="1"/>
    <cellStyle name="Followed Hyperlink" xfId="3988" builtinId="9" hidden="1"/>
    <cellStyle name="Followed Hyperlink" xfId="3990" builtinId="9" hidden="1"/>
    <cellStyle name="Followed Hyperlink" xfId="3992" builtinId="9" hidden="1"/>
    <cellStyle name="Followed Hyperlink" xfId="3994" builtinId="9" hidden="1"/>
    <cellStyle name="Followed Hyperlink" xfId="3996" builtinId="9" hidden="1"/>
    <cellStyle name="Followed Hyperlink" xfId="3998" builtinId="9" hidden="1"/>
    <cellStyle name="Followed Hyperlink" xfId="4000" builtinId="9" hidden="1"/>
    <cellStyle name="Followed Hyperlink" xfId="4002" builtinId="9" hidden="1"/>
    <cellStyle name="Followed Hyperlink" xfId="4004" builtinId="9" hidden="1"/>
    <cellStyle name="Followed Hyperlink" xfId="4006" builtinId="9" hidden="1"/>
    <cellStyle name="Followed Hyperlink" xfId="4008" builtinId="9" hidden="1"/>
    <cellStyle name="Followed Hyperlink" xfId="4010" builtinId="9" hidden="1"/>
    <cellStyle name="Followed Hyperlink" xfId="4012" builtinId="9" hidden="1"/>
    <cellStyle name="Followed Hyperlink" xfId="4014" builtinId="9" hidden="1"/>
    <cellStyle name="Followed Hyperlink" xfId="4016" builtinId="9" hidden="1"/>
    <cellStyle name="Followed Hyperlink" xfId="4018" builtinId="9" hidden="1"/>
    <cellStyle name="Followed Hyperlink" xfId="4020" builtinId="9" hidden="1"/>
    <cellStyle name="Followed Hyperlink" xfId="4022" builtinId="9" hidden="1"/>
    <cellStyle name="Followed Hyperlink" xfId="4024" builtinId="9" hidden="1"/>
    <cellStyle name="Followed Hyperlink" xfId="4026" builtinId="9" hidden="1"/>
    <cellStyle name="Followed Hyperlink" xfId="4028" builtinId="9" hidden="1"/>
    <cellStyle name="Followed Hyperlink" xfId="4030" builtinId="9" hidden="1"/>
    <cellStyle name="Followed Hyperlink" xfId="4032" builtinId="9" hidden="1"/>
    <cellStyle name="Followed Hyperlink" xfId="4034" builtinId="9" hidden="1"/>
    <cellStyle name="Followed Hyperlink" xfId="4036" builtinId="9" hidden="1"/>
    <cellStyle name="Followed Hyperlink" xfId="4038" builtinId="9" hidden="1"/>
    <cellStyle name="Followed Hyperlink" xfId="4040" builtinId="9" hidden="1"/>
    <cellStyle name="Followed Hyperlink" xfId="4042" builtinId="9" hidden="1"/>
    <cellStyle name="Followed Hyperlink" xfId="4044" builtinId="9" hidden="1"/>
    <cellStyle name="Followed Hyperlink" xfId="4046" builtinId="9" hidden="1"/>
    <cellStyle name="Followed Hyperlink" xfId="4048" builtinId="9" hidden="1"/>
    <cellStyle name="Followed Hyperlink" xfId="4050" builtinId="9" hidden="1"/>
    <cellStyle name="Followed Hyperlink" xfId="4052" builtinId="9" hidden="1"/>
    <cellStyle name="Followed Hyperlink" xfId="4054" builtinId="9" hidden="1"/>
    <cellStyle name="Followed Hyperlink" xfId="4056" builtinId="9" hidden="1"/>
    <cellStyle name="Followed Hyperlink" xfId="4058" builtinId="9" hidden="1"/>
    <cellStyle name="Followed Hyperlink" xfId="4060" builtinId="9" hidden="1"/>
    <cellStyle name="Followed Hyperlink" xfId="4062" builtinId="9" hidden="1"/>
    <cellStyle name="Followed Hyperlink" xfId="4064" builtinId="9" hidden="1"/>
    <cellStyle name="Followed Hyperlink" xfId="4066" builtinId="9" hidden="1"/>
    <cellStyle name="Followed Hyperlink" xfId="4068" builtinId="9" hidden="1"/>
    <cellStyle name="Followed Hyperlink" xfId="4070" builtinId="9" hidden="1"/>
    <cellStyle name="Followed Hyperlink" xfId="4072" builtinId="9" hidden="1"/>
    <cellStyle name="Followed Hyperlink" xfId="4074" builtinId="9" hidden="1"/>
    <cellStyle name="Followed Hyperlink" xfId="4076" builtinId="9" hidden="1"/>
    <cellStyle name="Followed Hyperlink" xfId="4078" builtinId="9" hidden="1"/>
    <cellStyle name="Followed Hyperlink" xfId="4080" builtinId="9" hidden="1"/>
    <cellStyle name="Followed Hyperlink" xfId="4082" builtinId="9" hidden="1"/>
    <cellStyle name="Followed Hyperlink" xfId="4084" builtinId="9" hidden="1"/>
    <cellStyle name="Followed Hyperlink" xfId="4086" builtinId="9" hidden="1"/>
    <cellStyle name="Followed Hyperlink" xfId="4088" builtinId="9" hidden="1"/>
    <cellStyle name="Followed Hyperlink" xfId="4090" builtinId="9" hidden="1"/>
    <cellStyle name="Followed Hyperlink" xfId="4092" builtinId="9" hidden="1"/>
    <cellStyle name="Followed Hyperlink" xfId="4094" builtinId="9" hidden="1"/>
    <cellStyle name="Followed Hyperlink" xfId="4096" builtinId="9" hidden="1"/>
    <cellStyle name="Followed Hyperlink" xfId="4098" builtinId="9" hidden="1"/>
    <cellStyle name="Followed Hyperlink" xfId="4100" builtinId="9" hidden="1"/>
    <cellStyle name="Followed Hyperlink" xfId="4102" builtinId="9" hidden="1"/>
    <cellStyle name="Followed Hyperlink" xfId="4104" builtinId="9" hidden="1"/>
    <cellStyle name="Followed Hyperlink" xfId="4106" builtinId="9" hidden="1"/>
    <cellStyle name="Followed Hyperlink" xfId="4108" builtinId="9" hidden="1"/>
    <cellStyle name="Followed Hyperlink" xfId="4110" builtinId="9" hidden="1"/>
    <cellStyle name="Followed Hyperlink" xfId="4112" builtinId="9" hidden="1"/>
    <cellStyle name="Followed Hyperlink" xfId="4114" builtinId="9" hidden="1"/>
    <cellStyle name="Followed Hyperlink" xfId="4116" builtinId="9" hidden="1"/>
    <cellStyle name="Followed Hyperlink" xfId="4118" builtinId="9" hidden="1"/>
    <cellStyle name="Followed Hyperlink" xfId="4120" builtinId="9" hidden="1"/>
    <cellStyle name="Followed Hyperlink" xfId="4122" builtinId="9" hidden="1"/>
    <cellStyle name="Followed Hyperlink" xfId="4124" builtinId="9" hidden="1"/>
    <cellStyle name="Followed Hyperlink" xfId="4126" builtinId="9" hidden="1"/>
    <cellStyle name="Followed Hyperlink" xfId="4128" builtinId="9" hidden="1"/>
    <cellStyle name="Followed Hyperlink" xfId="4130" builtinId="9" hidden="1"/>
    <cellStyle name="Followed Hyperlink" xfId="4132" builtinId="9" hidden="1"/>
    <cellStyle name="Followed Hyperlink" xfId="4134" builtinId="9" hidden="1"/>
    <cellStyle name="Followed Hyperlink" xfId="4136" builtinId="9" hidden="1"/>
    <cellStyle name="Followed Hyperlink" xfId="4138" builtinId="9" hidden="1"/>
    <cellStyle name="Followed Hyperlink" xfId="4140" builtinId="9" hidden="1"/>
    <cellStyle name="Followed Hyperlink" xfId="4142" builtinId="9" hidden="1"/>
    <cellStyle name="Followed Hyperlink" xfId="4144" builtinId="9" hidden="1"/>
    <cellStyle name="Followed Hyperlink" xfId="4146" builtinId="9" hidden="1"/>
    <cellStyle name="Followed Hyperlink" xfId="4148" builtinId="9" hidden="1"/>
    <cellStyle name="Followed Hyperlink" xfId="4150" builtinId="9" hidden="1"/>
    <cellStyle name="Followed Hyperlink" xfId="4152" builtinId="9" hidden="1"/>
    <cellStyle name="Followed Hyperlink" xfId="4154" builtinId="9" hidden="1"/>
    <cellStyle name="Followed Hyperlink" xfId="4156" builtinId="9" hidden="1"/>
    <cellStyle name="Followed Hyperlink" xfId="4158" builtinId="9" hidden="1"/>
    <cellStyle name="Followed Hyperlink" xfId="4160" builtinId="9" hidden="1"/>
    <cellStyle name="Followed Hyperlink" xfId="4162" builtinId="9" hidden="1"/>
    <cellStyle name="Followed Hyperlink" xfId="4164" builtinId="9" hidden="1"/>
    <cellStyle name="Followed Hyperlink" xfId="4166" builtinId="9" hidden="1"/>
    <cellStyle name="Followed Hyperlink" xfId="4168" builtinId="9" hidden="1"/>
    <cellStyle name="Followed Hyperlink" xfId="4170" builtinId="9" hidden="1"/>
    <cellStyle name="Followed Hyperlink" xfId="4172" builtinId="9" hidden="1"/>
    <cellStyle name="Followed Hyperlink" xfId="4174" builtinId="9" hidden="1"/>
    <cellStyle name="Followed Hyperlink" xfId="4176" builtinId="9" hidden="1"/>
    <cellStyle name="Followed Hyperlink" xfId="4178" builtinId="9" hidden="1"/>
    <cellStyle name="Followed Hyperlink" xfId="4180" builtinId="9" hidden="1"/>
    <cellStyle name="Followed Hyperlink" xfId="4182" builtinId="9" hidden="1"/>
    <cellStyle name="Followed Hyperlink" xfId="4184" builtinId="9" hidden="1"/>
    <cellStyle name="Followed Hyperlink" xfId="4186" builtinId="9" hidden="1"/>
    <cellStyle name="Followed Hyperlink" xfId="4188" builtinId="9" hidden="1"/>
    <cellStyle name="Followed Hyperlink" xfId="4190" builtinId="9" hidden="1"/>
    <cellStyle name="Followed Hyperlink" xfId="4192" builtinId="9" hidden="1"/>
    <cellStyle name="Followed Hyperlink" xfId="4194" builtinId="9" hidden="1"/>
    <cellStyle name="Followed Hyperlink" xfId="4196" builtinId="9" hidden="1"/>
    <cellStyle name="Followed Hyperlink" xfId="4198" builtinId="9" hidden="1"/>
    <cellStyle name="Followed Hyperlink" xfId="4200" builtinId="9" hidden="1"/>
    <cellStyle name="Followed Hyperlink" xfId="4202" builtinId="9" hidden="1"/>
    <cellStyle name="Followed Hyperlink" xfId="4204" builtinId="9" hidden="1"/>
    <cellStyle name="Followed Hyperlink" xfId="4206" builtinId="9" hidden="1"/>
    <cellStyle name="Followed Hyperlink" xfId="4208" builtinId="9" hidden="1"/>
    <cellStyle name="Followed Hyperlink" xfId="4210" builtinId="9" hidden="1"/>
    <cellStyle name="Followed Hyperlink" xfId="4212" builtinId="9" hidden="1"/>
    <cellStyle name="Followed Hyperlink" xfId="4214" builtinId="9" hidden="1"/>
    <cellStyle name="Followed Hyperlink" xfId="4216" builtinId="9" hidden="1"/>
    <cellStyle name="Followed Hyperlink" xfId="4218" builtinId="9" hidden="1"/>
    <cellStyle name="Followed Hyperlink" xfId="4220" builtinId="9" hidden="1"/>
    <cellStyle name="Followed Hyperlink" xfId="4222" builtinId="9" hidden="1"/>
    <cellStyle name="Followed Hyperlink" xfId="4224" builtinId="9" hidden="1"/>
    <cellStyle name="Followed Hyperlink" xfId="4226" builtinId="9" hidden="1"/>
    <cellStyle name="Followed Hyperlink" xfId="4228" builtinId="9" hidden="1"/>
    <cellStyle name="Followed Hyperlink" xfId="4230" builtinId="9" hidden="1"/>
    <cellStyle name="Followed Hyperlink" xfId="4232" builtinId="9" hidden="1"/>
    <cellStyle name="Followed Hyperlink" xfId="4234" builtinId="9" hidden="1"/>
    <cellStyle name="Followed Hyperlink" xfId="4236" builtinId="9" hidden="1"/>
    <cellStyle name="Followed Hyperlink" xfId="4238" builtinId="9" hidden="1"/>
    <cellStyle name="Followed Hyperlink" xfId="4240" builtinId="9" hidden="1"/>
    <cellStyle name="Followed Hyperlink" xfId="4242" builtinId="9" hidden="1"/>
    <cellStyle name="Followed Hyperlink" xfId="4244" builtinId="9" hidden="1"/>
    <cellStyle name="Followed Hyperlink" xfId="4246" builtinId="9" hidden="1"/>
    <cellStyle name="Followed Hyperlink" xfId="4248" builtinId="9" hidden="1"/>
    <cellStyle name="Followed Hyperlink" xfId="4250" builtinId="9" hidden="1"/>
    <cellStyle name="Followed Hyperlink" xfId="4252" builtinId="9" hidden="1"/>
    <cellStyle name="Followed Hyperlink" xfId="4254" builtinId="9" hidden="1"/>
    <cellStyle name="Followed Hyperlink" xfId="4256" builtinId="9" hidden="1"/>
    <cellStyle name="Followed Hyperlink" xfId="4258" builtinId="9" hidden="1"/>
    <cellStyle name="Followed Hyperlink" xfId="4260" builtinId="9" hidden="1"/>
    <cellStyle name="Followed Hyperlink" xfId="4262" builtinId="9" hidden="1"/>
    <cellStyle name="Followed Hyperlink" xfId="4264" builtinId="9" hidden="1"/>
    <cellStyle name="Followed Hyperlink" xfId="4266" builtinId="9" hidden="1"/>
    <cellStyle name="Followed Hyperlink" xfId="4268" builtinId="9" hidden="1"/>
    <cellStyle name="Followed Hyperlink" xfId="4270" builtinId="9" hidden="1"/>
    <cellStyle name="Followed Hyperlink" xfId="4272" builtinId="9" hidden="1"/>
    <cellStyle name="Followed Hyperlink" xfId="4274" builtinId="9" hidden="1"/>
    <cellStyle name="Followed Hyperlink" xfId="4276" builtinId="9" hidden="1"/>
    <cellStyle name="Followed Hyperlink" xfId="4278" builtinId="9" hidden="1"/>
    <cellStyle name="Followed Hyperlink" xfId="4280" builtinId="9" hidden="1"/>
    <cellStyle name="Followed Hyperlink" xfId="4282" builtinId="9" hidden="1"/>
    <cellStyle name="Followed Hyperlink" xfId="4284" builtinId="9" hidden="1"/>
    <cellStyle name="Followed Hyperlink" xfId="4286" builtinId="9" hidden="1"/>
    <cellStyle name="Followed Hyperlink" xfId="4288" builtinId="9" hidden="1"/>
    <cellStyle name="Followed Hyperlink" xfId="4290" builtinId="9" hidden="1"/>
    <cellStyle name="Followed Hyperlink" xfId="4292" builtinId="9" hidden="1"/>
    <cellStyle name="Followed Hyperlink" xfId="4294" builtinId="9" hidden="1"/>
    <cellStyle name="Followed Hyperlink" xfId="4296" builtinId="9" hidden="1"/>
    <cellStyle name="Followed Hyperlink" xfId="4298" builtinId="9" hidden="1"/>
    <cellStyle name="Followed Hyperlink" xfId="4300" builtinId="9" hidden="1"/>
    <cellStyle name="Followed Hyperlink" xfId="4302" builtinId="9" hidden="1"/>
    <cellStyle name="Followed Hyperlink" xfId="4304" builtinId="9" hidden="1"/>
    <cellStyle name="Followed Hyperlink" xfId="4306" builtinId="9" hidden="1"/>
    <cellStyle name="Followed Hyperlink" xfId="4308" builtinId="9" hidden="1"/>
    <cellStyle name="Followed Hyperlink" xfId="4310" builtinId="9" hidden="1"/>
    <cellStyle name="Followed Hyperlink" xfId="4312" builtinId="9" hidden="1"/>
    <cellStyle name="Followed Hyperlink" xfId="4314" builtinId="9" hidden="1"/>
    <cellStyle name="Followed Hyperlink" xfId="4316" builtinId="9" hidden="1"/>
    <cellStyle name="Followed Hyperlink" xfId="4318" builtinId="9" hidden="1"/>
    <cellStyle name="Followed Hyperlink" xfId="4320" builtinId="9" hidden="1"/>
    <cellStyle name="Followed Hyperlink" xfId="4322" builtinId="9" hidden="1"/>
    <cellStyle name="Followed Hyperlink" xfId="4324" builtinId="9" hidden="1"/>
    <cellStyle name="Followed Hyperlink" xfId="4326" builtinId="9" hidden="1"/>
    <cellStyle name="Followed Hyperlink" xfId="4328" builtinId="9" hidden="1"/>
    <cellStyle name="Followed Hyperlink" xfId="4330" builtinId="9" hidden="1"/>
    <cellStyle name="Followed Hyperlink" xfId="4332" builtinId="9" hidden="1"/>
    <cellStyle name="Followed Hyperlink" xfId="4334" builtinId="9" hidden="1"/>
    <cellStyle name="Followed Hyperlink" xfId="4336" builtinId="9" hidden="1"/>
    <cellStyle name="Followed Hyperlink" xfId="4338" builtinId="9" hidden="1"/>
    <cellStyle name="Followed Hyperlink" xfId="4340" builtinId="9" hidden="1"/>
    <cellStyle name="Followed Hyperlink" xfId="4342" builtinId="9" hidden="1"/>
    <cellStyle name="Followed Hyperlink" xfId="4344" builtinId="9" hidden="1"/>
    <cellStyle name="Followed Hyperlink" xfId="4346" builtinId="9" hidden="1"/>
    <cellStyle name="Followed Hyperlink" xfId="4348" builtinId="9" hidden="1"/>
    <cellStyle name="Followed Hyperlink" xfId="4350" builtinId="9" hidden="1"/>
    <cellStyle name="Followed Hyperlink" xfId="4352" builtinId="9" hidden="1"/>
    <cellStyle name="Followed Hyperlink" xfId="4354" builtinId="9" hidden="1"/>
    <cellStyle name="Followed Hyperlink" xfId="4356" builtinId="9" hidden="1"/>
    <cellStyle name="Followed Hyperlink" xfId="4358" builtinId="9" hidden="1"/>
    <cellStyle name="Followed Hyperlink" xfId="4360" builtinId="9" hidden="1"/>
    <cellStyle name="Followed Hyperlink" xfId="4362" builtinId="9" hidden="1"/>
    <cellStyle name="Followed Hyperlink" xfId="4364" builtinId="9" hidden="1"/>
    <cellStyle name="Followed Hyperlink" xfId="4366" builtinId="9" hidden="1"/>
    <cellStyle name="Followed Hyperlink" xfId="4368" builtinId="9" hidden="1"/>
    <cellStyle name="Followed Hyperlink" xfId="4370" builtinId="9" hidden="1"/>
    <cellStyle name="Followed Hyperlink" xfId="4372" builtinId="9" hidden="1"/>
    <cellStyle name="Followed Hyperlink" xfId="4374" builtinId="9" hidden="1"/>
    <cellStyle name="Followed Hyperlink" xfId="4376" builtinId="9" hidden="1"/>
    <cellStyle name="Followed Hyperlink" xfId="4378" builtinId="9" hidden="1"/>
    <cellStyle name="Followed Hyperlink" xfId="4380" builtinId="9" hidden="1"/>
    <cellStyle name="Followed Hyperlink" xfId="4382" builtinId="9" hidden="1"/>
    <cellStyle name="Followed Hyperlink" xfId="4384" builtinId="9" hidden="1"/>
    <cellStyle name="Followed Hyperlink" xfId="4386" builtinId="9" hidden="1"/>
    <cellStyle name="Followed Hyperlink" xfId="4388" builtinId="9" hidden="1"/>
    <cellStyle name="Followed Hyperlink" xfId="4390" builtinId="9" hidden="1"/>
    <cellStyle name="Followed Hyperlink" xfId="4392" builtinId="9" hidden="1"/>
    <cellStyle name="Followed Hyperlink" xfId="4394" builtinId="9" hidden="1"/>
    <cellStyle name="Followed Hyperlink" xfId="4396" builtinId="9" hidden="1"/>
    <cellStyle name="Hyperlink" xfId="289" builtinId="8" hidden="1"/>
    <cellStyle name="Hyperlink" xfId="297" builtinId="8" hidden="1"/>
    <cellStyle name="Hyperlink" xfId="299" builtinId="8" hidden="1"/>
    <cellStyle name="Hyperlink" xfId="305" builtinId="8" hidden="1"/>
    <cellStyle name="Hyperlink" xfId="259" builtinId="8" hidden="1"/>
    <cellStyle name="Hyperlink" xfId="221" builtinId="8" hidden="1"/>
    <cellStyle name="Hyperlink" xfId="227" builtinId="8" hidden="1"/>
    <cellStyle name="Hyperlink" xfId="233" builtinId="8" hidden="1"/>
    <cellStyle name="Hyperlink" xfId="237" builtinId="8" hidden="1"/>
    <cellStyle name="Hyperlink" xfId="241" builtinId="8" hidden="1"/>
    <cellStyle name="Hyperlink" xfId="209" builtinId="8" hidden="1"/>
    <cellStyle name="Hyperlink" xfId="211" builtinId="8" hidden="1"/>
    <cellStyle name="Hyperlink" xfId="213" builtinId="8" hidden="1"/>
    <cellStyle name="Hyperlink" xfId="203" builtinId="8" hidden="1"/>
    <cellStyle name="Hyperlink" xfId="205" builtinId="8" hidden="1"/>
    <cellStyle name="Hyperlink" xfId="197" builtinId="8" hidden="1"/>
    <cellStyle name="Hyperlink" xfId="217" builtinId="8" hidden="1"/>
    <cellStyle name="Hyperlink" xfId="245" builtinId="8" hidden="1"/>
    <cellStyle name="Hyperlink" xfId="235" builtinId="8" hidden="1"/>
    <cellStyle name="Hyperlink" xfId="307" builtinId="8" hidden="1"/>
    <cellStyle name="Hyperlink" xfId="293" builtinId="8" hidden="1"/>
    <cellStyle name="Hyperlink" xfId="283" builtinId="8" hidden="1"/>
    <cellStyle name="Hyperlink" xfId="261" builtinId="8" hidden="1"/>
    <cellStyle name="Hyperlink" xfId="249" builtinId="8" hidden="1"/>
    <cellStyle name="Hyperlink" xfId="387" builtinId="8" hidden="1"/>
    <cellStyle name="Hyperlink" xfId="443" builtinId="8" hidden="1"/>
    <cellStyle name="Hyperlink" xfId="433" builtinId="8" hidden="1"/>
    <cellStyle name="Hyperlink" xfId="419" builtinId="8" hidden="1"/>
    <cellStyle name="Hyperlink" xfId="395" builtinId="8" hidden="1"/>
    <cellStyle name="Hyperlink" xfId="381" builtinId="8" hidden="1"/>
    <cellStyle name="Hyperlink" xfId="371" builtinId="8" hidden="1"/>
    <cellStyle name="Hyperlink" xfId="347" builtinId="8" hidden="1"/>
    <cellStyle name="Hyperlink" xfId="333" builtinId="8" hidden="1"/>
    <cellStyle name="Hyperlink" xfId="321" builtinId="8" hidden="1"/>
    <cellStyle name="Hyperlink" xfId="493" builtinId="8" hidden="1"/>
    <cellStyle name="Hyperlink" xfId="447" builtinId="8" hidden="1"/>
    <cellStyle name="Hyperlink" xfId="319" builtinId="8" hidden="1"/>
    <cellStyle name="Hyperlink" xfId="121" builtinId="8" hidden="1"/>
    <cellStyle name="Hyperlink" xfId="157" builtinId="8" hidden="1"/>
    <cellStyle name="Hyperlink" xfId="195" builtinId="8" hidden="1"/>
    <cellStyle name="Hyperlink" xfId="21" builtinId="8" hidden="1"/>
    <cellStyle name="Hyperlink" xfId="3" builtinId="8" hidden="1"/>
    <cellStyle name="Hyperlink" xfId="17" builtinId="8" hidden="1"/>
    <cellStyle name="Hyperlink" xfId="25" builtinId="8" hidden="1"/>
    <cellStyle name="Hyperlink" xfId="79" builtinId="8" hidden="1"/>
    <cellStyle name="Hyperlink" xfId="71" builtinId="8" hidden="1"/>
    <cellStyle name="Hyperlink" xfId="215" builtinId="8" hidden="1"/>
    <cellStyle name="Hyperlink" xfId="207" builtinId="8" hidden="1"/>
    <cellStyle name="Hyperlink" xfId="199" builtinId="8" hidden="1"/>
    <cellStyle name="Hyperlink" xfId="91" builtinId="8" hidden="1"/>
    <cellStyle name="Hyperlink" xfId="97" builtinId="8" hidden="1"/>
    <cellStyle name="Hyperlink" xfId="99" builtinId="8" hidden="1"/>
    <cellStyle name="Hyperlink" xfId="105" builtinId="8" hidden="1"/>
    <cellStyle name="Hyperlink" xfId="107" builtinId="8" hidden="1"/>
    <cellStyle name="Hyperlink" xfId="109" builtinId="8" hidden="1"/>
    <cellStyle name="Hyperlink" xfId="119" builtinId="8" hidden="1"/>
    <cellStyle name="Hyperlink" xfId="123" builtinId="8" hidden="1"/>
    <cellStyle name="Hyperlink" xfId="125" builtinId="8" hidden="1"/>
    <cellStyle name="Hyperlink" xfId="133" builtinId="8" hidden="1"/>
    <cellStyle name="Hyperlink" xfId="135" builtinId="8" hidden="1"/>
    <cellStyle name="Hyperlink" xfId="141" builtinId="8" hidden="1"/>
    <cellStyle name="Hyperlink" xfId="147" builtinId="8" hidden="1"/>
    <cellStyle name="Hyperlink" xfId="151" builtinId="8" hidden="1"/>
    <cellStyle name="Hyperlink" xfId="153" builtinId="8" hidden="1"/>
    <cellStyle name="Hyperlink" xfId="161" builtinId="8" hidden="1"/>
    <cellStyle name="Hyperlink" xfId="165" builtinId="8" hidden="1"/>
    <cellStyle name="Hyperlink" xfId="169" builtinId="8" hidden="1"/>
    <cellStyle name="Hyperlink" xfId="173" builtinId="8" hidden="1"/>
    <cellStyle name="Hyperlink" xfId="179" builtinId="8" hidden="1"/>
    <cellStyle name="Hyperlink" xfId="181" builtinId="8" hidden="1"/>
    <cellStyle name="Hyperlink" xfId="189" builtinId="8" hidden="1"/>
    <cellStyle name="Hyperlink" xfId="193" builtinId="8" hidden="1"/>
    <cellStyle name="Hyperlink" xfId="191" builtinId="8" hidden="1"/>
    <cellStyle name="Hyperlink" xfId="159" builtinId="8" hidden="1"/>
    <cellStyle name="Hyperlink" xfId="127" builtinId="8" hidden="1"/>
    <cellStyle name="Hyperlink" xfId="111" builtinId="8" hidden="1"/>
    <cellStyle name="Hyperlink" xfId="43" builtinId="8" hidden="1"/>
    <cellStyle name="Hyperlink" xfId="45" builtinId="8" hidden="1"/>
    <cellStyle name="Hyperlink" xfId="51" builtinId="8" hidden="1"/>
    <cellStyle name="Hyperlink" xfId="55" builtinId="8" hidden="1"/>
    <cellStyle name="Hyperlink" xfId="59" builtinId="8" hidden="1"/>
    <cellStyle name="Hyperlink" xfId="63" builtinId="8" hidden="1"/>
    <cellStyle name="Hyperlink" xfId="61" builtinId="8" hidden="1"/>
    <cellStyle name="Hyperlink" xfId="95" builtinId="8" hidden="1"/>
    <cellStyle name="Hyperlink" xfId="187" builtinId="8" hidden="1"/>
    <cellStyle name="Hyperlink" xfId="137" builtinId="8" hidden="1"/>
    <cellStyle name="Hyperlink" xfId="115" builtinId="8" hidden="1"/>
    <cellStyle name="Hyperlink" xfId="89" builtinId="8" hidden="1"/>
    <cellStyle name="Hyperlink" xfId="463" builtinId="8" hidden="1"/>
    <cellStyle name="Hyperlink" xfId="455" builtinId="8" hidden="1"/>
    <cellStyle name="Hyperlink" xfId="439" builtinId="8" hidden="1"/>
    <cellStyle name="Hyperlink" xfId="407" builtinId="8" hidden="1"/>
    <cellStyle name="Hyperlink" xfId="399" builtinId="8" hidden="1"/>
    <cellStyle name="Hyperlink" xfId="391" builtinId="8" hidden="1"/>
    <cellStyle name="Hyperlink" xfId="367" builtinId="8" hidden="1"/>
    <cellStyle name="Hyperlink" xfId="359" builtinId="8" hidden="1"/>
    <cellStyle name="Hyperlink" xfId="343" builtinId="8" hidden="1"/>
    <cellStyle name="Hyperlink" xfId="327" builtinId="8" hidden="1"/>
    <cellStyle name="Hyperlink" xfId="311" builtinId="8" hidden="1"/>
    <cellStyle name="Hyperlink" xfId="303" builtinId="8" hidden="1"/>
    <cellStyle name="Hyperlink" xfId="279" builtinId="8" hidden="1"/>
    <cellStyle name="Hyperlink" xfId="271" builtinId="8" hidden="1"/>
    <cellStyle name="Hyperlink" xfId="247" builtinId="8" hidden="1"/>
    <cellStyle name="Hyperlink" xfId="263" builtinId="8" hidden="1"/>
    <cellStyle name="Hyperlink" xfId="431" builtinId="8" hidden="1"/>
    <cellStyle name="Hyperlink" xfId="491" builtinId="8" hidden="1"/>
    <cellStyle name="Hyperlink" xfId="499" builtinId="8" hidden="1"/>
    <cellStyle name="Hyperlink" xfId="501" builtinId="8" hidden="1"/>
    <cellStyle name="Hyperlink" xfId="507" builtinId="8" hidden="1"/>
    <cellStyle name="Hyperlink" xfId="513" builtinId="8" hidden="1"/>
    <cellStyle name="Hyperlink" xfId="503" builtinId="8" hidden="1"/>
    <cellStyle name="Hyperlink" xfId="495" builtinId="8" hidden="1"/>
    <cellStyle name="Hyperlink" xfId="475" builtinId="8" hidden="1"/>
    <cellStyle name="Hyperlink" xfId="477" builtinId="8" hidden="1"/>
    <cellStyle name="Hyperlink" xfId="481" builtinId="8" hidden="1"/>
    <cellStyle name="Hyperlink" xfId="489" builtinId="8" hidden="1"/>
    <cellStyle name="Hyperlink" xfId="467" builtinId="8" hidden="1"/>
    <cellStyle name="Hyperlink" xfId="469" builtinId="8" hidden="1"/>
    <cellStyle name="Hyperlink" xfId="459" builtinId="8" hidden="1"/>
    <cellStyle name="Hyperlink" xfId="465" builtinId="8" hidden="1"/>
    <cellStyle name="Hyperlink" xfId="485" builtinId="8" hidden="1"/>
    <cellStyle name="Hyperlink" xfId="487" builtinId="8" hidden="1"/>
    <cellStyle name="Hyperlink" xfId="509" builtinId="8" hidden="1"/>
    <cellStyle name="Hyperlink" xfId="497" builtinId="8" hidden="1"/>
    <cellStyle name="Hyperlink" xfId="239" builtinId="8" hidden="1"/>
    <cellStyle name="Hyperlink" xfId="295" builtinId="8" hidden="1"/>
    <cellStyle name="Hyperlink" xfId="335" builtinId="8" hidden="1"/>
    <cellStyle name="Hyperlink" xfId="375" builtinId="8" hidden="1"/>
    <cellStyle name="Hyperlink" xfId="423" builtinId="8" hidden="1"/>
    <cellStyle name="Hyperlink" xfId="471" builtinId="8" hidden="1"/>
    <cellStyle name="Hyperlink" xfId="163" builtinId="8" hidden="1"/>
    <cellStyle name="Hyperlink" xfId="67" builtinId="8" hidden="1"/>
    <cellStyle name="Hyperlink" xfId="53" builtinId="8" hidden="1"/>
    <cellStyle name="Hyperlink" xfId="41" builtinId="8" hidden="1"/>
    <cellStyle name="Hyperlink" xfId="175" builtinId="8" hidden="1"/>
    <cellStyle name="Hyperlink" xfId="183" builtinId="8" hidden="1"/>
    <cellStyle name="Hyperlink" xfId="171" builtinId="8" hidden="1"/>
    <cellStyle name="Hyperlink" xfId="155" builtinId="8" hidden="1"/>
    <cellStyle name="Hyperlink" xfId="145" builtinId="8" hidden="1"/>
    <cellStyle name="Hyperlink" xfId="129" builtinId="8" hidden="1"/>
    <cellStyle name="Hyperlink" xfId="117" builtinId="8" hidden="1"/>
    <cellStyle name="Hyperlink" xfId="101" builtinId="8" hidden="1"/>
    <cellStyle name="Hyperlink" xfId="87" builtinId="8" hidden="1"/>
    <cellStyle name="Hyperlink" xfId="231" builtinId="8" hidden="1"/>
    <cellStyle name="Hyperlink" xfId="35" builtinId="8" hidden="1"/>
    <cellStyle name="Hyperlink" xfId="57" builtinId="8" hidden="1"/>
    <cellStyle name="Hyperlink" xfId="85" builtinId="8" hidden="1"/>
    <cellStyle name="Hyperlink" xfId="309" builtinId="8" hidden="1"/>
    <cellStyle name="Hyperlink" xfId="357" builtinId="8" hidden="1"/>
    <cellStyle name="Hyperlink" xfId="405" builtinId="8" hidden="1"/>
    <cellStyle name="Hyperlink" xfId="457" builtinId="8" hidden="1"/>
    <cellStyle name="Hyperlink" xfId="273" builtinId="8" hidden="1"/>
    <cellStyle name="Hyperlink" xfId="225" builtinId="8" hidden="1"/>
    <cellStyle name="Hyperlink" xfId="201" builtinId="8" hidden="1"/>
    <cellStyle name="Hyperlink" xfId="219" builtinId="8" hidden="1"/>
    <cellStyle name="Hyperlink" xfId="243" builtinId="8" hidden="1"/>
    <cellStyle name="Hyperlink" xfId="229" builtinId="8" hidden="1"/>
    <cellStyle name="Hyperlink" xfId="301" builtinId="8" hidden="1"/>
    <cellStyle name="Hyperlink" xfId="291" builtinId="8" hidden="1"/>
    <cellStyle name="Hyperlink" xfId="505" builtinId="8" hidden="1"/>
    <cellStyle name="Hyperlink" xfId="483" builtinId="8" hidden="1"/>
    <cellStyle name="Hyperlink" xfId="473" builtinId="8" hidden="1"/>
    <cellStyle name="Hyperlink" xfId="461" builtinId="8" hidden="1"/>
    <cellStyle name="Hyperlink" xfId="313" builtinId="8" hidden="1"/>
    <cellStyle name="Hyperlink" xfId="317" builtinId="8" hidden="1"/>
    <cellStyle name="Hyperlink" xfId="325" builtinId="8" hidden="1"/>
    <cellStyle name="Hyperlink" xfId="329" builtinId="8" hidden="1"/>
    <cellStyle name="Hyperlink" xfId="331" builtinId="8" hidden="1"/>
    <cellStyle name="Hyperlink" xfId="337" builtinId="8" hidden="1"/>
    <cellStyle name="Hyperlink" xfId="339" builtinId="8" hidden="1"/>
    <cellStyle name="Hyperlink" xfId="341" builtinId="8" hidden="1"/>
    <cellStyle name="Hyperlink" xfId="353" builtinId="8" hidden="1"/>
    <cellStyle name="Hyperlink" xfId="355" builtinId="8" hidden="1"/>
    <cellStyle name="Hyperlink" xfId="361" builtinId="8" hidden="1"/>
    <cellStyle name="Hyperlink" xfId="363" builtinId="8" hidden="1"/>
    <cellStyle name="Hyperlink" xfId="369" builtinId="8" hidden="1"/>
    <cellStyle name="Hyperlink" xfId="373" builtinId="8" hidden="1"/>
    <cellStyle name="Hyperlink" xfId="377" builtinId="8" hidden="1"/>
    <cellStyle name="Hyperlink" xfId="385" builtinId="8" hidden="1"/>
    <cellStyle name="Hyperlink" xfId="389" builtinId="8" hidden="1"/>
    <cellStyle name="Hyperlink" xfId="393" builtinId="8" hidden="1"/>
    <cellStyle name="Hyperlink" xfId="397" builtinId="8" hidden="1"/>
    <cellStyle name="Hyperlink" xfId="401" builtinId="8" hidden="1"/>
    <cellStyle name="Hyperlink" xfId="403" builtinId="8" hidden="1"/>
    <cellStyle name="Hyperlink" xfId="411" builtinId="8" hidden="1"/>
    <cellStyle name="Hyperlink" xfId="417" builtinId="8" hidden="1"/>
    <cellStyle name="Hyperlink" xfId="421" builtinId="8" hidden="1"/>
    <cellStyle name="Hyperlink" xfId="425" builtinId="8" hidden="1"/>
    <cellStyle name="Hyperlink" xfId="427" builtinId="8" hidden="1"/>
    <cellStyle name="Hyperlink" xfId="435" builtinId="8" hidden="1"/>
    <cellStyle name="Hyperlink" xfId="437" builtinId="8" hidden="1"/>
    <cellStyle name="Hyperlink" xfId="441" builtinId="8" hidden="1"/>
    <cellStyle name="Hyperlink" xfId="449" builtinId="8" hidden="1"/>
    <cellStyle name="Hyperlink" xfId="453" builtinId="8" hidden="1"/>
    <cellStyle name="Hyperlink" xfId="451" builtinId="8" hidden="1"/>
    <cellStyle name="Hyperlink" xfId="429" builtinId="8" hidden="1"/>
    <cellStyle name="Hyperlink" xfId="409" builtinId="8" hidden="1"/>
    <cellStyle name="Hyperlink" xfId="365" builtinId="8" hidden="1"/>
    <cellStyle name="Hyperlink" xfId="345" builtinId="8" hidden="1"/>
    <cellStyle name="Hyperlink" xfId="251" builtinId="8" hidden="1"/>
    <cellStyle name="Hyperlink" xfId="253" builtinId="8" hidden="1"/>
    <cellStyle name="Hyperlink" xfId="257" builtinId="8" hidden="1"/>
    <cellStyle name="Hyperlink" xfId="265" builtinId="8" hidden="1"/>
    <cellStyle name="Hyperlink" xfId="267" builtinId="8" hidden="1"/>
    <cellStyle name="Hyperlink" xfId="269" builtinId="8" hidden="1"/>
    <cellStyle name="Hyperlink" xfId="275" builtinId="8" hidden="1"/>
    <cellStyle name="Hyperlink" xfId="281" builtinId="8" hidden="1"/>
    <cellStyle name="Hyperlink" xfId="285" builtinId="8" hidden="1"/>
    <cellStyle name="Hyperlink" xfId="277" builtinId="8" hidden="1"/>
    <cellStyle name="Hyperlink" xfId="323" builtinId="8" hidden="1"/>
    <cellStyle name="Hyperlink" xfId="445" builtinId="8" hidden="1"/>
    <cellStyle name="Hyperlink" xfId="413" builtinId="8" hidden="1"/>
    <cellStyle name="Hyperlink" xfId="379" builtinId="8" hidden="1"/>
    <cellStyle name="Hyperlink" xfId="349" builtinId="8" hidden="1"/>
    <cellStyle name="Hyperlink" xfId="315" builtinId="8" hidden="1"/>
    <cellStyle name="Hyperlink" xfId="83" builtinId="8" hidden="1"/>
    <cellStyle name="Hyperlink" xfId="73" builtinId="8" hidden="1"/>
    <cellStyle name="Hyperlink" xfId="65" builtinId="8" hidden="1"/>
    <cellStyle name="Hyperlink" xfId="49" builtinId="8" hidden="1"/>
    <cellStyle name="Hyperlink" xfId="143" builtinId="8" hidden="1"/>
    <cellStyle name="Hyperlink" xfId="185" builtinId="8" hidden="1"/>
    <cellStyle name="Hyperlink" xfId="177" builtinId="8" hidden="1"/>
    <cellStyle name="Hyperlink" xfId="167" builtinId="8" hidden="1"/>
    <cellStyle name="Hyperlink" xfId="149" builtinId="8" hidden="1"/>
    <cellStyle name="Hyperlink" xfId="139" builtinId="8" hidden="1"/>
    <cellStyle name="Hyperlink" xfId="131" builtinId="8" hidden="1"/>
    <cellStyle name="Hyperlink" xfId="113" builtinId="8" hidden="1"/>
    <cellStyle name="Hyperlink" xfId="103" builtinId="8" hidden="1"/>
    <cellStyle name="Hyperlink" xfId="93" builtinId="8" hidden="1"/>
    <cellStyle name="Hyperlink" xfId="223" builtinId="8" hidden="1"/>
    <cellStyle name="Hyperlink" xfId="255" builtinId="8" hidden="1"/>
    <cellStyle name="Hyperlink" xfId="287" builtinId="8" hidden="1"/>
    <cellStyle name="Hyperlink" xfId="351" builtinId="8" hidden="1"/>
    <cellStyle name="Hyperlink" xfId="383" builtinId="8" hidden="1"/>
    <cellStyle name="Hyperlink" xfId="479" builtinId="8" hidden="1"/>
    <cellStyle name="Hyperlink" xfId="511" builtinId="8" hidden="1"/>
    <cellStyle name="Hyperlink" xfId="415" builtinId="8" hidden="1"/>
    <cellStyle name="Hyperlink" xfId="39" builtinId="8" hidden="1"/>
    <cellStyle name="Hyperlink" xfId="33" builtinId="8" hidden="1"/>
    <cellStyle name="Hyperlink" xfId="9" builtinId="8" hidden="1"/>
    <cellStyle name="Hyperlink" xfId="11" builtinId="8" hidden="1"/>
    <cellStyle name="Hyperlink" xfId="13" builtinId="8" hidden="1"/>
    <cellStyle name="Hyperlink" xfId="5" builtinId="8" hidden="1"/>
    <cellStyle name="Hyperlink" xfId="7" builtinId="8" hidden="1"/>
    <cellStyle name="Hyperlink" xfId="1" builtinId="8" hidden="1"/>
    <cellStyle name="Hyperlink" xfId="15" builtinId="8" hidden="1"/>
    <cellStyle name="Hyperlink" xfId="37" builtinId="8" hidden="1"/>
    <cellStyle name="Hyperlink" xfId="29" builtinId="8" hidden="1"/>
    <cellStyle name="Hyperlink" xfId="47" builtinId="8" hidden="1"/>
    <cellStyle name="Hyperlink" xfId="19" builtinId="8" hidden="1"/>
    <cellStyle name="Hyperlink" xfId="23" builtinId="8" hidden="1"/>
    <cellStyle name="Hyperlink" xfId="27" builtinId="8" hidden="1"/>
    <cellStyle name="Hyperlink" xfId="31" builtinId="8" hidden="1"/>
    <cellStyle name="Hyperlink" xfId="77" builtinId="8" hidden="1"/>
    <cellStyle name="Hyperlink" xfId="81" builtinId="8" hidden="1"/>
    <cellStyle name="Hyperlink" xfId="75" builtinId="8" hidden="1"/>
    <cellStyle name="Hyperlink" xfId="69"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Hyperlink" xfId="2109" builtinId="8" hidden="1"/>
    <cellStyle name="Hyperlink" xfId="2111" builtinId="8" hidden="1"/>
    <cellStyle name="Hyperlink" xfId="2113" builtinId="8" hidden="1"/>
    <cellStyle name="Hyperlink" xfId="2115" builtinId="8" hidden="1"/>
    <cellStyle name="Hyperlink" xfId="2117" builtinId="8" hidden="1"/>
    <cellStyle name="Hyperlink" xfId="2119" builtinId="8" hidden="1"/>
    <cellStyle name="Hyperlink" xfId="2121" builtinId="8" hidden="1"/>
    <cellStyle name="Hyperlink" xfId="2123" builtinId="8" hidden="1"/>
    <cellStyle name="Hyperlink" xfId="2125" builtinId="8" hidden="1"/>
    <cellStyle name="Hyperlink" xfId="2127" builtinId="8" hidden="1"/>
    <cellStyle name="Hyperlink" xfId="2129" builtinId="8" hidden="1"/>
    <cellStyle name="Hyperlink" xfId="2131" builtinId="8" hidden="1"/>
    <cellStyle name="Hyperlink" xfId="2133" builtinId="8" hidden="1"/>
    <cellStyle name="Hyperlink" xfId="2135" builtinId="8" hidden="1"/>
    <cellStyle name="Hyperlink" xfId="2137" builtinId="8" hidden="1"/>
    <cellStyle name="Hyperlink" xfId="2139" builtinId="8" hidden="1"/>
    <cellStyle name="Hyperlink" xfId="2141" builtinId="8" hidden="1"/>
    <cellStyle name="Hyperlink" xfId="2143" builtinId="8" hidden="1"/>
    <cellStyle name="Hyperlink" xfId="2145" builtinId="8" hidden="1"/>
    <cellStyle name="Hyperlink" xfId="2147" builtinId="8" hidden="1"/>
    <cellStyle name="Hyperlink" xfId="2149" builtinId="8" hidden="1"/>
    <cellStyle name="Hyperlink" xfId="2151" builtinId="8" hidden="1"/>
    <cellStyle name="Hyperlink" xfId="2153" builtinId="8" hidden="1"/>
    <cellStyle name="Hyperlink" xfId="2155" builtinId="8" hidden="1"/>
    <cellStyle name="Hyperlink" xfId="2157" builtinId="8" hidden="1"/>
    <cellStyle name="Hyperlink" xfId="2159" builtinId="8" hidden="1"/>
    <cellStyle name="Hyperlink" xfId="2161" builtinId="8" hidden="1"/>
    <cellStyle name="Hyperlink" xfId="2163" builtinId="8" hidden="1"/>
    <cellStyle name="Hyperlink" xfId="2165" builtinId="8" hidden="1"/>
    <cellStyle name="Hyperlink" xfId="2167" builtinId="8" hidden="1"/>
    <cellStyle name="Hyperlink" xfId="2169" builtinId="8" hidden="1"/>
    <cellStyle name="Hyperlink" xfId="2171" builtinId="8" hidden="1"/>
    <cellStyle name="Hyperlink" xfId="2173" builtinId="8" hidden="1"/>
    <cellStyle name="Hyperlink" xfId="2175" builtinId="8" hidden="1"/>
    <cellStyle name="Hyperlink" xfId="2177" builtinId="8" hidden="1"/>
    <cellStyle name="Hyperlink" xfId="2179" builtinId="8" hidden="1"/>
    <cellStyle name="Hyperlink" xfId="2181" builtinId="8" hidden="1"/>
    <cellStyle name="Hyperlink" xfId="2183" builtinId="8" hidden="1"/>
    <cellStyle name="Hyperlink" xfId="2185" builtinId="8" hidden="1"/>
    <cellStyle name="Hyperlink" xfId="2187" builtinId="8" hidden="1"/>
    <cellStyle name="Hyperlink" xfId="2189" builtinId="8" hidden="1"/>
    <cellStyle name="Hyperlink" xfId="2191" builtinId="8" hidden="1"/>
    <cellStyle name="Hyperlink" xfId="2193" builtinId="8" hidden="1"/>
    <cellStyle name="Hyperlink" xfId="2195" builtinId="8" hidden="1"/>
    <cellStyle name="Hyperlink" xfId="2197" builtinId="8" hidden="1"/>
    <cellStyle name="Hyperlink" xfId="2199" builtinId="8" hidden="1"/>
    <cellStyle name="Hyperlink" xfId="2201" builtinId="8" hidden="1"/>
    <cellStyle name="Hyperlink" xfId="2203" builtinId="8" hidden="1"/>
    <cellStyle name="Hyperlink" xfId="2205" builtinId="8" hidden="1"/>
    <cellStyle name="Hyperlink" xfId="2207" builtinId="8" hidden="1"/>
    <cellStyle name="Hyperlink" xfId="2209" builtinId="8" hidden="1"/>
    <cellStyle name="Hyperlink" xfId="2211" builtinId="8" hidden="1"/>
    <cellStyle name="Hyperlink" xfId="2213" builtinId="8" hidden="1"/>
    <cellStyle name="Hyperlink" xfId="2215" builtinId="8" hidden="1"/>
    <cellStyle name="Hyperlink" xfId="2217" builtinId="8" hidden="1"/>
    <cellStyle name="Hyperlink" xfId="2219" builtinId="8" hidden="1"/>
    <cellStyle name="Hyperlink" xfId="2221" builtinId="8" hidden="1"/>
    <cellStyle name="Hyperlink" xfId="2223" builtinId="8" hidden="1"/>
    <cellStyle name="Hyperlink" xfId="2225" builtinId="8" hidden="1"/>
    <cellStyle name="Hyperlink" xfId="2227" builtinId="8" hidden="1"/>
    <cellStyle name="Hyperlink" xfId="2229" builtinId="8" hidden="1"/>
    <cellStyle name="Hyperlink" xfId="2231" builtinId="8" hidden="1"/>
    <cellStyle name="Hyperlink" xfId="2233" builtinId="8" hidden="1"/>
    <cellStyle name="Hyperlink" xfId="2235" builtinId="8" hidden="1"/>
    <cellStyle name="Hyperlink" xfId="2237" builtinId="8" hidden="1"/>
    <cellStyle name="Hyperlink" xfId="2239" builtinId="8" hidden="1"/>
    <cellStyle name="Hyperlink" xfId="2241" builtinId="8" hidden="1"/>
    <cellStyle name="Hyperlink" xfId="2243" builtinId="8" hidden="1"/>
    <cellStyle name="Hyperlink" xfId="2245" builtinId="8" hidden="1"/>
    <cellStyle name="Hyperlink" xfId="2247" builtinId="8" hidden="1"/>
    <cellStyle name="Hyperlink" xfId="2249" builtinId="8" hidden="1"/>
    <cellStyle name="Hyperlink" xfId="2251" builtinId="8" hidden="1"/>
    <cellStyle name="Hyperlink" xfId="2253" builtinId="8" hidden="1"/>
    <cellStyle name="Hyperlink" xfId="2255" builtinId="8" hidden="1"/>
    <cellStyle name="Hyperlink" xfId="2257" builtinId="8" hidden="1"/>
    <cellStyle name="Hyperlink" xfId="2259" builtinId="8" hidden="1"/>
    <cellStyle name="Hyperlink" xfId="2261" builtinId="8" hidden="1"/>
    <cellStyle name="Hyperlink" xfId="2263" builtinId="8" hidden="1"/>
    <cellStyle name="Hyperlink" xfId="2265" builtinId="8" hidden="1"/>
    <cellStyle name="Hyperlink" xfId="2269" builtinId="8" hidden="1"/>
    <cellStyle name="Hyperlink" xfId="2271" builtinId="8" hidden="1"/>
    <cellStyle name="Hyperlink" xfId="2273" builtinId="8" hidden="1"/>
    <cellStyle name="Hyperlink" xfId="2275" builtinId="8" hidden="1"/>
    <cellStyle name="Hyperlink" xfId="2277" builtinId="8" hidden="1"/>
    <cellStyle name="Hyperlink" xfId="2279" builtinId="8" hidden="1"/>
    <cellStyle name="Hyperlink" xfId="2281" builtinId="8" hidden="1"/>
    <cellStyle name="Hyperlink" xfId="2283" builtinId="8" hidden="1"/>
    <cellStyle name="Hyperlink" xfId="2285" builtinId="8" hidden="1"/>
    <cellStyle name="Hyperlink" xfId="2287" builtinId="8" hidden="1"/>
    <cellStyle name="Hyperlink" xfId="2289" builtinId="8" hidden="1"/>
    <cellStyle name="Hyperlink" xfId="2291" builtinId="8" hidden="1"/>
    <cellStyle name="Hyperlink" xfId="2293" builtinId="8" hidden="1"/>
    <cellStyle name="Hyperlink" xfId="2295" builtinId="8" hidden="1"/>
    <cellStyle name="Hyperlink" xfId="2297" builtinId="8" hidden="1"/>
    <cellStyle name="Hyperlink" xfId="2299" builtinId="8" hidden="1"/>
    <cellStyle name="Hyperlink" xfId="2301" builtinId="8" hidden="1"/>
    <cellStyle name="Hyperlink" xfId="2303" builtinId="8" hidden="1"/>
    <cellStyle name="Hyperlink" xfId="2305" builtinId="8" hidden="1"/>
    <cellStyle name="Hyperlink" xfId="2307" builtinId="8" hidden="1"/>
    <cellStyle name="Hyperlink" xfId="2309" builtinId="8" hidden="1"/>
    <cellStyle name="Hyperlink" xfId="2311" builtinId="8" hidden="1"/>
    <cellStyle name="Hyperlink" xfId="2313" builtinId="8" hidden="1"/>
    <cellStyle name="Hyperlink" xfId="2315" builtinId="8" hidden="1"/>
    <cellStyle name="Hyperlink" xfId="2317" builtinId="8" hidden="1"/>
    <cellStyle name="Hyperlink" xfId="2319" builtinId="8" hidden="1"/>
    <cellStyle name="Hyperlink" xfId="2321" builtinId="8" hidden="1"/>
    <cellStyle name="Hyperlink" xfId="2323" builtinId="8" hidden="1"/>
    <cellStyle name="Hyperlink" xfId="2325" builtinId="8" hidden="1"/>
    <cellStyle name="Hyperlink" xfId="2327" builtinId="8" hidden="1"/>
    <cellStyle name="Hyperlink" xfId="2329" builtinId="8" hidden="1"/>
    <cellStyle name="Hyperlink" xfId="2331" builtinId="8" hidden="1"/>
    <cellStyle name="Hyperlink" xfId="2333" builtinId="8" hidden="1"/>
    <cellStyle name="Hyperlink" xfId="2335" builtinId="8" hidden="1"/>
    <cellStyle name="Hyperlink" xfId="2337" builtinId="8" hidden="1"/>
    <cellStyle name="Hyperlink" xfId="2339" builtinId="8" hidden="1"/>
    <cellStyle name="Hyperlink" xfId="2341" builtinId="8" hidden="1"/>
    <cellStyle name="Hyperlink" xfId="2343" builtinId="8" hidden="1"/>
    <cellStyle name="Hyperlink" xfId="2345" builtinId="8" hidden="1"/>
    <cellStyle name="Hyperlink" xfId="2347" builtinId="8" hidden="1"/>
    <cellStyle name="Hyperlink" xfId="2349" builtinId="8" hidden="1"/>
    <cellStyle name="Hyperlink" xfId="2351" builtinId="8" hidden="1"/>
    <cellStyle name="Hyperlink" xfId="2353" builtinId="8" hidden="1"/>
    <cellStyle name="Hyperlink" xfId="2355" builtinId="8" hidden="1"/>
    <cellStyle name="Hyperlink" xfId="2357" builtinId="8" hidden="1"/>
    <cellStyle name="Hyperlink" xfId="2359" builtinId="8" hidden="1"/>
    <cellStyle name="Hyperlink" xfId="2361" builtinId="8" hidden="1"/>
    <cellStyle name="Hyperlink" xfId="2363" builtinId="8" hidden="1"/>
    <cellStyle name="Hyperlink" xfId="2365" builtinId="8" hidden="1"/>
    <cellStyle name="Hyperlink" xfId="2367" builtinId="8" hidden="1"/>
    <cellStyle name="Hyperlink" xfId="2369" builtinId="8" hidden="1"/>
    <cellStyle name="Hyperlink" xfId="2371" builtinId="8" hidden="1"/>
    <cellStyle name="Hyperlink" xfId="2373" builtinId="8" hidden="1"/>
    <cellStyle name="Hyperlink" xfId="2375" builtinId="8" hidden="1"/>
    <cellStyle name="Hyperlink" xfId="2377" builtinId="8" hidden="1"/>
    <cellStyle name="Hyperlink" xfId="2379" builtinId="8" hidden="1"/>
    <cellStyle name="Hyperlink" xfId="2381" builtinId="8" hidden="1"/>
    <cellStyle name="Hyperlink" xfId="2383" builtinId="8" hidden="1"/>
    <cellStyle name="Hyperlink" xfId="2385" builtinId="8" hidden="1"/>
    <cellStyle name="Hyperlink" xfId="2387" builtinId="8" hidden="1"/>
    <cellStyle name="Hyperlink" xfId="2389" builtinId="8" hidden="1"/>
    <cellStyle name="Hyperlink" xfId="2391" builtinId="8" hidden="1"/>
    <cellStyle name="Hyperlink" xfId="2393" builtinId="8" hidden="1"/>
    <cellStyle name="Hyperlink" xfId="2395" builtinId="8" hidden="1"/>
    <cellStyle name="Hyperlink" xfId="2397" builtinId="8" hidden="1"/>
    <cellStyle name="Hyperlink" xfId="2399" builtinId="8" hidden="1"/>
    <cellStyle name="Hyperlink" xfId="2401" builtinId="8" hidden="1"/>
    <cellStyle name="Hyperlink" xfId="2403" builtinId="8" hidden="1"/>
    <cellStyle name="Hyperlink" xfId="2405" builtinId="8" hidden="1"/>
    <cellStyle name="Hyperlink" xfId="2407" builtinId="8" hidden="1"/>
    <cellStyle name="Hyperlink" xfId="2409" builtinId="8" hidden="1"/>
    <cellStyle name="Hyperlink" xfId="2411" builtinId="8" hidden="1"/>
    <cellStyle name="Hyperlink" xfId="2413" builtinId="8" hidden="1"/>
    <cellStyle name="Hyperlink" xfId="2415" builtinId="8" hidden="1"/>
    <cellStyle name="Hyperlink" xfId="2417" builtinId="8" hidden="1"/>
    <cellStyle name="Hyperlink" xfId="2419" builtinId="8" hidden="1"/>
    <cellStyle name="Hyperlink" xfId="2421" builtinId="8" hidden="1"/>
    <cellStyle name="Hyperlink" xfId="2423" builtinId="8" hidden="1"/>
    <cellStyle name="Hyperlink" xfId="2425" builtinId="8" hidden="1"/>
    <cellStyle name="Hyperlink" xfId="2427" builtinId="8" hidden="1"/>
    <cellStyle name="Hyperlink" xfId="2429" builtinId="8" hidden="1"/>
    <cellStyle name="Hyperlink" xfId="2431" builtinId="8" hidden="1"/>
    <cellStyle name="Hyperlink" xfId="2433" builtinId="8" hidden="1"/>
    <cellStyle name="Hyperlink" xfId="2435" builtinId="8" hidden="1"/>
    <cellStyle name="Hyperlink" xfId="2437" builtinId="8" hidden="1"/>
    <cellStyle name="Hyperlink" xfId="2439" builtinId="8" hidden="1"/>
    <cellStyle name="Hyperlink" xfId="2441" builtinId="8" hidden="1"/>
    <cellStyle name="Hyperlink" xfId="2443" builtinId="8" hidden="1"/>
    <cellStyle name="Hyperlink" xfId="2445" builtinId="8" hidden="1"/>
    <cellStyle name="Hyperlink" xfId="2447" builtinId="8" hidden="1"/>
    <cellStyle name="Hyperlink" xfId="2449" builtinId="8" hidden="1"/>
    <cellStyle name="Hyperlink" xfId="2451" builtinId="8" hidden="1"/>
    <cellStyle name="Hyperlink" xfId="2453" builtinId="8" hidden="1"/>
    <cellStyle name="Hyperlink" xfId="2455" builtinId="8" hidden="1"/>
    <cellStyle name="Hyperlink" xfId="2457" builtinId="8" hidden="1"/>
    <cellStyle name="Hyperlink" xfId="2459" builtinId="8" hidden="1"/>
    <cellStyle name="Hyperlink" xfId="2461" builtinId="8" hidden="1"/>
    <cellStyle name="Hyperlink" xfId="2463" builtinId="8" hidden="1"/>
    <cellStyle name="Hyperlink" xfId="2465" builtinId="8" hidden="1"/>
    <cellStyle name="Hyperlink" xfId="2467" builtinId="8" hidden="1"/>
    <cellStyle name="Hyperlink" xfId="2469" builtinId="8" hidden="1"/>
    <cellStyle name="Hyperlink" xfId="2471" builtinId="8" hidden="1"/>
    <cellStyle name="Hyperlink" xfId="2473" builtinId="8" hidden="1"/>
    <cellStyle name="Hyperlink" xfId="2475" builtinId="8" hidden="1"/>
    <cellStyle name="Hyperlink" xfId="2477" builtinId="8" hidden="1"/>
    <cellStyle name="Hyperlink" xfId="2479" builtinId="8"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hidden="1"/>
    <cellStyle name="Hyperlink" xfId="3445" builtinId="8" hidden="1"/>
    <cellStyle name="Hyperlink" xfId="3447" builtinId="8" hidden="1"/>
    <cellStyle name="Hyperlink" xfId="3449" builtinId="8" hidden="1"/>
    <cellStyle name="Hyperlink" xfId="3451" builtinId="8" hidden="1"/>
    <cellStyle name="Hyperlink" xfId="3453" builtinId="8" hidden="1"/>
    <cellStyle name="Hyperlink" xfId="3455" builtinId="8" hidden="1"/>
    <cellStyle name="Hyperlink" xfId="3457" builtinId="8" hidden="1"/>
    <cellStyle name="Hyperlink" xfId="3459" builtinId="8" hidden="1"/>
    <cellStyle name="Hyperlink" xfId="3461" builtinId="8" hidden="1"/>
    <cellStyle name="Hyperlink" xfId="3463" builtinId="8" hidden="1"/>
    <cellStyle name="Hyperlink" xfId="3465" builtinId="8" hidden="1"/>
    <cellStyle name="Hyperlink" xfId="3467" builtinId="8" hidden="1"/>
    <cellStyle name="Hyperlink" xfId="3469" builtinId="8" hidden="1"/>
    <cellStyle name="Hyperlink" xfId="3471" builtinId="8" hidden="1"/>
    <cellStyle name="Hyperlink" xfId="3473" builtinId="8" hidden="1"/>
    <cellStyle name="Hyperlink" xfId="3475" builtinId="8" hidden="1"/>
    <cellStyle name="Hyperlink" xfId="3477" builtinId="8" hidden="1"/>
    <cellStyle name="Hyperlink" xfId="3479" builtinId="8" hidden="1"/>
    <cellStyle name="Hyperlink" xfId="3481" builtinId="8" hidden="1"/>
    <cellStyle name="Hyperlink" xfId="3483" builtinId="8" hidden="1"/>
    <cellStyle name="Hyperlink" xfId="3485" builtinId="8" hidden="1"/>
    <cellStyle name="Hyperlink" xfId="3487" builtinId="8" hidden="1"/>
    <cellStyle name="Hyperlink" xfId="3489" builtinId="8" hidden="1"/>
    <cellStyle name="Hyperlink" xfId="3491" builtinId="8" hidden="1"/>
    <cellStyle name="Hyperlink" xfId="3493" builtinId="8" hidden="1"/>
    <cellStyle name="Hyperlink" xfId="3495" builtinId="8" hidden="1"/>
    <cellStyle name="Hyperlink" xfId="3497" builtinId="8" hidden="1"/>
    <cellStyle name="Hyperlink" xfId="3499" builtinId="8" hidden="1"/>
    <cellStyle name="Hyperlink" xfId="3501" builtinId="8" hidden="1"/>
    <cellStyle name="Hyperlink" xfId="3503" builtinId="8" hidden="1"/>
    <cellStyle name="Hyperlink" xfId="3505" builtinId="8" hidden="1"/>
    <cellStyle name="Hyperlink" xfId="3507" builtinId="8" hidden="1"/>
    <cellStyle name="Hyperlink" xfId="3509" builtinId="8" hidden="1"/>
    <cellStyle name="Hyperlink" xfId="3511" builtinId="8" hidden="1"/>
    <cellStyle name="Hyperlink" xfId="3513" builtinId="8" hidden="1"/>
    <cellStyle name="Hyperlink" xfId="3515" builtinId="8" hidden="1"/>
    <cellStyle name="Hyperlink" xfId="3517" builtinId="8" hidden="1"/>
    <cellStyle name="Hyperlink" xfId="3519" builtinId="8" hidden="1"/>
    <cellStyle name="Hyperlink" xfId="3521" builtinId="8" hidden="1"/>
    <cellStyle name="Hyperlink" xfId="3523" builtinId="8" hidden="1"/>
    <cellStyle name="Hyperlink" xfId="3525" builtinId="8" hidden="1"/>
    <cellStyle name="Hyperlink" xfId="3527" builtinId="8" hidden="1"/>
    <cellStyle name="Hyperlink" xfId="3529" builtinId="8" hidden="1"/>
    <cellStyle name="Hyperlink" xfId="3531" builtinId="8" hidden="1"/>
    <cellStyle name="Hyperlink" xfId="3533" builtinId="8" hidden="1"/>
    <cellStyle name="Hyperlink" xfId="3535" builtinId="8" hidden="1"/>
    <cellStyle name="Hyperlink" xfId="3537" builtinId="8" hidden="1"/>
    <cellStyle name="Hyperlink" xfId="3539" builtinId="8" hidden="1"/>
    <cellStyle name="Hyperlink" xfId="3541" builtinId="8" hidden="1"/>
    <cellStyle name="Hyperlink" xfId="3543" builtinId="8" hidden="1"/>
    <cellStyle name="Hyperlink" xfId="3545" builtinId="8" hidden="1"/>
    <cellStyle name="Hyperlink" xfId="3547" builtinId="8" hidden="1"/>
    <cellStyle name="Hyperlink" xfId="3549" builtinId="8" hidden="1"/>
    <cellStyle name="Hyperlink" xfId="3551" builtinId="8" hidden="1"/>
    <cellStyle name="Hyperlink" xfId="3553" builtinId="8" hidden="1"/>
    <cellStyle name="Hyperlink" xfId="3555" builtinId="8" hidden="1"/>
    <cellStyle name="Hyperlink" xfId="3557" builtinId="8" hidden="1"/>
    <cellStyle name="Hyperlink" xfId="3559" builtinId="8" hidden="1"/>
    <cellStyle name="Hyperlink" xfId="3561" builtinId="8" hidden="1"/>
    <cellStyle name="Hyperlink" xfId="3563" builtinId="8" hidden="1"/>
    <cellStyle name="Hyperlink" xfId="3565" builtinId="8" hidden="1"/>
    <cellStyle name="Hyperlink" xfId="3567" builtinId="8" hidden="1"/>
    <cellStyle name="Hyperlink" xfId="3569" builtinId="8" hidden="1"/>
    <cellStyle name="Hyperlink" xfId="3571" builtinId="8" hidden="1"/>
    <cellStyle name="Hyperlink" xfId="3573" builtinId="8" hidden="1"/>
    <cellStyle name="Hyperlink" xfId="3575" builtinId="8" hidden="1"/>
    <cellStyle name="Hyperlink" xfId="3577" builtinId="8" hidden="1"/>
    <cellStyle name="Hyperlink" xfId="3579" builtinId="8" hidden="1"/>
    <cellStyle name="Hyperlink" xfId="3581" builtinId="8" hidden="1"/>
    <cellStyle name="Hyperlink" xfId="3583" builtinId="8" hidden="1"/>
    <cellStyle name="Hyperlink" xfId="3585" builtinId="8" hidden="1"/>
    <cellStyle name="Hyperlink" xfId="3587" builtinId="8" hidden="1"/>
    <cellStyle name="Hyperlink" xfId="3589" builtinId="8" hidden="1"/>
    <cellStyle name="Hyperlink" xfId="3591" builtinId="8" hidden="1"/>
    <cellStyle name="Hyperlink" xfId="3593" builtinId="8" hidden="1"/>
    <cellStyle name="Hyperlink" xfId="3595" builtinId="8" hidden="1"/>
    <cellStyle name="Hyperlink" xfId="3597" builtinId="8" hidden="1"/>
    <cellStyle name="Hyperlink" xfId="3599" builtinId="8" hidden="1"/>
    <cellStyle name="Hyperlink" xfId="3601" builtinId="8" hidden="1"/>
    <cellStyle name="Hyperlink" xfId="3603" builtinId="8" hidden="1"/>
    <cellStyle name="Hyperlink" xfId="3605" builtinId="8" hidden="1"/>
    <cellStyle name="Hyperlink" xfId="3607" builtinId="8" hidden="1"/>
    <cellStyle name="Hyperlink" xfId="3609" builtinId="8" hidden="1"/>
    <cellStyle name="Hyperlink" xfId="3611" builtinId="8" hidden="1"/>
    <cellStyle name="Hyperlink" xfId="3613" builtinId="8" hidden="1"/>
    <cellStyle name="Hyperlink" xfId="3615" builtinId="8" hidden="1"/>
    <cellStyle name="Hyperlink" xfId="3617" builtinId="8" hidden="1"/>
    <cellStyle name="Hyperlink" xfId="3619" builtinId="8" hidden="1"/>
    <cellStyle name="Hyperlink" xfId="3621" builtinId="8" hidden="1"/>
    <cellStyle name="Hyperlink" xfId="3623" builtinId="8" hidden="1"/>
    <cellStyle name="Hyperlink" xfId="3625" builtinId="8" hidden="1"/>
    <cellStyle name="Hyperlink" xfId="3627" builtinId="8" hidden="1"/>
    <cellStyle name="Hyperlink" xfId="3629" builtinId="8" hidden="1"/>
    <cellStyle name="Hyperlink" xfId="3631" builtinId="8" hidden="1"/>
    <cellStyle name="Hyperlink" xfId="3633" builtinId="8" hidden="1"/>
    <cellStyle name="Hyperlink" xfId="3635" builtinId="8" hidden="1"/>
    <cellStyle name="Hyperlink" xfId="3637" builtinId="8" hidden="1"/>
    <cellStyle name="Hyperlink" xfId="3639" builtinId="8" hidden="1"/>
    <cellStyle name="Hyperlink" xfId="3641" builtinId="8" hidden="1"/>
    <cellStyle name="Hyperlink" xfId="3643" builtinId="8" hidden="1"/>
    <cellStyle name="Hyperlink" xfId="3645" builtinId="8" hidden="1"/>
    <cellStyle name="Hyperlink" xfId="3647" builtinId="8" hidden="1"/>
    <cellStyle name="Hyperlink" xfId="3649" builtinId="8" hidden="1"/>
    <cellStyle name="Hyperlink" xfId="3651" builtinId="8" hidden="1"/>
    <cellStyle name="Hyperlink" xfId="3653" builtinId="8" hidden="1"/>
    <cellStyle name="Hyperlink" xfId="3655" builtinId="8" hidden="1"/>
    <cellStyle name="Hyperlink" xfId="3657" builtinId="8" hidden="1"/>
    <cellStyle name="Hyperlink" xfId="3659" builtinId="8" hidden="1"/>
    <cellStyle name="Hyperlink" xfId="3661" builtinId="8" hidden="1"/>
    <cellStyle name="Hyperlink" xfId="3663" builtinId="8" hidden="1"/>
    <cellStyle name="Hyperlink" xfId="3665" builtinId="8" hidden="1"/>
    <cellStyle name="Hyperlink" xfId="3667" builtinId="8" hidden="1"/>
    <cellStyle name="Hyperlink" xfId="3669" builtinId="8" hidden="1"/>
    <cellStyle name="Hyperlink" xfId="3671" builtinId="8" hidden="1"/>
    <cellStyle name="Hyperlink" xfId="3673" builtinId="8" hidden="1"/>
    <cellStyle name="Hyperlink" xfId="3675" builtinId="8" hidden="1"/>
    <cellStyle name="Hyperlink" xfId="3677" builtinId="8" hidden="1"/>
    <cellStyle name="Hyperlink" xfId="3679" builtinId="8" hidden="1"/>
    <cellStyle name="Hyperlink" xfId="3681" builtinId="8" hidden="1"/>
    <cellStyle name="Hyperlink" xfId="3683" builtinId="8" hidden="1"/>
    <cellStyle name="Hyperlink" xfId="3685" builtinId="8" hidden="1"/>
    <cellStyle name="Hyperlink" xfId="3687" builtinId="8" hidden="1"/>
    <cellStyle name="Hyperlink" xfId="3689" builtinId="8" hidden="1"/>
    <cellStyle name="Hyperlink" xfId="3691" builtinId="8" hidden="1"/>
    <cellStyle name="Hyperlink" xfId="3693" builtinId="8" hidden="1"/>
    <cellStyle name="Hyperlink" xfId="3695" builtinId="8" hidden="1"/>
    <cellStyle name="Hyperlink" xfId="3697" builtinId="8" hidden="1"/>
    <cellStyle name="Hyperlink" xfId="3699" builtinId="8" hidden="1"/>
    <cellStyle name="Hyperlink" xfId="3701" builtinId="8" hidden="1"/>
    <cellStyle name="Hyperlink" xfId="3703" builtinId="8" hidden="1"/>
    <cellStyle name="Hyperlink" xfId="3705" builtinId="8" hidden="1"/>
    <cellStyle name="Hyperlink" xfId="3707" builtinId="8" hidden="1"/>
    <cellStyle name="Hyperlink" xfId="3709" builtinId="8" hidden="1"/>
    <cellStyle name="Hyperlink" xfId="3711" builtinId="8" hidden="1"/>
    <cellStyle name="Hyperlink" xfId="3713" builtinId="8" hidden="1"/>
    <cellStyle name="Hyperlink" xfId="3715" builtinId="8" hidden="1"/>
    <cellStyle name="Hyperlink" xfId="3717" builtinId="8" hidden="1"/>
    <cellStyle name="Hyperlink" xfId="3719" builtinId="8" hidden="1"/>
    <cellStyle name="Hyperlink" xfId="3721" builtinId="8" hidden="1"/>
    <cellStyle name="Hyperlink" xfId="3723" builtinId="8" hidden="1"/>
    <cellStyle name="Hyperlink" xfId="3725" builtinId="8" hidden="1"/>
    <cellStyle name="Hyperlink" xfId="3727" builtinId="8" hidden="1"/>
    <cellStyle name="Hyperlink" xfId="3729" builtinId="8" hidden="1"/>
    <cellStyle name="Hyperlink" xfId="3731" builtinId="8" hidden="1"/>
    <cellStyle name="Hyperlink" xfId="3733" builtinId="8" hidden="1"/>
    <cellStyle name="Hyperlink" xfId="3735" builtinId="8" hidden="1"/>
    <cellStyle name="Hyperlink" xfId="3737" builtinId="8" hidden="1"/>
    <cellStyle name="Hyperlink" xfId="3739" builtinId="8" hidden="1"/>
    <cellStyle name="Hyperlink" xfId="3741" builtinId="8" hidden="1"/>
    <cellStyle name="Hyperlink" xfId="3743" builtinId="8" hidden="1"/>
    <cellStyle name="Hyperlink" xfId="3745" builtinId="8" hidden="1"/>
    <cellStyle name="Hyperlink" xfId="3747" builtinId="8" hidden="1"/>
    <cellStyle name="Hyperlink" xfId="3749" builtinId="8" hidden="1"/>
    <cellStyle name="Hyperlink" xfId="3751" builtinId="8" hidden="1"/>
    <cellStyle name="Hyperlink" xfId="3753" builtinId="8" hidden="1"/>
    <cellStyle name="Hyperlink" xfId="3755" builtinId="8" hidden="1"/>
    <cellStyle name="Hyperlink" xfId="3757" builtinId="8" hidden="1"/>
    <cellStyle name="Hyperlink" xfId="3759" builtinId="8" hidden="1"/>
    <cellStyle name="Hyperlink" xfId="3761" builtinId="8" hidden="1"/>
    <cellStyle name="Hyperlink" xfId="3763" builtinId="8" hidden="1"/>
    <cellStyle name="Hyperlink" xfId="3765" builtinId="8" hidden="1"/>
    <cellStyle name="Hyperlink" xfId="3767" builtinId="8" hidden="1"/>
    <cellStyle name="Hyperlink" xfId="3769" builtinId="8" hidden="1"/>
    <cellStyle name="Hyperlink" xfId="3771" builtinId="8" hidden="1"/>
    <cellStyle name="Hyperlink" xfId="3773" builtinId="8" hidden="1"/>
    <cellStyle name="Hyperlink" xfId="3775" builtinId="8" hidden="1"/>
    <cellStyle name="Hyperlink" xfId="3777" builtinId="8" hidden="1"/>
    <cellStyle name="Hyperlink" xfId="3779" builtinId="8" hidden="1"/>
    <cellStyle name="Hyperlink" xfId="3781" builtinId="8" hidden="1"/>
    <cellStyle name="Hyperlink" xfId="3783" builtinId="8" hidden="1"/>
    <cellStyle name="Hyperlink" xfId="3785" builtinId="8" hidden="1"/>
    <cellStyle name="Hyperlink" xfId="3787" builtinId="8" hidden="1"/>
    <cellStyle name="Hyperlink" xfId="3789" builtinId="8" hidden="1"/>
    <cellStyle name="Hyperlink" xfId="3791" builtinId="8" hidden="1"/>
    <cellStyle name="Hyperlink" xfId="3793" builtinId="8" hidden="1"/>
    <cellStyle name="Hyperlink" xfId="3795" builtinId="8" hidden="1"/>
    <cellStyle name="Hyperlink" xfId="3797" builtinId="8" hidden="1"/>
    <cellStyle name="Hyperlink" xfId="3799" builtinId="8" hidden="1"/>
    <cellStyle name="Hyperlink" xfId="3801" builtinId="8" hidden="1"/>
    <cellStyle name="Hyperlink" xfId="3803" builtinId="8" hidden="1"/>
    <cellStyle name="Hyperlink" xfId="3805" builtinId="8" hidden="1"/>
    <cellStyle name="Hyperlink" xfId="3807" builtinId="8" hidden="1"/>
    <cellStyle name="Hyperlink" xfId="3809" builtinId="8" hidden="1"/>
    <cellStyle name="Hyperlink" xfId="3811" builtinId="8" hidden="1"/>
    <cellStyle name="Hyperlink" xfId="3813" builtinId="8" hidden="1"/>
    <cellStyle name="Hyperlink" xfId="3815" builtinId="8" hidden="1"/>
    <cellStyle name="Hyperlink" xfId="3817" builtinId="8" hidden="1"/>
    <cellStyle name="Hyperlink" xfId="3819" builtinId="8" hidden="1"/>
    <cellStyle name="Hyperlink" xfId="3821" builtinId="8" hidden="1"/>
    <cellStyle name="Hyperlink" xfId="3823" builtinId="8" hidden="1"/>
    <cellStyle name="Hyperlink" xfId="3825" builtinId="8" hidden="1"/>
    <cellStyle name="Hyperlink" xfId="3827" builtinId="8" hidden="1"/>
    <cellStyle name="Hyperlink" xfId="3829" builtinId="8" hidden="1"/>
    <cellStyle name="Hyperlink" xfId="3831" builtinId="8" hidden="1"/>
    <cellStyle name="Hyperlink" xfId="3833" builtinId="8" hidden="1"/>
    <cellStyle name="Hyperlink" xfId="3835" builtinId="8" hidden="1"/>
    <cellStyle name="Hyperlink" xfId="3837" builtinId="8" hidden="1"/>
    <cellStyle name="Hyperlink" xfId="3839" builtinId="8" hidden="1"/>
    <cellStyle name="Hyperlink" xfId="3841" builtinId="8" hidden="1"/>
    <cellStyle name="Hyperlink" xfId="3843" builtinId="8" hidden="1"/>
    <cellStyle name="Hyperlink" xfId="3845" builtinId="8" hidden="1"/>
    <cellStyle name="Hyperlink" xfId="3847" builtinId="8" hidden="1"/>
    <cellStyle name="Hyperlink" xfId="3849" builtinId="8" hidden="1"/>
    <cellStyle name="Hyperlink" xfId="3851" builtinId="8" hidden="1"/>
    <cellStyle name="Hyperlink" xfId="3853" builtinId="8" hidden="1"/>
    <cellStyle name="Hyperlink" xfId="3855" builtinId="8" hidden="1"/>
    <cellStyle name="Hyperlink" xfId="3857" builtinId="8" hidden="1"/>
    <cellStyle name="Hyperlink" xfId="3859" builtinId="8" hidden="1"/>
    <cellStyle name="Hyperlink" xfId="3861" builtinId="8" hidden="1"/>
    <cellStyle name="Hyperlink" xfId="3863" builtinId="8" hidden="1"/>
    <cellStyle name="Hyperlink" xfId="3865" builtinId="8" hidden="1"/>
    <cellStyle name="Hyperlink" xfId="3867" builtinId="8" hidden="1"/>
    <cellStyle name="Hyperlink" xfId="3869" builtinId="8" hidden="1"/>
    <cellStyle name="Hyperlink" xfId="3871" builtinId="8" hidden="1"/>
    <cellStyle name="Hyperlink" xfId="3873" builtinId="8" hidden="1"/>
    <cellStyle name="Hyperlink" xfId="3875" builtinId="8" hidden="1"/>
    <cellStyle name="Hyperlink" xfId="3877" builtinId="8" hidden="1"/>
    <cellStyle name="Hyperlink" xfId="3879" builtinId="8" hidden="1"/>
    <cellStyle name="Hyperlink" xfId="3881" builtinId="8" hidden="1"/>
    <cellStyle name="Hyperlink" xfId="3883" builtinId="8" hidden="1"/>
    <cellStyle name="Hyperlink" xfId="3885" builtinId="8" hidden="1"/>
    <cellStyle name="Hyperlink" xfId="3887" builtinId="8" hidden="1"/>
    <cellStyle name="Hyperlink" xfId="3889" builtinId="8" hidden="1"/>
    <cellStyle name="Hyperlink" xfId="3891" builtinId="8" hidden="1"/>
    <cellStyle name="Hyperlink" xfId="3893" builtinId="8" hidden="1"/>
    <cellStyle name="Hyperlink" xfId="3895" builtinId="8" hidden="1"/>
    <cellStyle name="Hyperlink" xfId="3897" builtinId="8" hidden="1"/>
    <cellStyle name="Hyperlink" xfId="3899" builtinId="8" hidden="1"/>
    <cellStyle name="Hyperlink" xfId="3901" builtinId="8" hidden="1"/>
    <cellStyle name="Hyperlink" xfId="3903" builtinId="8" hidden="1"/>
    <cellStyle name="Hyperlink" xfId="3905" builtinId="8" hidden="1"/>
    <cellStyle name="Hyperlink" xfId="3907" builtinId="8" hidden="1"/>
    <cellStyle name="Hyperlink" xfId="3909" builtinId="8" hidden="1"/>
    <cellStyle name="Hyperlink" xfId="3911" builtinId="8" hidden="1"/>
    <cellStyle name="Hyperlink" xfId="3913" builtinId="8" hidden="1"/>
    <cellStyle name="Hyperlink" xfId="3915" builtinId="8" hidden="1"/>
    <cellStyle name="Hyperlink" xfId="3917" builtinId="8" hidden="1"/>
    <cellStyle name="Hyperlink" xfId="3919" builtinId="8" hidden="1"/>
    <cellStyle name="Hyperlink" xfId="3921" builtinId="8" hidden="1"/>
    <cellStyle name="Hyperlink" xfId="3923" builtinId="8" hidden="1"/>
    <cellStyle name="Hyperlink" xfId="3925" builtinId="8" hidden="1"/>
    <cellStyle name="Hyperlink" xfId="3927" builtinId="8" hidden="1"/>
    <cellStyle name="Hyperlink" xfId="3929" builtinId="8" hidden="1"/>
    <cellStyle name="Hyperlink" xfId="3931" builtinId="8" hidden="1"/>
    <cellStyle name="Hyperlink" xfId="3933" builtinId="8" hidden="1"/>
    <cellStyle name="Hyperlink" xfId="3935" builtinId="8" hidden="1"/>
    <cellStyle name="Hyperlink" xfId="3937" builtinId="8" hidden="1"/>
    <cellStyle name="Hyperlink" xfId="3939" builtinId="8" hidden="1"/>
    <cellStyle name="Hyperlink" xfId="3941" builtinId="8" hidden="1"/>
    <cellStyle name="Hyperlink" xfId="3943" builtinId="8" hidden="1"/>
    <cellStyle name="Hyperlink" xfId="3945" builtinId="8" hidden="1"/>
    <cellStyle name="Hyperlink" xfId="3947" builtinId="8" hidden="1"/>
    <cellStyle name="Hyperlink" xfId="3949" builtinId="8" hidden="1"/>
    <cellStyle name="Hyperlink" xfId="3951" builtinId="8" hidden="1"/>
    <cellStyle name="Hyperlink" xfId="3953" builtinId="8" hidden="1"/>
    <cellStyle name="Hyperlink" xfId="3955" builtinId="8" hidden="1"/>
    <cellStyle name="Hyperlink" xfId="3957" builtinId="8" hidden="1"/>
    <cellStyle name="Hyperlink" xfId="3959" builtinId="8" hidden="1"/>
    <cellStyle name="Hyperlink" xfId="3961" builtinId="8" hidden="1"/>
    <cellStyle name="Hyperlink" xfId="3963" builtinId="8" hidden="1"/>
    <cellStyle name="Hyperlink" xfId="3965" builtinId="8" hidden="1"/>
    <cellStyle name="Hyperlink" xfId="3967" builtinId="8" hidden="1"/>
    <cellStyle name="Hyperlink" xfId="3969" builtinId="8" hidden="1"/>
    <cellStyle name="Hyperlink" xfId="3971" builtinId="8" hidden="1"/>
    <cellStyle name="Hyperlink" xfId="3973" builtinId="8" hidden="1"/>
    <cellStyle name="Hyperlink" xfId="3975" builtinId="8" hidden="1"/>
    <cellStyle name="Hyperlink" xfId="3977" builtinId="8" hidden="1"/>
    <cellStyle name="Hyperlink" xfId="3979" builtinId="8" hidden="1"/>
    <cellStyle name="Hyperlink" xfId="3981" builtinId="8" hidden="1"/>
    <cellStyle name="Hyperlink" xfId="3983" builtinId="8" hidden="1"/>
    <cellStyle name="Hyperlink" xfId="3985" builtinId="8" hidden="1"/>
    <cellStyle name="Hyperlink" xfId="3987" builtinId="8" hidden="1"/>
    <cellStyle name="Hyperlink" xfId="3989" builtinId="8" hidden="1"/>
    <cellStyle name="Hyperlink" xfId="3991" builtinId="8" hidden="1"/>
    <cellStyle name="Hyperlink" xfId="3993" builtinId="8" hidden="1"/>
    <cellStyle name="Hyperlink" xfId="3995" builtinId="8" hidden="1"/>
    <cellStyle name="Hyperlink" xfId="3997" builtinId="8" hidden="1"/>
    <cellStyle name="Hyperlink" xfId="3999" builtinId="8" hidden="1"/>
    <cellStyle name="Hyperlink" xfId="4001" builtinId="8" hidden="1"/>
    <cellStyle name="Hyperlink" xfId="4003" builtinId="8" hidden="1"/>
    <cellStyle name="Hyperlink" xfId="4005" builtinId="8" hidden="1"/>
    <cellStyle name="Hyperlink" xfId="4007" builtinId="8" hidden="1"/>
    <cellStyle name="Hyperlink" xfId="4009" builtinId="8" hidden="1"/>
    <cellStyle name="Hyperlink" xfId="4011" builtinId="8" hidden="1"/>
    <cellStyle name="Hyperlink" xfId="4013" builtinId="8" hidden="1"/>
    <cellStyle name="Hyperlink" xfId="4015" builtinId="8" hidden="1"/>
    <cellStyle name="Hyperlink" xfId="4017" builtinId="8" hidden="1"/>
    <cellStyle name="Hyperlink" xfId="4019" builtinId="8" hidden="1"/>
    <cellStyle name="Hyperlink" xfId="4021" builtinId="8" hidden="1"/>
    <cellStyle name="Hyperlink" xfId="4023" builtinId="8" hidden="1"/>
    <cellStyle name="Hyperlink" xfId="4025" builtinId="8" hidden="1"/>
    <cellStyle name="Hyperlink" xfId="4027" builtinId="8" hidden="1"/>
    <cellStyle name="Hyperlink" xfId="4029" builtinId="8" hidden="1"/>
    <cellStyle name="Hyperlink" xfId="4031" builtinId="8" hidden="1"/>
    <cellStyle name="Hyperlink" xfId="4033" builtinId="8" hidden="1"/>
    <cellStyle name="Hyperlink" xfId="4035" builtinId="8" hidden="1"/>
    <cellStyle name="Hyperlink" xfId="4037" builtinId="8" hidden="1"/>
    <cellStyle name="Hyperlink" xfId="4039" builtinId="8" hidden="1"/>
    <cellStyle name="Hyperlink" xfId="4041" builtinId="8" hidden="1"/>
    <cellStyle name="Hyperlink" xfId="4043" builtinId="8" hidden="1"/>
    <cellStyle name="Hyperlink" xfId="4045" builtinId="8" hidden="1"/>
    <cellStyle name="Hyperlink" xfId="4047" builtinId="8" hidden="1"/>
    <cellStyle name="Hyperlink" xfId="4049" builtinId="8" hidden="1"/>
    <cellStyle name="Hyperlink" xfId="4051" builtinId="8" hidden="1"/>
    <cellStyle name="Hyperlink" xfId="4053" builtinId="8" hidden="1"/>
    <cellStyle name="Hyperlink" xfId="4055" builtinId="8" hidden="1"/>
    <cellStyle name="Hyperlink" xfId="4057" builtinId="8" hidden="1"/>
    <cellStyle name="Hyperlink" xfId="4059" builtinId="8" hidden="1"/>
    <cellStyle name="Hyperlink" xfId="4061" builtinId="8" hidden="1"/>
    <cellStyle name="Hyperlink" xfId="4063" builtinId="8" hidden="1"/>
    <cellStyle name="Hyperlink" xfId="4065" builtinId="8" hidden="1"/>
    <cellStyle name="Hyperlink" xfId="4067" builtinId="8" hidden="1"/>
    <cellStyle name="Hyperlink" xfId="4069" builtinId="8" hidden="1"/>
    <cellStyle name="Hyperlink" xfId="4071" builtinId="8" hidden="1"/>
    <cellStyle name="Hyperlink" xfId="4073" builtinId="8" hidden="1"/>
    <cellStyle name="Hyperlink" xfId="4075" builtinId="8" hidden="1"/>
    <cellStyle name="Hyperlink" xfId="4077" builtinId="8" hidden="1"/>
    <cellStyle name="Hyperlink" xfId="4079" builtinId="8" hidden="1"/>
    <cellStyle name="Hyperlink" xfId="4081" builtinId="8" hidden="1"/>
    <cellStyle name="Hyperlink" xfId="4083" builtinId="8" hidden="1"/>
    <cellStyle name="Hyperlink" xfId="4085" builtinId="8" hidden="1"/>
    <cellStyle name="Hyperlink" xfId="4087" builtinId="8" hidden="1"/>
    <cellStyle name="Hyperlink" xfId="4089" builtinId="8" hidden="1"/>
    <cellStyle name="Hyperlink" xfId="4091" builtinId="8" hidden="1"/>
    <cellStyle name="Hyperlink" xfId="4093" builtinId="8" hidden="1"/>
    <cellStyle name="Hyperlink" xfId="4095" builtinId="8" hidden="1"/>
    <cellStyle name="Hyperlink" xfId="4097" builtinId="8" hidden="1"/>
    <cellStyle name="Hyperlink" xfId="4099" builtinId="8" hidden="1"/>
    <cellStyle name="Hyperlink" xfId="4101" builtinId="8" hidden="1"/>
    <cellStyle name="Hyperlink" xfId="4103" builtinId="8" hidden="1"/>
    <cellStyle name="Hyperlink" xfId="4105" builtinId="8" hidden="1"/>
    <cellStyle name="Hyperlink" xfId="4107" builtinId="8" hidden="1"/>
    <cellStyle name="Hyperlink" xfId="4109" builtinId="8" hidden="1"/>
    <cellStyle name="Hyperlink" xfId="4111" builtinId="8" hidden="1"/>
    <cellStyle name="Hyperlink" xfId="4113" builtinId="8" hidden="1"/>
    <cellStyle name="Hyperlink" xfId="4115" builtinId="8" hidden="1"/>
    <cellStyle name="Hyperlink" xfId="4117" builtinId="8" hidden="1"/>
    <cellStyle name="Hyperlink" xfId="4119" builtinId="8" hidden="1"/>
    <cellStyle name="Hyperlink" xfId="4121" builtinId="8" hidden="1"/>
    <cellStyle name="Hyperlink" xfId="4123" builtinId="8" hidden="1"/>
    <cellStyle name="Hyperlink" xfId="4125" builtinId="8" hidden="1"/>
    <cellStyle name="Hyperlink" xfId="4127" builtinId="8" hidden="1"/>
    <cellStyle name="Hyperlink" xfId="4129" builtinId="8" hidden="1"/>
    <cellStyle name="Hyperlink" xfId="4131" builtinId="8" hidden="1"/>
    <cellStyle name="Hyperlink" xfId="4133" builtinId="8" hidden="1"/>
    <cellStyle name="Hyperlink" xfId="4135" builtinId="8" hidden="1"/>
    <cellStyle name="Hyperlink" xfId="4137" builtinId="8" hidden="1"/>
    <cellStyle name="Hyperlink" xfId="4139" builtinId="8" hidden="1"/>
    <cellStyle name="Hyperlink" xfId="4141" builtinId="8" hidden="1"/>
    <cellStyle name="Hyperlink" xfId="4143" builtinId="8" hidden="1"/>
    <cellStyle name="Hyperlink" xfId="4145" builtinId="8" hidden="1"/>
    <cellStyle name="Hyperlink" xfId="4147" builtinId="8" hidden="1"/>
    <cellStyle name="Hyperlink" xfId="4149" builtinId="8" hidden="1"/>
    <cellStyle name="Hyperlink" xfId="4151" builtinId="8" hidden="1"/>
    <cellStyle name="Hyperlink" xfId="4153" builtinId="8" hidden="1"/>
    <cellStyle name="Hyperlink" xfId="4155" builtinId="8" hidden="1"/>
    <cellStyle name="Hyperlink" xfId="4157" builtinId="8" hidden="1"/>
    <cellStyle name="Hyperlink" xfId="4159" builtinId="8" hidden="1"/>
    <cellStyle name="Hyperlink" xfId="4161" builtinId="8" hidden="1"/>
    <cellStyle name="Hyperlink" xfId="4163" builtinId="8" hidden="1"/>
    <cellStyle name="Hyperlink" xfId="4165" builtinId="8" hidden="1"/>
    <cellStyle name="Hyperlink" xfId="4167" builtinId="8" hidden="1"/>
    <cellStyle name="Hyperlink" xfId="4169" builtinId="8" hidden="1"/>
    <cellStyle name="Hyperlink" xfId="4171" builtinId="8" hidden="1"/>
    <cellStyle name="Hyperlink" xfId="4173" builtinId="8" hidden="1"/>
    <cellStyle name="Hyperlink" xfId="4175" builtinId="8" hidden="1"/>
    <cellStyle name="Hyperlink" xfId="4177" builtinId="8" hidden="1"/>
    <cellStyle name="Hyperlink" xfId="4179" builtinId="8" hidden="1"/>
    <cellStyle name="Hyperlink" xfId="4181" builtinId="8" hidden="1"/>
    <cellStyle name="Hyperlink" xfId="4183" builtinId="8" hidden="1"/>
    <cellStyle name="Hyperlink" xfId="4185" builtinId="8" hidden="1"/>
    <cellStyle name="Hyperlink" xfId="4187" builtinId="8" hidden="1"/>
    <cellStyle name="Hyperlink" xfId="4189" builtinId="8" hidden="1"/>
    <cellStyle name="Hyperlink" xfId="4191" builtinId="8" hidden="1"/>
    <cellStyle name="Hyperlink" xfId="4193" builtinId="8" hidden="1"/>
    <cellStyle name="Hyperlink" xfId="4195" builtinId="8" hidden="1"/>
    <cellStyle name="Hyperlink" xfId="4197" builtinId="8" hidden="1"/>
    <cellStyle name="Hyperlink" xfId="4199" builtinId="8" hidden="1"/>
    <cellStyle name="Hyperlink" xfId="4201" builtinId="8" hidden="1"/>
    <cellStyle name="Hyperlink" xfId="4203" builtinId="8" hidden="1"/>
    <cellStyle name="Hyperlink" xfId="4205" builtinId="8" hidden="1"/>
    <cellStyle name="Hyperlink" xfId="4207" builtinId="8" hidden="1"/>
    <cellStyle name="Hyperlink" xfId="4209" builtinId="8" hidden="1"/>
    <cellStyle name="Hyperlink" xfId="4211" builtinId="8" hidden="1"/>
    <cellStyle name="Hyperlink" xfId="4213" builtinId="8" hidden="1"/>
    <cellStyle name="Hyperlink" xfId="4215" builtinId="8" hidden="1"/>
    <cellStyle name="Hyperlink" xfId="4217" builtinId="8" hidden="1"/>
    <cellStyle name="Hyperlink" xfId="4219" builtinId="8" hidden="1"/>
    <cellStyle name="Hyperlink" xfId="4221" builtinId="8" hidden="1"/>
    <cellStyle name="Hyperlink" xfId="4223" builtinId="8" hidden="1"/>
    <cellStyle name="Hyperlink" xfId="4225" builtinId="8" hidden="1"/>
    <cellStyle name="Hyperlink" xfId="4227" builtinId="8" hidden="1"/>
    <cellStyle name="Hyperlink" xfId="4229" builtinId="8" hidden="1"/>
    <cellStyle name="Hyperlink" xfId="4231" builtinId="8" hidden="1"/>
    <cellStyle name="Hyperlink" xfId="4233" builtinId="8" hidden="1"/>
    <cellStyle name="Hyperlink" xfId="4235" builtinId="8" hidden="1"/>
    <cellStyle name="Hyperlink" xfId="4237" builtinId="8" hidden="1"/>
    <cellStyle name="Hyperlink" xfId="4239" builtinId="8" hidden="1"/>
    <cellStyle name="Hyperlink" xfId="4241" builtinId="8" hidden="1"/>
    <cellStyle name="Hyperlink" xfId="4243" builtinId="8" hidden="1"/>
    <cellStyle name="Hyperlink" xfId="4245" builtinId="8" hidden="1"/>
    <cellStyle name="Hyperlink" xfId="4247" builtinId="8" hidden="1"/>
    <cellStyle name="Hyperlink" xfId="4249" builtinId="8" hidden="1"/>
    <cellStyle name="Hyperlink" xfId="4251" builtinId="8" hidden="1"/>
    <cellStyle name="Hyperlink" xfId="4253" builtinId="8" hidden="1"/>
    <cellStyle name="Hyperlink" xfId="4255" builtinId="8" hidden="1"/>
    <cellStyle name="Hyperlink" xfId="4257" builtinId="8" hidden="1"/>
    <cellStyle name="Hyperlink" xfId="4259" builtinId="8" hidden="1"/>
    <cellStyle name="Hyperlink" xfId="4261" builtinId="8" hidden="1"/>
    <cellStyle name="Hyperlink" xfId="4263" builtinId="8" hidden="1"/>
    <cellStyle name="Hyperlink" xfId="4265" builtinId="8" hidden="1"/>
    <cellStyle name="Hyperlink" xfId="4267" builtinId="8" hidden="1"/>
    <cellStyle name="Hyperlink" xfId="4269" builtinId="8" hidden="1"/>
    <cellStyle name="Hyperlink" xfId="4271" builtinId="8" hidden="1"/>
    <cellStyle name="Hyperlink" xfId="4273" builtinId="8" hidden="1"/>
    <cellStyle name="Hyperlink" xfId="4275" builtinId="8" hidden="1"/>
    <cellStyle name="Hyperlink" xfId="4277" builtinId="8" hidden="1"/>
    <cellStyle name="Hyperlink" xfId="4279" builtinId="8" hidden="1"/>
    <cellStyle name="Hyperlink" xfId="4281" builtinId="8" hidden="1"/>
    <cellStyle name="Hyperlink" xfId="4283" builtinId="8" hidden="1"/>
    <cellStyle name="Hyperlink" xfId="4285" builtinId="8" hidden="1"/>
    <cellStyle name="Hyperlink" xfId="4287" builtinId="8" hidden="1"/>
    <cellStyle name="Hyperlink" xfId="4289" builtinId="8" hidden="1"/>
    <cellStyle name="Hyperlink" xfId="4291" builtinId="8" hidden="1"/>
    <cellStyle name="Hyperlink" xfId="4293" builtinId="8" hidden="1"/>
    <cellStyle name="Hyperlink" xfId="4295" builtinId="8" hidden="1"/>
    <cellStyle name="Hyperlink" xfId="4297" builtinId="8" hidden="1"/>
    <cellStyle name="Hyperlink" xfId="4299" builtinId="8" hidden="1"/>
    <cellStyle name="Hyperlink" xfId="4301" builtinId="8" hidden="1"/>
    <cellStyle name="Hyperlink" xfId="4303" builtinId="8" hidden="1"/>
    <cellStyle name="Hyperlink" xfId="4305" builtinId="8" hidden="1"/>
    <cellStyle name="Hyperlink" xfId="4307" builtinId="8" hidden="1"/>
    <cellStyle name="Hyperlink" xfId="4309" builtinId="8" hidden="1"/>
    <cellStyle name="Hyperlink" xfId="4311" builtinId="8" hidden="1"/>
    <cellStyle name="Hyperlink" xfId="4313" builtinId="8" hidden="1"/>
    <cellStyle name="Hyperlink" xfId="4315" builtinId="8" hidden="1"/>
    <cellStyle name="Hyperlink" xfId="4317" builtinId="8" hidden="1"/>
    <cellStyle name="Hyperlink" xfId="4319" builtinId="8" hidden="1"/>
    <cellStyle name="Hyperlink" xfId="4321" builtinId="8" hidden="1"/>
    <cellStyle name="Hyperlink" xfId="4323" builtinId="8" hidden="1"/>
    <cellStyle name="Hyperlink" xfId="4325" builtinId="8" hidden="1"/>
    <cellStyle name="Hyperlink" xfId="4327" builtinId="8" hidden="1"/>
    <cellStyle name="Hyperlink" xfId="4329" builtinId="8" hidden="1"/>
    <cellStyle name="Hyperlink" xfId="4331" builtinId="8" hidden="1"/>
    <cellStyle name="Hyperlink" xfId="4333" builtinId="8" hidden="1"/>
    <cellStyle name="Hyperlink" xfId="4335" builtinId="8" hidden="1"/>
    <cellStyle name="Hyperlink" xfId="4337" builtinId="8" hidden="1"/>
    <cellStyle name="Hyperlink" xfId="4339" builtinId="8" hidden="1"/>
    <cellStyle name="Hyperlink" xfId="4341" builtinId="8" hidden="1"/>
    <cellStyle name="Hyperlink" xfId="4343" builtinId="8" hidden="1"/>
    <cellStyle name="Hyperlink" xfId="4345" builtinId="8" hidden="1"/>
    <cellStyle name="Hyperlink" xfId="4347" builtinId="8" hidden="1"/>
    <cellStyle name="Hyperlink" xfId="4349" builtinId="8" hidden="1"/>
    <cellStyle name="Hyperlink" xfId="4351" builtinId="8" hidden="1"/>
    <cellStyle name="Hyperlink" xfId="4353" builtinId="8" hidden="1"/>
    <cellStyle name="Hyperlink" xfId="4355" builtinId="8" hidden="1"/>
    <cellStyle name="Hyperlink" xfId="4357" builtinId="8" hidden="1"/>
    <cellStyle name="Hyperlink" xfId="4359" builtinId="8" hidden="1"/>
    <cellStyle name="Hyperlink" xfId="4361" builtinId="8" hidden="1"/>
    <cellStyle name="Hyperlink" xfId="4363" builtinId="8" hidden="1"/>
    <cellStyle name="Hyperlink" xfId="4365" builtinId="8" hidden="1"/>
    <cellStyle name="Hyperlink" xfId="4367" builtinId="8" hidden="1"/>
    <cellStyle name="Hyperlink" xfId="4369" builtinId="8" hidden="1"/>
    <cellStyle name="Hyperlink" xfId="4371" builtinId="8" hidden="1"/>
    <cellStyle name="Hyperlink" xfId="4373" builtinId="8" hidden="1"/>
    <cellStyle name="Hyperlink" xfId="4375" builtinId="8" hidden="1"/>
    <cellStyle name="Hyperlink" xfId="4377" builtinId="8" hidden="1"/>
    <cellStyle name="Hyperlink" xfId="4379" builtinId="8" hidden="1"/>
    <cellStyle name="Hyperlink" xfId="4381" builtinId="8" hidden="1"/>
    <cellStyle name="Hyperlink" xfId="4383" builtinId="8" hidden="1"/>
    <cellStyle name="Hyperlink" xfId="4385" builtinId="8" hidden="1"/>
    <cellStyle name="Hyperlink" xfId="4387" builtinId="8" hidden="1"/>
    <cellStyle name="Hyperlink" xfId="4389" builtinId="8" hidden="1"/>
    <cellStyle name="Hyperlink" xfId="4391" builtinId="8" hidden="1"/>
    <cellStyle name="Hyperlink" xfId="4393" builtinId="8" hidden="1"/>
    <cellStyle name="Hyperlink" xfId="4395" builtinId="8" hidden="1"/>
    <cellStyle name="Normal" xfId="0" builtinId="0"/>
  </cellStyles>
  <dxfs count="190">
    <dxf>
      <font>
        <color theme="1"/>
      </font>
      <fill>
        <patternFill>
          <bgColor theme="0" tint="-0.3499862666707357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1"/>
      </font>
      <fill>
        <patternFill>
          <bgColor theme="0" tint="-0.3499862666707357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1"/>
      </font>
      <fill>
        <patternFill>
          <bgColor theme="0" tint="-0.499984740745262"/>
        </patternFill>
      </fill>
    </dxf>
    <dxf>
      <font>
        <color theme="1"/>
      </font>
      <fill>
        <patternFill>
          <bgColor theme="0" tint="-0.3499862666707357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theme="1"/>
      </font>
      <fill>
        <patternFill>
          <bgColor theme="0" tint="-0.34998626667073579"/>
        </patternFill>
      </fill>
    </dxf>
    <dxf>
      <font>
        <color rgb="FF9C0006"/>
      </font>
      <fill>
        <patternFill>
          <bgColor rgb="FFFFC7CE"/>
        </patternFill>
      </fill>
    </dxf>
    <dxf>
      <font>
        <color theme="1"/>
      </font>
      <fill>
        <patternFill>
          <bgColor theme="0" tint="-0.34998626667073579"/>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1"/>
      </font>
      <fill>
        <patternFill>
          <bgColor theme="0" tint="-0.34998626667073579"/>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1"/>
      </font>
      <fill>
        <patternFill>
          <bgColor theme="0" tint="-0.34998626667073579"/>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theme="1"/>
      </font>
      <fill>
        <patternFill>
          <bgColor theme="0" tint="-0.34998626667073579"/>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theme="1"/>
      </font>
      <fill>
        <patternFill>
          <bgColor theme="0" tint="-0.34998626667073579"/>
        </patternFill>
      </fill>
    </dxf>
    <dxf>
      <font>
        <color rgb="FF9C0006"/>
      </font>
      <fill>
        <patternFill>
          <bgColor rgb="FFFFC7CE"/>
        </patternFill>
      </fill>
    </dxf>
    <dxf>
      <font>
        <color theme="1"/>
      </font>
      <fill>
        <patternFill>
          <bgColor theme="0" tint="-0.34998626667073579"/>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1"/>
      </font>
      <fill>
        <patternFill>
          <bgColor theme="0" tint="-0.34998626667073579"/>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1"/>
      </font>
      <fill>
        <patternFill>
          <bgColor theme="0" tint="-0.34998626667073579"/>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1"/>
      </font>
      <fill>
        <patternFill>
          <bgColor theme="0" tint="-0.3499862666707357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1"/>
      </font>
      <fill>
        <patternFill>
          <bgColor theme="0" tint="-0.34998626667073579"/>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theme="1"/>
      </font>
      <fill>
        <patternFill>
          <bgColor theme="0" tint="-0.499984740745262"/>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theme="1"/>
      </font>
      <fill>
        <patternFill>
          <bgColor theme="0" tint="-0.34998626667073579"/>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theme="1"/>
      </font>
      <fill>
        <patternFill>
          <bgColor theme="0" tint="-0.34998626667073579"/>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1"/>
      </font>
      <fill>
        <patternFill>
          <bgColor theme="0" tint="-0.34998626667073579"/>
        </patternFill>
      </fill>
    </dxf>
    <dxf>
      <font>
        <color theme="1"/>
      </font>
      <fill>
        <patternFill>
          <bgColor theme="0" tint="-0.3499862666707357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1"/>
      </font>
      <fill>
        <patternFill>
          <bgColor theme="0" tint="-0.3499862666707357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1"/>
      </font>
      <fill>
        <patternFill>
          <bgColor theme="0" tint="-0.499984740745262"/>
        </patternFill>
      </fill>
    </dxf>
    <dxf>
      <font>
        <color theme="1"/>
      </font>
      <fill>
        <patternFill>
          <bgColor theme="0" tint="-0.3499862666707357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theme="1"/>
      </font>
      <fill>
        <patternFill>
          <bgColor theme="0" tint="-0.34998626667073579"/>
        </patternFill>
      </fill>
    </dxf>
    <dxf>
      <font>
        <color rgb="FF9C0006"/>
      </font>
      <fill>
        <patternFill>
          <bgColor rgb="FFFFC7CE"/>
        </patternFill>
      </fill>
    </dxf>
    <dxf>
      <font>
        <color theme="1"/>
      </font>
      <fill>
        <patternFill>
          <bgColor theme="0" tint="-0.34998626667073579"/>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1"/>
      </font>
      <fill>
        <patternFill>
          <bgColor theme="0" tint="-0.34998626667073579"/>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1"/>
      </font>
      <fill>
        <patternFill>
          <bgColor theme="0" tint="-0.34998626667073579"/>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theme="1"/>
      </font>
      <fill>
        <patternFill>
          <bgColor theme="0" tint="-0.34998626667073579"/>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theme="1"/>
      </font>
      <fill>
        <patternFill>
          <bgColor theme="0" tint="-0.34998626667073579"/>
        </patternFill>
      </fill>
    </dxf>
    <dxf>
      <font>
        <color rgb="FF9C0006"/>
      </font>
      <fill>
        <patternFill>
          <bgColor rgb="FFFFC7CE"/>
        </patternFill>
      </fill>
    </dxf>
    <dxf>
      <font>
        <color theme="1"/>
      </font>
      <fill>
        <patternFill>
          <bgColor theme="0" tint="-0.34998626667073579"/>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1"/>
      </font>
      <fill>
        <patternFill>
          <bgColor theme="0" tint="-0.34998626667073579"/>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1"/>
      </font>
      <fill>
        <patternFill>
          <bgColor theme="0" tint="-0.34998626667073579"/>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1"/>
      </font>
      <fill>
        <patternFill>
          <bgColor theme="0" tint="-0.3499862666707357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1"/>
      </font>
      <fill>
        <patternFill>
          <bgColor theme="0" tint="-0.34998626667073579"/>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theme="1"/>
      </font>
      <fill>
        <patternFill>
          <bgColor theme="0" tint="-0.499984740745262"/>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theme="1"/>
      </font>
      <fill>
        <patternFill>
          <bgColor theme="0" tint="-0.34998626667073579"/>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1"/>
      </font>
      <fill>
        <patternFill>
          <bgColor theme="0" tint="-0.34998626667073579"/>
        </patternFill>
      </fill>
    </dxf>
    <dxf>
      <font>
        <color rgb="FF006100"/>
      </font>
      <fill>
        <patternFill>
          <bgColor rgb="FFC6EFCE"/>
        </patternFill>
      </fill>
    </dxf>
    <dxf>
      <font>
        <color rgb="FF9C5700"/>
      </font>
      <fill>
        <patternFill>
          <bgColor rgb="FFFFEB9C"/>
        </patternFill>
      </fill>
    </dxf>
    <dxf>
      <font>
        <color theme="1"/>
      </font>
      <fill>
        <patternFill>
          <bgColor theme="0" tint="-0.3499862666707357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fill>
        <patternFill>
          <bgColor theme="0" tint="-0.14996795556505021"/>
        </patternFill>
      </fill>
    </dxf>
    <dxf>
      <font>
        <color rgb="FF006100"/>
      </font>
      <fill>
        <patternFill>
          <bgColor rgb="FFC6EFCE"/>
        </patternFill>
      </fill>
    </dxf>
    <dxf>
      <font>
        <color theme="1"/>
      </font>
      <fill>
        <patternFill>
          <bgColor theme="0" tint="-0.14996795556505021"/>
        </patternFill>
      </fill>
    </dxf>
    <dxf>
      <font>
        <color theme="1"/>
      </font>
      <fill>
        <patternFill>
          <bgColor theme="0" tint="-0.14996795556505021"/>
        </patternFill>
      </fill>
    </dxf>
    <dxf>
      <font>
        <color rgb="FF006100"/>
      </font>
      <fill>
        <patternFill>
          <bgColor rgb="FFC6EFCE"/>
        </patternFill>
      </fill>
    </dxf>
    <dxf>
      <font>
        <color rgb="FF006100"/>
      </font>
      <fill>
        <patternFill>
          <bgColor rgb="FFC6EFCE"/>
        </patternFill>
      </fill>
    </dxf>
    <dxf>
      <font>
        <color theme="1"/>
      </font>
      <fill>
        <patternFill>
          <bgColor theme="0" tint="-0.14996795556505021"/>
        </patternFill>
      </fill>
    </dxf>
    <dxf>
      <font>
        <color rgb="FF006100"/>
      </font>
      <fill>
        <patternFill>
          <bgColor rgb="FFC6EFCE"/>
        </patternFill>
      </fill>
    </dxf>
    <dxf>
      <font>
        <color theme="1"/>
      </font>
      <fill>
        <patternFill>
          <bgColor theme="0" tint="-0.14996795556505021"/>
        </patternFill>
      </fill>
    </dxf>
    <dxf>
      <font>
        <color rgb="FF006100"/>
      </font>
      <fill>
        <patternFill>
          <bgColor rgb="FFC6EFCE"/>
        </patternFill>
      </fill>
    </dxf>
    <dxf>
      <font>
        <color theme="1"/>
      </font>
      <fill>
        <patternFill>
          <bgColor theme="0" tint="-0.14996795556505021"/>
        </patternFill>
      </fill>
    </dxf>
    <dxf>
      <font>
        <color rgb="FF006100"/>
      </font>
      <fill>
        <patternFill>
          <bgColor rgb="FFC6EFCE"/>
        </patternFill>
      </fill>
    </dxf>
    <dxf>
      <font>
        <color theme="1"/>
      </font>
      <fill>
        <patternFill>
          <bgColor theme="0" tint="-0.14996795556505021"/>
        </patternFill>
      </fill>
    </dxf>
    <dxf>
      <font>
        <color theme="1"/>
      </font>
      <fill>
        <patternFill>
          <bgColor theme="0" tint="-0.14996795556505021"/>
        </patternFill>
      </fill>
    </dxf>
    <dxf>
      <font>
        <color rgb="FF006100"/>
      </font>
      <fill>
        <patternFill>
          <bgColor rgb="FFC6EFCE"/>
        </patternFill>
      </fill>
    </dxf>
    <dxf>
      <font>
        <color rgb="FF006100"/>
      </font>
      <fill>
        <patternFill>
          <bgColor rgb="FFC6EFCE"/>
        </patternFill>
      </fill>
    </dxf>
    <dxf>
      <font>
        <color theme="1"/>
      </font>
      <fill>
        <patternFill>
          <bgColor theme="0" tint="-0.14996795556505021"/>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theme="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520700</xdr:colOff>
      <xdr:row>1</xdr:row>
      <xdr:rowOff>38099</xdr:rowOff>
    </xdr:from>
    <xdr:to>
      <xdr:col>15</xdr:col>
      <xdr:colOff>165100</xdr:colOff>
      <xdr:row>42</xdr:row>
      <xdr:rowOff>135466</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520700" y="241299"/>
          <a:ext cx="12090400" cy="84285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aseline="0">
              <a:latin typeface="+mn-lt"/>
              <a:ea typeface="Arial" charset="0"/>
              <a:cs typeface="Arial" charset="0"/>
            </a:rPr>
            <a:t>FILE S1 TABLE A: Conservation of MAU sites in ordered and disordered regions across all eukaryotic clades. </a:t>
          </a:r>
        </a:p>
        <a:p>
          <a:r>
            <a:rPr lang="en-US" sz="1200" baseline="0">
              <a:latin typeface="+mn-lt"/>
              <a:ea typeface="Arial" charset="0"/>
              <a:cs typeface="Arial" charset="0"/>
            </a:rPr>
            <a:t>P-value threshold for arginine methylation &lt; 0.0125 and Lysine methylation, acetylation and ubiquitination sites &lt; 0.00417 is highlighted in green, P-value &lt; 0.0025 is highlighted in yellow, P-value &lt; 0.05 in gray and P-value &gt; 0.05 in red.</a:t>
          </a:r>
        </a:p>
        <a:p>
          <a:endParaRPr lang="en-US" sz="1200" baseline="0">
            <a:latin typeface="+mn-lt"/>
            <a:ea typeface="Arial" charset="0"/>
            <a:cs typeface="Arial" charset="0"/>
          </a:endParaRPr>
        </a:p>
        <a:p>
          <a:r>
            <a:rPr lang="en-US" sz="1200" baseline="0">
              <a:latin typeface="+mn-lt"/>
              <a:ea typeface="Arial" charset="0"/>
              <a:cs typeface="Arial" charset="0"/>
            </a:rPr>
            <a:t>FILE S1 TABLE B: Conservation of MAU sites as other MAU residue type in ordered and disordered regions across all eukaryotic clades.</a:t>
          </a:r>
        </a:p>
        <a:p>
          <a:r>
            <a:rPr lang="en-US" sz="1200" baseline="0">
              <a:latin typeface="+mn-lt"/>
              <a:ea typeface="Arial" charset="0"/>
              <a:cs typeface="Arial" charset="0"/>
            </a:rPr>
            <a:t>P-value threshold for arginine methylation &lt; 0.0125 and Lysine methylation, acetylation and ubiquitination sites &lt; 0.00417 are highlighted in green, P-value &lt; 0.0025 is highlighted in yellow, P-value &lt; 0.05 in gray and P-value &gt; 0.05 in red.</a:t>
          </a:r>
        </a:p>
        <a:p>
          <a:endParaRPr lang="en-US" sz="1200" baseline="0">
            <a:latin typeface="+mn-lt"/>
            <a:ea typeface="Arial" charset="0"/>
            <a:cs typeface="Arial" charset="0"/>
          </a:endParaRPr>
        </a:p>
        <a:p>
          <a:r>
            <a:rPr lang="en-US" sz="1200" baseline="0">
              <a:latin typeface="+mn-lt"/>
              <a:ea typeface="Arial" charset="0"/>
              <a:cs typeface="Arial" charset="0"/>
            </a:rPr>
            <a:t>FILE S1 TABLE C: Conservation of MAU sites filtered with ZORRO program in ordered and disordered regions across all eukaryotic clades.</a:t>
          </a:r>
        </a:p>
        <a:p>
          <a:r>
            <a:rPr lang="en-US" sz="1200" baseline="0">
              <a:latin typeface="+mn-lt"/>
              <a:ea typeface="Arial" charset="0"/>
              <a:cs typeface="Arial" charset="0"/>
            </a:rPr>
            <a:t>P-value threshold for arginine methylation &lt; 0.025 and Lysine methylation, acetylation and ubiquitination sites &lt; 0.083 are highlighted in green, P-value &lt; 0.0025 is highlighted in yellow, P-value &lt; 0.05 in gray and P-value &gt; 0.05 in red.</a:t>
          </a:r>
        </a:p>
        <a:p>
          <a:endParaRPr lang="en-US" sz="1200" baseline="0">
            <a:latin typeface="+mn-lt"/>
            <a:ea typeface="Arial" charset="0"/>
            <a:cs typeface="Arial" charset="0"/>
          </a:endParaRPr>
        </a:p>
        <a:p>
          <a:r>
            <a:rPr lang="en-US" sz="1200" baseline="0">
              <a:latin typeface="+mn-lt"/>
              <a:ea typeface="Arial" charset="0"/>
              <a:cs typeface="Arial" charset="0"/>
            </a:rPr>
            <a:t>FILE S1  TABLE D: Conservation of MAU sites in non-histone proteins in ordered and disordered regions across all eukaryotic clades.</a:t>
          </a:r>
        </a:p>
        <a:p>
          <a:pPr marL="0" marR="0" indent="0" defTabSz="914400" eaLnBrk="1" fontAlgn="auto" latinLnBrk="0" hangingPunct="1">
            <a:lnSpc>
              <a:spcPct val="100000"/>
            </a:lnSpc>
            <a:spcBef>
              <a:spcPts val="0"/>
            </a:spcBef>
            <a:spcAft>
              <a:spcPts val="0"/>
            </a:spcAft>
            <a:buClrTx/>
            <a:buSzTx/>
            <a:buFontTx/>
            <a:buNone/>
            <a:tabLst/>
            <a:defRPr/>
          </a:pPr>
          <a:r>
            <a:rPr lang="en-US" sz="1200" baseline="0">
              <a:latin typeface="+mn-lt"/>
              <a:ea typeface="Arial" charset="0"/>
              <a:cs typeface="Arial" charset="0"/>
            </a:rPr>
            <a:t>P-value threshold for arginine methylation &lt; 0.0125 and Lysine methylation, acetylation and ubiquitination sites &lt; 0.00417 are highlighted in green, P-value &lt; 0.0025 is highlighted in yellow, P-value &lt; 0.05 in gray and P-value &gt; 0.05 in red.</a:t>
          </a:r>
        </a:p>
        <a:p>
          <a:endParaRPr lang="en-US" sz="1200" baseline="0">
            <a:latin typeface="+mn-lt"/>
            <a:ea typeface="Arial" charset="0"/>
            <a:cs typeface="Arial"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aseline="0">
              <a:latin typeface="+mn-lt"/>
              <a:ea typeface="Arial" charset="0"/>
              <a:cs typeface="Arial" charset="0"/>
            </a:rPr>
            <a:t>FILE S1  TABLE E: Conservation of new MAU sites in 'old' proteins in ordered and disordered regions across all eukaryotic clades.</a:t>
          </a:r>
        </a:p>
        <a:p>
          <a:r>
            <a:rPr lang="en-US" sz="1200" baseline="0">
              <a:latin typeface="+mn-lt"/>
              <a:ea typeface="Arial" charset="0"/>
              <a:cs typeface="Arial" charset="0"/>
            </a:rPr>
            <a:t>P-value threshold for arginine methylation &lt; </a:t>
          </a:r>
          <a:r>
            <a:rPr lang="en-US" sz="1200">
              <a:latin typeface="+mn-lt"/>
              <a:ea typeface="Arial" charset="0"/>
              <a:cs typeface="Arial" charset="0"/>
            </a:rPr>
            <a:t>0.05 </a:t>
          </a:r>
          <a:r>
            <a:rPr lang="en-US" sz="1200" baseline="0">
              <a:latin typeface="+mn-lt"/>
              <a:ea typeface="Arial" charset="0"/>
              <a:cs typeface="Arial" charset="0"/>
            </a:rPr>
            <a:t>and Lysine methylation, acetylation and ubiquitination sites &lt; </a:t>
          </a:r>
          <a:r>
            <a:rPr lang="en-US" sz="1200">
              <a:latin typeface="+mn-lt"/>
              <a:ea typeface="Arial" charset="0"/>
              <a:cs typeface="Arial" charset="0"/>
            </a:rPr>
            <a:t> 0.0167</a:t>
          </a:r>
          <a:r>
            <a:rPr lang="en-US" sz="1200" baseline="0">
              <a:latin typeface="+mn-lt"/>
              <a:ea typeface="Arial" charset="0"/>
              <a:cs typeface="Arial" charset="0"/>
            </a:rPr>
            <a:t> are highlighted in green, P-value &lt; 0.0025 is highlighted in yellow, P-value &lt; 0.05 in gray and P-value &gt; 0.05 in red.</a:t>
          </a:r>
          <a:endParaRPr lang="en-US" sz="1200">
            <a:latin typeface="+mn-lt"/>
            <a:ea typeface="Arial" charset="0"/>
            <a:cs typeface="Arial" charset="0"/>
          </a:endParaRPr>
        </a:p>
        <a:p>
          <a:endParaRPr lang="en-US" sz="1200">
            <a:latin typeface="+mn-lt"/>
            <a:ea typeface="Arial" charset="0"/>
            <a:cs typeface="Arial"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aseline="0">
              <a:latin typeface="+mn-lt"/>
              <a:ea typeface="Arial" charset="0"/>
              <a:cs typeface="Arial" charset="0"/>
            </a:rPr>
            <a:t>FILE S1  TABLE F: Conservation of MAU sites in ordered and disordered regions of histone proteins across all eukaryotic clades.</a:t>
          </a:r>
        </a:p>
        <a:p>
          <a:pPr marL="0" marR="0" indent="0" defTabSz="914400" eaLnBrk="1" fontAlgn="auto" latinLnBrk="0" hangingPunct="1">
            <a:lnSpc>
              <a:spcPct val="100000"/>
            </a:lnSpc>
            <a:spcBef>
              <a:spcPts val="0"/>
            </a:spcBef>
            <a:spcAft>
              <a:spcPts val="0"/>
            </a:spcAft>
            <a:buClrTx/>
            <a:buSzTx/>
            <a:buFontTx/>
            <a:buNone/>
            <a:tabLst/>
            <a:defRPr/>
          </a:pPr>
          <a:r>
            <a:rPr lang="en-US" sz="1200" baseline="0">
              <a:latin typeface="+mn-lt"/>
              <a:ea typeface="Arial" charset="0"/>
              <a:cs typeface="Arial" charset="0"/>
            </a:rPr>
            <a:t>P-value threshold for arginine methylation &lt; </a:t>
          </a:r>
          <a:r>
            <a:rPr lang="nb-NO" sz="1100" b="0" i="0">
              <a:solidFill>
                <a:schemeClr val="dk1"/>
              </a:solidFill>
              <a:effectLst/>
              <a:latin typeface="+mn-lt"/>
              <a:ea typeface="+mn-ea"/>
              <a:cs typeface="+mn-cs"/>
            </a:rPr>
            <a:t>0.025</a:t>
          </a:r>
          <a:r>
            <a:rPr lang="en-US" sz="1200" baseline="0">
              <a:solidFill>
                <a:srgbClr val="FF0000"/>
              </a:solidFill>
              <a:latin typeface="+mn-lt"/>
              <a:ea typeface="Arial" charset="0"/>
              <a:cs typeface="Arial" charset="0"/>
            </a:rPr>
            <a:t> </a:t>
          </a:r>
          <a:r>
            <a:rPr lang="en-US" sz="1200" baseline="0">
              <a:latin typeface="+mn-lt"/>
              <a:ea typeface="Arial" charset="0"/>
              <a:cs typeface="Arial" charset="0"/>
            </a:rPr>
            <a:t>and Lysine methylation, acetylation and ubiquitination sites &lt; </a:t>
          </a:r>
          <a:r>
            <a:rPr lang="is-IS" sz="1100" b="0" i="0">
              <a:solidFill>
                <a:schemeClr val="dk1"/>
              </a:solidFill>
              <a:effectLst/>
              <a:latin typeface="+mn-lt"/>
              <a:ea typeface="+mn-ea"/>
              <a:cs typeface="+mn-cs"/>
            </a:rPr>
            <a:t>0.0083</a:t>
          </a:r>
          <a:r>
            <a:rPr lang="en-US" sz="1200" baseline="0">
              <a:latin typeface="+mn-lt"/>
              <a:ea typeface="Arial" charset="0"/>
              <a:cs typeface="Arial" charset="0"/>
            </a:rPr>
            <a:t> are highlighted in green, P-value &lt; 0.0025 is highlighted in yellow, P-value &lt; 0.05 in gray and P-value &gt; 0.05 in red.</a:t>
          </a:r>
        </a:p>
        <a:p>
          <a:pPr marL="0" marR="0" indent="0" defTabSz="914400" eaLnBrk="1" fontAlgn="auto" latinLnBrk="0" hangingPunct="1">
            <a:lnSpc>
              <a:spcPct val="100000"/>
            </a:lnSpc>
            <a:spcBef>
              <a:spcPts val="0"/>
            </a:spcBef>
            <a:spcAft>
              <a:spcPts val="0"/>
            </a:spcAft>
            <a:buClrTx/>
            <a:buSzTx/>
            <a:buFontTx/>
            <a:buNone/>
            <a:tabLst/>
            <a:defRPr/>
          </a:pPr>
          <a:endParaRPr lang="en-US" sz="1200" baseline="0">
            <a:latin typeface="+mn-lt"/>
            <a:ea typeface="Arial" charset="0"/>
            <a:cs typeface="Arial"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aseline="0">
              <a:latin typeface="+mn-lt"/>
              <a:ea typeface="Arial" charset="0"/>
              <a:cs typeface="Arial" charset="0"/>
            </a:rPr>
            <a:t>FILE S1  TABLE G: Conservation of MAU sites in as other MAU residue type in ordered and disordered regions of histone proteins across all eukaryotic clades.</a:t>
          </a:r>
        </a:p>
        <a:p>
          <a:pPr marL="0" marR="0" indent="0" defTabSz="914400" eaLnBrk="1" fontAlgn="auto" latinLnBrk="0" hangingPunct="1">
            <a:lnSpc>
              <a:spcPct val="100000"/>
            </a:lnSpc>
            <a:spcBef>
              <a:spcPts val="0"/>
            </a:spcBef>
            <a:spcAft>
              <a:spcPts val="0"/>
            </a:spcAft>
            <a:buClrTx/>
            <a:buSzTx/>
            <a:buFontTx/>
            <a:buNone/>
            <a:tabLst/>
            <a:defRPr/>
          </a:pPr>
          <a:r>
            <a:rPr lang="en-US" sz="1200" baseline="0">
              <a:latin typeface="+mn-lt"/>
              <a:ea typeface="Arial" charset="0"/>
              <a:cs typeface="Arial" charset="0"/>
            </a:rPr>
            <a:t>P-value threshold for arginine methylation &lt; </a:t>
          </a:r>
          <a:r>
            <a:rPr lang="nb-NO" sz="1100" b="0" i="0">
              <a:solidFill>
                <a:schemeClr val="dk1"/>
              </a:solidFill>
              <a:effectLst/>
              <a:latin typeface="+mn-lt"/>
              <a:ea typeface="+mn-ea"/>
              <a:cs typeface="+mn-cs"/>
            </a:rPr>
            <a:t>0.025 </a:t>
          </a:r>
          <a:r>
            <a:rPr lang="en-US" sz="1200" baseline="0">
              <a:latin typeface="+mn-lt"/>
              <a:ea typeface="Arial" charset="0"/>
              <a:cs typeface="Arial" charset="0"/>
            </a:rPr>
            <a:t>and Lysine methylation, acetylation and ubiquitination sites &lt; </a:t>
          </a:r>
          <a:r>
            <a:rPr lang="is-IS" sz="1100" b="0" i="0">
              <a:solidFill>
                <a:schemeClr val="dk1"/>
              </a:solidFill>
              <a:effectLst/>
              <a:latin typeface="+mn-lt"/>
              <a:ea typeface="+mn-ea"/>
              <a:cs typeface="+mn-cs"/>
            </a:rPr>
            <a:t>0.0083</a:t>
          </a:r>
          <a:r>
            <a:rPr lang="en-US" sz="1200" baseline="0">
              <a:latin typeface="+mn-lt"/>
              <a:ea typeface="Arial" charset="0"/>
              <a:cs typeface="Arial" charset="0"/>
            </a:rPr>
            <a:t> are highlighted in green, P-value &lt; 0.0025 is highlighted in yellow, P-value &lt; 0.05 in gray and P-value &gt; 0.05 in red.</a:t>
          </a:r>
        </a:p>
        <a:p>
          <a:pPr marL="0" marR="0" indent="0" defTabSz="914400" eaLnBrk="1" fontAlgn="auto" latinLnBrk="0" hangingPunct="1">
            <a:lnSpc>
              <a:spcPct val="100000"/>
            </a:lnSpc>
            <a:spcBef>
              <a:spcPts val="0"/>
            </a:spcBef>
            <a:spcAft>
              <a:spcPts val="0"/>
            </a:spcAft>
            <a:buClrTx/>
            <a:buSzTx/>
            <a:buFontTx/>
            <a:buNone/>
            <a:tabLst/>
            <a:defRPr/>
          </a:pPr>
          <a:endParaRPr lang="en-US" sz="1200" baseline="0">
            <a:latin typeface="+mn-lt"/>
            <a:ea typeface="Arial" charset="0"/>
            <a:cs typeface="Arial"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aseline="0">
              <a:latin typeface="+mn-lt"/>
              <a:ea typeface="Arial" charset="0"/>
              <a:cs typeface="Arial" charset="0"/>
            </a:rPr>
            <a:t>FILE S1 TABLE H: Conservation of sites with multiple MAUs in ordered and disordered regions across all eukaryotic clades.</a:t>
          </a:r>
        </a:p>
        <a:p>
          <a:pPr marL="0" marR="0" indent="0" defTabSz="914400" eaLnBrk="1" fontAlgn="auto" latinLnBrk="0" hangingPunct="1">
            <a:lnSpc>
              <a:spcPct val="100000"/>
            </a:lnSpc>
            <a:spcBef>
              <a:spcPts val="0"/>
            </a:spcBef>
            <a:spcAft>
              <a:spcPts val="0"/>
            </a:spcAft>
            <a:buClrTx/>
            <a:buSzTx/>
            <a:buFontTx/>
            <a:buNone/>
            <a:tabLst/>
            <a:defRPr/>
          </a:pPr>
          <a:r>
            <a:rPr lang="en-US" sz="1200" baseline="0">
              <a:latin typeface="+mn-lt"/>
              <a:ea typeface="Arial" charset="0"/>
              <a:cs typeface="Arial" charset="0"/>
            </a:rPr>
            <a:t>P-value &lt; 0.05 is highlighted in green, P-value &lt; 0.0025 is highlighted in yellow and P-value &gt; 0.05 in red.</a:t>
          </a:r>
        </a:p>
        <a:p>
          <a:pPr marL="0" marR="0" indent="0" defTabSz="914400" eaLnBrk="1" fontAlgn="auto" latinLnBrk="0" hangingPunct="1">
            <a:lnSpc>
              <a:spcPct val="100000"/>
            </a:lnSpc>
            <a:spcBef>
              <a:spcPts val="0"/>
            </a:spcBef>
            <a:spcAft>
              <a:spcPts val="0"/>
            </a:spcAft>
            <a:buClrTx/>
            <a:buSzTx/>
            <a:buFontTx/>
            <a:buNone/>
            <a:tabLst/>
            <a:defRPr/>
          </a:pPr>
          <a:endParaRPr lang="en-US" sz="1200" baseline="0">
            <a:latin typeface="+mn-lt"/>
            <a:ea typeface="Arial" charset="0"/>
            <a:cs typeface="Arial"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aseline="0">
              <a:latin typeface="+mn-lt"/>
              <a:ea typeface="Arial" charset="0"/>
              <a:cs typeface="Arial" charset="0"/>
            </a:rPr>
            <a:t>FILE S1 </a:t>
          </a:r>
          <a:r>
            <a:rPr lang="en-US" sz="1200">
              <a:latin typeface="+mn-lt"/>
              <a:ea typeface="Arial" charset="0"/>
              <a:cs typeface="Arial" charset="0"/>
            </a:rPr>
            <a:t>TABLE</a:t>
          </a:r>
          <a:r>
            <a:rPr lang="en-US" sz="1200" baseline="0">
              <a:latin typeface="+mn-lt"/>
              <a:ea typeface="Arial" charset="0"/>
              <a:cs typeface="Arial" charset="0"/>
            </a:rPr>
            <a:t> I: Conservation of MAU sites in FB (treated as a sample of ordered and disordered) regions  across all eukaryotic clades.</a:t>
          </a:r>
        </a:p>
        <a:p>
          <a:pPr marL="0" marR="0" indent="0" defTabSz="914400" eaLnBrk="1" fontAlgn="auto" latinLnBrk="0" hangingPunct="1">
            <a:lnSpc>
              <a:spcPct val="100000"/>
            </a:lnSpc>
            <a:spcBef>
              <a:spcPts val="0"/>
            </a:spcBef>
            <a:spcAft>
              <a:spcPts val="0"/>
            </a:spcAft>
            <a:buClrTx/>
            <a:buSzTx/>
            <a:buFontTx/>
            <a:buNone/>
            <a:tabLst/>
            <a:defRPr/>
          </a:pPr>
          <a:r>
            <a:rPr lang="en-US" sz="1200" baseline="0">
              <a:latin typeface="+mn-lt"/>
              <a:ea typeface="Arial" charset="0"/>
              <a:cs typeface="Arial" charset="0"/>
            </a:rPr>
            <a:t>P-value threshold:Arginine Methylation &lt; 0.0125 and Lysine methylation, acetylation and ubiquitination sites &lt; 0.00417 are highlighted in green, P-value &lt; 0.0025 is highlighted in yellow, P-value &lt; 0.05 in gray and P-value &gt; 0.05 in red.</a:t>
          </a:r>
        </a:p>
        <a:p>
          <a:pPr marL="0" marR="0" indent="0" defTabSz="914400" eaLnBrk="1" fontAlgn="auto" latinLnBrk="0" hangingPunct="1">
            <a:lnSpc>
              <a:spcPct val="100000"/>
            </a:lnSpc>
            <a:spcBef>
              <a:spcPts val="0"/>
            </a:spcBef>
            <a:spcAft>
              <a:spcPts val="0"/>
            </a:spcAft>
            <a:buClrTx/>
            <a:buSzTx/>
            <a:buFontTx/>
            <a:buNone/>
            <a:tabLst/>
            <a:defRPr/>
          </a:pPr>
          <a:endParaRPr lang="en-US" sz="1200" baseline="0">
            <a:latin typeface="+mn-lt"/>
            <a:ea typeface="Arial" charset="0"/>
            <a:cs typeface="Arial"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aseline="0">
              <a:latin typeface="+mn-lt"/>
              <a:ea typeface="Arial" charset="0"/>
              <a:cs typeface="Arial" charset="0"/>
            </a:rPr>
            <a:t>FILE S1 TABLE J: Conservation of sites with multiple MAU sites in FB (treated as a sample of ordered and disordered) regions across all eukaryotes.</a:t>
          </a:r>
        </a:p>
        <a:p>
          <a:pPr marL="0" marR="0" indent="0" defTabSz="914400" eaLnBrk="1" fontAlgn="auto" latinLnBrk="0" hangingPunct="1">
            <a:lnSpc>
              <a:spcPct val="100000"/>
            </a:lnSpc>
            <a:spcBef>
              <a:spcPts val="0"/>
            </a:spcBef>
            <a:spcAft>
              <a:spcPts val="0"/>
            </a:spcAft>
            <a:buClrTx/>
            <a:buSzTx/>
            <a:buFontTx/>
            <a:buNone/>
            <a:tabLst/>
            <a:defRPr/>
          </a:pPr>
          <a:r>
            <a:rPr lang="en-US" sz="1200" baseline="0">
              <a:latin typeface="+mn-lt"/>
              <a:ea typeface="Arial" charset="0"/>
              <a:cs typeface="Arial" charset="0"/>
            </a:rPr>
            <a:t>P-value &lt; 0.0025 is highlighted in yellow and P-value &gt; 0.05 in red.</a:t>
          </a:r>
        </a:p>
        <a:p>
          <a:pPr marL="0" marR="0" indent="0" defTabSz="914400" eaLnBrk="1" fontAlgn="auto" latinLnBrk="0" hangingPunct="1">
            <a:lnSpc>
              <a:spcPct val="100000"/>
            </a:lnSpc>
            <a:spcBef>
              <a:spcPts val="0"/>
            </a:spcBef>
            <a:spcAft>
              <a:spcPts val="0"/>
            </a:spcAft>
            <a:buClrTx/>
            <a:buSzTx/>
            <a:buFontTx/>
            <a:buNone/>
            <a:tabLst/>
            <a:defRPr/>
          </a:pPr>
          <a:endParaRPr lang="en-US" sz="1200" baseline="0">
            <a:latin typeface="+mn-lt"/>
            <a:ea typeface="Arial" charset="0"/>
            <a:cs typeface="Arial" charset="0"/>
          </a:endParaRPr>
        </a:p>
        <a:p>
          <a:r>
            <a:rPr lang="en-US" sz="1200" baseline="0">
              <a:latin typeface="+mn-lt"/>
              <a:ea typeface="Arial" charset="0"/>
              <a:cs typeface="Arial" charset="0"/>
            </a:rPr>
            <a:t>FILE S1 TABLE K: Conservation of MAU sites in disordered regions (disordered regions predicted by IUPRED tool) regions across all eukaryotic clades. </a:t>
          </a:r>
        </a:p>
        <a:p>
          <a:r>
            <a:rPr lang="en-US" sz="1200" baseline="0">
              <a:latin typeface="+mn-lt"/>
              <a:ea typeface="Arial" charset="0"/>
              <a:cs typeface="Arial" charset="0"/>
            </a:rPr>
            <a:t>P-value threshold for arginine methylation &lt; 0.0125 and Lysine methylation, acetylation and ubiquitination sites &lt; 0.00417 is highlighted in green, P-value &lt; 0.0025 is highlighted in yellow, P-value &lt; 0.05 in gray and P-value &gt; 0.05 in red.</a:t>
          </a:r>
        </a:p>
        <a:p>
          <a:pPr marL="0" marR="0" indent="0" defTabSz="914400" eaLnBrk="1" fontAlgn="auto" latinLnBrk="0" hangingPunct="1">
            <a:lnSpc>
              <a:spcPct val="100000"/>
            </a:lnSpc>
            <a:spcBef>
              <a:spcPts val="0"/>
            </a:spcBef>
            <a:spcAft>
              <a:spcPts val="0"/>
            </a:spcAft>
            <a:buClrTx/>
            <a:buSzTx/>
            <a:buFontTx/>
            <a:buNone/>
            <a:tabLst/>
            <a:defRPr/>
          </a:pPr>
          <a:endParaRPr lang="en-US" sz="1200" baseline="0">
            <a:latin typeface="+mn-lt"/>
            <a:ea typeface="Arial" charset="0"/>
            <a:cs typeface="Arial" charset="0"/>
          </a:endParaRPr>
        </a:p>
        <a:p>
          <a:r>
            <a:rPr lang="en-US" sz="1200" baseline="0">
              <a:latin typeface="+mn-lt"/>
              <a:ea typeface="Arial" charset="0"/>
              <a:cs typeface="Arial" charset="0"/>
            </a:rPr>
            <a:t>FILE S1 TABLE L: Conservation of MAU sites in disordered regions across all eukaryotic clades, sequence are aligned using KMAD alignment tool. </a:t>
          </a:r>
        </a:p>
        <a:p>
          <a:r>
            <a:rPr lang="en-US" sz="1200" baseline="0">
              <a:latin typeface="+mn-lt"/>
              <a:ea typeface="Arial" charset="0"/>
              <a:cs typeface="Arial" charset="0"/>
            </a:rPr>
            <a:t>P-value threshold for arginine methylation &lt; 0.0125 and Lysine methylation, acetylation and ubiquitination sites &lt; 0.00417 is highlighted in green, P-value &lt; 0.0025 is highlighted in yellow, P-value &lt; 0.05 in gray and P-value &gt; 0.05 in red.</a:t>
          </a:r>
        </a:p>
        <a:p>
          <a:pPr marL="0" marR="0" indent="0" defTabSz="914400" eaLnBrk="1" fontAlgn="auto" latinLnBrk="0" hangingPunct="1">
            <a:lnSpc>
              <a:spcPct val="100000"/>
            </a:lnSpc>
            <a:spcBef>
              <a:spcPts val="0"/>
            </a:spcBef>
            <a:spcAft>
              <a:spcPts val="0"/>
            </a:spcAft>
            <a:buClrTx/>
            <a:buSzTx/>
            <a:buFontTx/>
            <a:buNone/>
            <a:tabLst/>
            <a:defRPr/>
          </a:pPr>
          <a:endParaRPr lang="en-US" sz="1200" baseline="0">
            <a:latin typeface="+mn-lt"/>
            <a:ea typeface="Arial" charset="0"/>
            <a:cs typeface="Arial"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baseline="0">
            <a:latin typeface="+mn-lt"/>
            <a:ea typeface="Arial" charset="0"/>
            <a:cs typeface="Arial"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baseline="0">
            <a:latin typeface="+mn-lt"/>
            <a:ea typeface="Arial" charset="0"/>
            <a:cs typeface="Arial" charset="0"/>
          </a:endParaRPr>
        </a:p>
        <a:p>
          <a:endParaRPr lang="en-US" sz="1200">
            <a:latin typeface="+mn-lt"/>
            <a:ea typeface="Arial" charset="0"/>
            <a:cs typeface="Arial"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396398</xdr:colOff>
      <xdr:row>27</xdr:row>
      <xdr:rowOff>31726</xdr:rowOff>
    </xdr:from>
    <xdr:ext cx="1847269" cy="264560"/>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rot="10800000" flipH="1" flipV="1">
          <a:off x="2343731" y="7482393"/>
          <a:ext cx="184726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150" zoomScaleNormal="150" zoomScalePageLayoutView="150" workbookViewId="0">
      <selection activeCell="A41" sqref="A41"/>
    </sheetView>
  </sheetViews>
  <sheetFormatPr baseColWidth="10" defaultRowHeight="16" x14ac:dyDescent="0.2"/>
  <cols>
    <col min="1" max="1" width="10.83203125" customWidth="1"/>
  </cols>
  <sheetData>
    <row r="1" spans="1:1" x14ac:dyDescent="0.2">
      <c r="A1" t="s">
        <v>21</v>
      </c>
    </row>
  </sheetData>
  <customSheetViews>
    <customSheetView guid="{127B6458-1888-E743-A436-D6EF9EF5889D}">
      <pageMargins left="0.7" right="0.7" top="0.75" bottom="0.75" header="0.3" footer="0.3"/>
    </customSheetView>
  </customSheetViews>
  <phoneticPr fontId="4" type="noConversion"/>
  <pageMargins left="0.7" right="0.7" top="0.75" bottom="0.75" header="0.3" footer="0.3"/>
  <pageSetup paperSize="9"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71"/>
  <sheetViews>
    <sheetView topLeftCell="E1" zoomScale="130" zoomScaleNormal="130" zoomScalePageLayoutView="130" workbookViewId="0">
      <selection activeCell="A2" sqref="A2"/>
    </sheetView>
  </sheetViews>
  <sheetFormatPr baseColWidth="10" defaultColWidth="15.83203125" defaultRowHeight="16" x14ac:dyDescent="0.2"/>
  <cols>
    <col min="1" max="1" width="15.83203125" style="114"/>
    <col min="2" max="6" width="15.83203125" style="90"/>
    <col min="7" max="7" width="15.83203125" style="112"/>
    <col min="8" max="12" width="15.83203125" style="90"/>
    <col min="13" max="15" width="15.83203125" style="60"/>
    <col min="16" max="21" width="15.83203125" style="90"/>
    <col min="22" max="23" width="15.83203125" style="60"/>
    <col min="24" max="25" width="15.83203125" style="90"/>
    <col min="26" max="26" width="15.83203125" style="115"/>
    <col min="27" max="29" width="15.83203125" style="90"/>
    <col min="30" max="31" width="15.83203125" style="60"/>
    <col min="32" max="33" width="15.83203125" style="90"/>
    <col min="34" max="34" width="15.83203125" style="115"/>
    <col min="35" max="37" width="15.83203125" style="90"/>
    <col min="38" max="39" width="15.83203125" style="60"/>
    <col min="40" max="45" width="15.83203125" style="90"/>
    <col min="46" max="47" width="15.83203125" style="60"/>
    <col min="48" max="53" width="15.83203125" style="90"/>
    <col min="54" max="55" width="15.83203125" style="60"/>
    <col min="56" max="56" width="15.83203125" style="90"/>
    <col min="57" max="57" width="15.83203125" style="49"/>
    <col min="58" max="61" width="15.83203125" style="90"/>
    <col min="62" max="63" width="15.83203125" style="60"/>
    <col min="64" max="69" width="15.83203125" style="90"/>
    <col min="70" max="71" width="15.83203125" style="60"/>
    <col min="72" max="76" width="15.83203125" style="90"/>
    <col min="77" max="77" width="15.83203125" style="115"/>
    <col min="78" max="79" width="15.83203125" style="60"/>
    <col min="80" max="85" width="15.83203125" style="90"/>
    <col min="86" max="87" width="15.83203125" style="60"/>
    <col min="88" max="88" width="15.83203125" style="94"/>
    <col min="89" max="91" width="15.83203125" style="90"/>
    <col min="92" max="93" width="15.83203125" style="60"/>
    <col min="94" max="16384" width="15.83203125" style="90"/>
  </cols>
  <sheetData>
    <row r="1" spans="1:136" s="171" customFormat="1" ht="30" customHeight="1" x14ac:dyDescent="0.2">
      <c r="C1" s="384" t="s">
        <v>33</v>
      </c>
      <c r="D1" s="385"/>
      <c r="E1" s="385"/>
      <c r="F1" s="385"/>
      <c r="G1" s="385"/>
      <c r="H1" s="385"/>
      <c r="I1" s="385"/>
      <c r="J1" s="385"/>
      <c r="K1" s="385"/>
      <c r="L1" s="387"/>
      <c r="M1" s="384" t="s">
        <v>10</v>
      </c>
      <c r="N1" s="385"/>
      <c r="O1" s="385"/>
      <c r="P1" s="385"/>
      <c r="Q1" s="385"/>
      <c r="R1" s="385"/>
      <c r="S1" s="385"/>
      <c r="T1" s="385"/>
      <c r="U1" s="385"/>
      <c r="V1" s="387"/>
      <c r="W1" s="384" t="s">
        <v>11</v>
      </c>
      <c r="X1" s="385"/>
      <c r="Y1" s="385"/>
      <c r="Z1" s="385"/>
      <c r="AA1" s="385"/>
      <c r="AB1" s="385"/>
      <c r="AC1" s="385"/>
      <c r="AD1" s="385"/>
      <c r="AE1" s="385"/>
      <c r="AF1" s="387"/>
      <c r="AG1" s="384" t="s">
        <v>12</v>
      </c>
      <c r="AH1" s="385"/>
      <c r="AI1" s="385"/>
      <c r="AJ1" s="385"/>
      <c r="AK1" s="385"/>
      <c r="AL1" s="385"/>
      <c r="AM1" s="385"/>
      <c r="AN1" s="385"/>
      <c r="AO1" s="385"/>
      <c r="AP1" s="387"/>
      <c r="AQ1" s="384" t="s">
        <v>13</v>
      </c>
      <c r="AR1" s="385"/>
      <c r="AS1" s="385"/>
      <c r="AT1" s="385"/>
      <c r="AU1" s="385"/>
      <c r="AV1" s="385"/>
      <c r="AW1" s="385"/>
      <c r="AX1" s="385"/>
      <c r="AY1" s="385"/>
      <c r="AZ1" s="387"/>
      <c r="BA1" s="384" t="s">
        <v>14</v>
      </c>
      <c r="BB1" s="385"/>
      <c r="BC1" s="385"/>
      <c r="BD1" s="385"/>
      <c r="BE1" s="385"/>
      <c r="BF1" s="385"/>
      <c r="BG1" s="385"/>
      <c r="BH1" s="385"/>
      <c r="BI1" s="385"/>
      <c r="BJ1" s="387"/>
      <c r="BK1" s="384" t="s">
        <v>15</v>
      </c>
      <c r="BL1" s="385"/>
      <c r="BM1" s="385"/>
      <c r="BN1" s="385"/>
      <c r="BO1" s="385"/>
      <c r="BP1" s="385"/>
      <c r="BQ1" s="385"/>
      <c r="BR1" s="385"/>
      <c r="BS1" s="385"/>
      <c r="BT1" s="387"/>
      <c r="BU1" s="384" t="s">
        <v>23</v>
      </c>
      <c r="BV1" s="385"/>
      <c r="BW1" s="385"/>
      <c r="BX1" s="385"/>
      <c r="BY1" s="385"/>
      <c r="BZ1" s="385"/>
      <c r="CA1" s="385"/>
      <c r="CB1" s="385"/>
      <c r="CC1" s="385"/>
      <c r="CD1" s="387"/>
      <c r="CE1" s="388" t="s">
        <v>24</v>
      </c>
      <c r="CF1" s="389"/>
      <c r="CG1" s="389"/>
      <c r="CH1" s="389"/>
      <c r="CI1" s="389"/>
      <c r="CJ1" s="389"/>
      <c r="CK1" s="389"/>
      <c r="CL1" s="389"/>
      <c r="CM1" s="389"/>
      <c r="CN1" s="390"/>
      <c r="CO1" s="384" t="s">
        <v>18</v>
      </c>
      <c r="CP1" s="385"/>
      <c r="CQ1" s="385"/>
      <c r="CR1" s="385"/>
      <c r="CS1" s="385"/>
      <c r="CT1" s="385"/>
      <c r="CU1" s="385"/>
      <c r="CV1" s="385"/>
      <c r="CW1" s="385"/>
      <c r="CX1" s="387"/>
      <c r="CY1" s="384" t="s">
        <v>19</v>
      </c>
      <c r="CZ1" s="385"/>
      <c r="DA1" s="385"/>
      <c r="DB1" s="385"/>
      <c r="DC1" s="385"/>
      <c r="DD1" s="385"/>
      <c r="DE1" s="172"/>
      <c r="DF1" s="242"/>
      <c r="DG1" s="174"/>
      <c r="DH1" s="172"/>
      <c r="DI1" s="172"/>
      <c r="DJ1" s="172"/>
    </row>
    <row r="2" spans="1:136" s="91" customFormat="1" ht="70" customHeight="1" x14ac:dyDescent="0.2">
      <c r="A2" s="7" t="s">
        <v>71</v>
      </c>
      <c r="B2" s="294"/>
      <c r="C2" s="279" t="s">
        <v>56</v>
      </c>
      <c r="D2" s="7" t="s">
        <v>55</v>
      </c>
      <c r="E2" s="7" t="s">
        <v>52</v>
      </c>
      <c r="F2" s="103" t="s">
        <v>53</v>
      </c>
      <c r="G2" s="104" t="s">
        <v>54</v>
      </c>
      <c r="H2" s="104" t="s">
        <v>57</v>
      </c>
      <c r="I2" s="103" t="s">
        <v>58</v>
      </c>
      <c r="J2" s="104" t="s">
        <v>59</v>
      </c>
      <c r="K2" s="65" t="s">
        <v>35</v>
      </c>
      <c r="L2" s="65" t="s">
        <v>60</v>
      </c>
      <c r="M2" s="7" t="s">
        <v>56</v>
      </c>
      <c r="N2" s="7" t="s">
        <v>55</v>
      </c>
      <c r="O2" s="7" t="s">
        <v>52</v>
      </c>
      <c r="P2" s="103" t="s">
        <v>53</v>
      </c>
      <c r="Q2" s="104" t="s">
        <v>54</v>
      </c>
      <c r="R2" s="104" t="s">
        <v>57</v>
      </c>
      <c r="S2" s="103" t="s">
        <v>58</v>
      </c>
      <c r="T2" s="104" t="s">
        <v>59</v>
      </c>
      <c r="U2" s="65" t="s">
        <v>35</v>
      </c>
      <c r="V2" s="65" t="s">
        <v>60</v>
      </c>
      <c r="W2" s="7" t="s">
        <v>56</v>
      </c>
      <c r="X2" s="7" t="s">
        <v>55</v>
      </c>
      <c r="Y2" s="7" t="s">
        <v>52</v>
      </c>
      <c r="Z2" s="103" t="s">
        <v>53</v>
      </c>
      <c r="AA2" s="104" t="s">
        <v>54</v>
      </c>
      <c r="AB2" s="104" t="s">
        <v>57</v>
      </c>
      <c r="AC2" s="103" t="s">
        <v>58</v>
      </c>
      <c r="AD2" s="104" t="s">
        <v>59</v>
      </c>
      <c r="AE2" s="65" t="s">
        <v>35</v>
      </c>
      <c r="AF2" s="65" t="s">
        <v>60</v>
      </c>
      <c r="AG2" s="7" t="s">
        <v>56</v>
      </c>
      <c r="AH2" s="7" t="s">
        <v>55</v>
      </c>
      <c r="AI2" s="7" t="s">
        <v>52</v>
      </c>
      <c r="AJ2" s="103" t="s">
        <v>53</v>
      </c>
      <c r="AK2" s="104" t="s">
        <v>54</v>
      </c>
      <c r="AL2" s="104" t="s">
        <v>57</v>
      </c>
      <c r="AM2" s="103" t="s">
        <v>58</v>
      </c>
      <c r="AN2" s="104" t="s">
        <v>59</v>
      </c>
      <c r="AO2" s="65" t="s">
        <v>35</v>
      </c>
      <c r="AP2" s="65" t="s">
        <v>60</v>
      </c>
      <c r="AQ2" s="7" t="s">
        <v>56</v>
      </c>
      <c r="AR2" s="7" t="s">
        <v>55</v>
      </c>
      <c r="AS2" s="7" t="s">
        <v>52</v>
      </c>
      <c r="AT2" s="103" t="s">
        <v>53</v>
      </c>
      <c r="AU2" s="104" t="s">
        <v>54</v>
      </c>
      <c r="AV2" s="104" t="s">
        <v>57</v>
      </c>
      <c r="AW2" s="103" t="s">
        <v>58</v>
      </c>
      <c r="AX2" s="104" t="s">
        <v>59</v>
      </c>
      <c r="AY2" s="65" t="s">
        <v>35</v>
      </c>
      <c r="AZ2" s="65" t="s">
        <v>60</v>
      </c>
      <c r="BA2" s="7" t="s">
        <v>56</v>
      </c>
      <c r="BB2" s="7" t="s">
        <v>55</v>
      </c>
      <c r="BC2" s="7" t="s">
        <v>52</v>
      </c>
      <c r="BD2" s="103" t="s">
        <v>53</v>
      </c>
      <c r="BE2" s="104" t="s">
        <v>54</v>
      </c>
      <c r="BF2" s="104" t="s">
        <v>57</v>
      </c>
      <c r="BG2" s="103" t="s">
        <v>58</v>
      </c>
      <c r="BH2" s="104" t="s">
        <v>59</v>
      </c>
      <c r="BI2" s="65" t="s">
        <v>35</v>
      </c>
      <c r="BJ2" s="65" t="s">
        <v>60</v>
      </c>
      <c r="BK2" s="7" t="s">
        <v>56</v>
      </c>
      <c r="BL2" s="7" t="s">
        <v>55</v>
      </c>
      <c r="BM2" s="7" t="s">
        <v>52</v>
      </c>
      <c r="BN2" s="103" t="s">
        <v>53</v>
      </c>
      <c r="BO2" s="104" t="s">
        <v>54</v>
      </c>
      <c r="BP2" s="104" t="s">
        <v>57</v>
      </c>
      <c r="BQ2" s="103" t="s">
        <v>58</v>
      </c>
      <c r="BR2" s="104" t="s">
        <v>59</v>
      </c>
      <c r="BS2" s="65" t="s">
        <v>35</v>
      </c>
      <c r="BT2" s="65" t="s">
        <v>60</v>
      </c>
      <c r="BU2" s="7" t="s">
        <v>56</v>
      </c>
      <c r="BV2" s="7" t="s">
        <v>55</v>
      </c>
      <c r="BW2" s="7" t="s">
        <v>52</v>
      </c>
      <c r="BX2" s="103" t="s">
        <v>53</v>
      </c>
      <c r="BY2" s="104" t="s">
        <v>54</v>
      </c>
      <c r="BZ2" s="104" t="s">
        <v>57</v>
      </c>
      <c r="CA2" s="103" t="s">
        <v>58</v>
      </c>
      <c r="CB2" s="104" t="s">
        <v>59</v>
      </c>
      <c r="CC2" s="65" t="s">
        <v>35</v>
      </c>
      <c r="CD2" s="65" t="s">
        <v>60</v>
      </c>
      <c r="CE2" s="7" t="s">
        <v>56</v>
      </c>
      <c r="CF2" s="7" t="s">
        <v>55</v>
      </c>
      <c r="CG2" s="7" t="s">
        <v>52</v>
      </c>
      <c r="CH2" s="103" t="s">
        <v>53</v>
      </c>
      <c r="CI2" s="104" t="s">
        <v>54</v>
      </c>
      <c r="CJ2" s="104" t="s">
        <v>57</v>
      </c>
      <c r="CK2" s="103" t="s">
        <v>58</v>
      </c>
      <c r="CL2" s="104" t="s">
        <v>59</v>
      </c>
      <c r="CM2" s="65" t="s">
        <v>35</v>
      </c>
      <c r="CN2" s="65" t="s">
        <v>60</v>
      </c>
      <c r="CO2" s="7" t="s">
        <v>56</v>
      </c>
      <c r="CP2" s="7" t="s">
        <v>55</v>
      </c>
      <c r="CQ2" s="7" t="s">
        <v>52</v>
      </c>
      <c r="CR2" s="103" t="s">
        <v>53</v>
      </c>
      <c r="CS2" s="104" t="s">
        <v>54</v>
      </c>
      <c r="CT2" s="104" t="s">
        <v>57</v>
      </c>
      <c r="CU2" s="103" t="s">
        <v>58</v>
      </c>
      <c r="CV2" s="104" t="s">
        <v>59</v>
      </c>
      <c r="CW2" s="65" t="s">
        <v>35</v>
      </c>
      <c r="CX2" s="65" t="s">
        <v>60</v>
      </c>
      <c r="CY2" s="7" t="s">
        <v>56</v>
      </c>
      <c r="CZ2" s="7" t="s">
        <v>55</v>
      </c>
      <c r="DA2" s="7" t="s">
        <v>52</v>
      </c>
      <c r="DB2" s="103" t="s">
        <v>53</v>
      </c>
      <c r="DC2" s="104" t="s">
        <v>54</v>
      </c>
      <c r="DD2" s="238" t="s">
        <v>35</v>
      </c>
      <c r="DE2" s="239"/>
      <c r="DF2" s="240"/>
      <c r="DG2" s="241"/>
      <c r="DH2" s="241"/>
      <c r="DI2" s="105"/>
      <c r="DJ2" s="105"/>
    </row>
    <row r="3" spans="1:136" x14ac:dyDescent="0.2">
      <c r="A3" s="391" t="s">
        <v>27</v>
      </c>
      <c r="B3" s="281" t="s">
        <v>1</v>
      </c>
      <c r="C3" s="108">
        <v>4983</v>
      </c>
      <c r="D3" s="9">
        <v>4737</v>
      </c>
      <c r="E3" s="10">
        <v>371</v>
      </c>
      <c r="F3" s="11">
        <v>356</v>
      </c>
      <c r="G3" s="12">
        <f>F3/D3</f>
        <v>7.5153050453873757E-2</v>
      </c>
      <c r="H3" s="13">
        <f>D3-N3</f>
        <v>1031</v>
      </c>
      <c r="I3" s="14">
        <f>F3-P3</f>
        <v>49</v>
      </c>
      <c r="J3" s="12">
        <f>I3/H3</f>
        <v>4.7526673132880698E-2</v>
      </c>
      <c r="K3" s="228">
        <v>0.2467017</v>
      </c>
      <c r="L3" s="231">
        <v>0.99995999999999996</v>
      </c>
      <c r="M3" s="108">
        <v>4252</v>
      </c>
      <c r="N3" s="15">
        <v>3706</v>
      </c>
      <c r="O3" s="10">
        <v>358</v>
      </c>
      <c r="P3" s="11">
        <v>307</v>
      </c>
      <c r="Q3" s="12">
        <f>P3/N3</f>
        <v>8.2838640043173234E-2</v>
      </c>
      <c r="R3" s="16">
        <f>N3-X3</f>
        <v>1011</v>
      </c>
      <c r="S3" s="17">
        <f>P3-Z3</f>
        <v>61</v>
      </c>
      <c r="T3" s="18">
        <f>S3/R3</f>
        <v>6.0336300692383778E-2</v>
      </c>
      <c r="U3" s="102">
        <v>0.82013199999999997</v>
      </c>
      <c r="V3" s="137">
        <v>0.99951159999999994</v>
      </c>
      <c r="W3" s="8">
        <v>3454</v>
      </c>
      <c r="X3" s="9">
        <v>2695</v>
      </c>
      <c r="Y3" s="10">
        <v>292</v>
      </c>
      <c r="Z3" s="11">
        <v>246</v>
      </c>
      <c r="AA3" s="12">
        <f>Z3/X3</f>
        <v>9.1280148423005567E-2</v>
      </c>
      <c r="AB3" s="13">
        <f>X3-AH3</f>
        <v>805</v>
      </c>
      <c r="AC3" s="20">
        <f>Z3-AJ3</f>
        <v>52</v>
      </c>
      <c r="AD3" s="21">
        <f>AC3/AB3</f>
        <v>6.4596273291925466E-2</v>
      </c>
      <c r="AE3" s="23">
        <v>3.5986550000000001E-3</v>
      </c>
      <c r="AF3" s="22">
        <v>0.99292449999999999</v>
      </c>
      <c r="AG3" s="8">
        <v>2670</v>
      </c>
      <c r="AH3" s="9">
        <v>1890</v>
      </c>
      <c r="AI3" s="10">
        <v>245</v>
      </c>
      <c r="AJ3" s="11">
        <v>194</v>
      </c>
      <c r="AK3" s="12">
        <f>AJ3/AH3</f>
        <v>0.10264550264550265</v>
      </c>
      <c r="AL3" s="13">
        <f>AH3-AR3</f>
        <v>274</v>
      </c>
      <c r="AM3" s="20">
        <f>AJ3-AT3</f>
        <v>47</v>
      </c>
      <c r="AN3" s="21">
        <f>AM3/AL3</f>
        <v>0.17153284671532848</v>
      </c>
      <c r="AO3" s="23">
        <v>1.194208E-3</v>
      </c>
      <c r="AP3" s="23">
        <v>6.9351419999999998E-6</v>
      </c>
      <c r="AQ3" s="8">
        <v>2400</v>
      </c>
      <c r="AR3" s="9">
        <v>1616</v>
      </c>
      <c r="AS3" s="10">
        <v>162</v>
      </c>
      <c r="AT3" s="11">
        <v>147</v>
      </c>
      <c r="AU3" s="12">
        <f>AT3/AR3</f>
        <v>9.0965346534653463E-2</v>
      </c>
      <c r="AV3" s="13">
        <f>AR3-BB3</f>
        <v>460</v>
      </c>
      <c r="AW3" s="20">
        <f>AT3-BD3</f>
        <v>37</v>
      </c>
      <c r="AX3" s="21">
        <f>AW3/AV3</f>
        <v>8.0434782608695646E-2</v>
      </c>
      <c r="AY3" s="23">
        <v>4.6746149999999997E-13</v>
      </c>
      <c r="AZ3" s="19">
        <v>0.1308163</v>
      </c>
      <c r="BA3" s="8">
        <v>1839</v>
      </c>
      <c r="BB3" s="9">
        <v>1156</v>
      </c>
      <c r="BC3" s="10">
        <v>148</v>
      </c>
      <c r="BD3" s="11">
        <v>110</v>
      </c>
      <c r="BE3" s="12">
        <f>BD3/BB3</f>
        <v>9.5155709342560554E-2</v>
      </c>
      <c r="BF3" s="13">
        <f>BB3-BL3</f>
        <v>495</v>
      </c>
      <c r="BG3" s="20">
        <f>BD3-BN3</f>
        <v>38</v>
      </c>
      <c r="BH3" s="18">
        <f>BG3/BF3</f>
        <v>7.6767676767676762E-2</v>
      </c>
      <c r="BI3" s="25">
        <v>1.4192440000000001E-3</v>
      </c>
      <c r="BJ3" s="133">
        <v>0.67055019999999999</v>
      </c>
      <c r="BK3" s="8">
        <v>1262</v>
      </c>
      <c r="BL3" s="9">
        <v>661</v>
      </c>
      <c r="BM3" s="10">
        <v>112</v>
      </c>
      <c r="BN3" s="11">
        <v>72</v>
      </c>
      <c r="BO3" s="12">
        <f>BN3/BL3</f>
        <v>0.10892586989409984</v>
      </c>
      <c r="BP3" s="13">
        <f>BL3-BV3</f>
        <v>287</v>
      </c>
      <c r="BQ3" s="20">
        <f>BN3-BX3</f>
        <v>19</v>
      </c>
      <c r="BR3" s="18">
        <f>BQ3/BP3</f>
        <v>6.6202090592334492E-2</v>
      </c>
      <c r="BS3" s="133">
        <v>5.2264950000000003E-3</v>
      </c>
      <c r="BT3" s="307">
        <v>0.95372800000000002</v>
      </c>
      <c r="BU3" s="8">
        <v>831</v>
      </c>
      <c r="BV3" s="9">
        <v>374</v>
      </c>
      <c r="BW3" s="10">
        <v>75</v>
      </c>
      <c r="BX3" s="11">
        <v>53</v>
      </c>
      <c r="BY3" s="12">
        <f>BX3/BV3</f>
        <v>0.14171122994652408</v>
      </c>
      <c r="BZ3" s="13">
        <f>BV3-CF3</f>
        <v>73</v>
      </c>
      <c r="CA3" s="20">
        <f>BX3-CH3</f>
        <v>7</v>
      </c>
      <c r="CB3" s="18">
        <f>CA3/BZ3</f>
        <v>9.5890410958904104E-2</v>
      </c>
      <c r="CC3" s="23">
        <v>2.3172769999999998E-6</v>
      </c>
      <c r="CD3" s="102">
        <v>0.49545070000000002</v>
      </c>
      <c r="CE3" s="8">
        <v>726</v>
      </c>
      <c r="CF3" s="9">
        <v>301</v>
      </c>
      <c r="CG3" s="10">
        <v>62</v>
      </c>
      <c r="CH3" s="11">
        <v>46</v>
      </c>
      <c r="CI3" s="12">
        <f>CH3/CF3</f>
        <v>0.15282392026578073</v>
      </c>
      <c r="CJ3" s="13">
        <f>CF3-CP3</f>
        <v>151</v>
      </c>
      <c r="CK3" s="20">
        <f>CH3-CR3</f>
        <v>17</v>
      </c>
      <c r="CL3" s="18">
        <f>CK3/CJ3</f>
        <v>0.11258278145695365</v>
      </c>
      <c r="CM3" s="23">
        <v>4.9346129999999999E-8</v>
      </c>
      <c r="CN3" s="102">
        <v>0.1206919</v>
      </c>
      <c r="CO3" s="8">
        <v>436</v>
      </c>
      <c r="CP3" s="9">
        <v>150</v>
      </c>
      <c r="CQ3" s="10">
        <v>52</v>
      </c>
      <c r="CR3" s="11">
        <v>29</v>
      </c>
      <c r="CS3" s="12">
        <f>CR3/CP3</f>
        <v>0.19333333333333333</v>
      </c>
      <c r="CT3" s="13">
        <f>CP3-CZ3</f>
        <v>61</v>
      </c>
      <c r="CU3" s="20">
        <f>CR3-DB3</f>
        <v>11</v>
      </c>
      <c r="CV3" s="18">
        <f>CU3/CT3</f>
        <v>0.18032786885245902</v>
      </c>
      <c r="CW3" s="25">
        <v>6.3040869999999997E-4</v>
      </c>
      <c r="CX3" s="24">
        <v>0.75465000000000004</v>
      </c>
      <c r="CY3" s="8">
        <v>310</v>
      </c>
      <c r="CZ3" s="9">
        <v>89</v>
      </c>
      <c r="DA3" s="10">
        <v>34</v>
      </c>
      <c r="DB3" s="11">
        <v>18</v>
      </c>
      <c r="DC3" s="12">
        <f>DB3/CZ3</f>
        <v>0.20224719101123595</v>
      </c>
      <c r="DD3" s="308">
        <v>1.41467E-3</v>
      </c>
      <c r="DE3" s="122"/>
      <c r="DF3" s="122"/>
      <c r="DG3" s="122"/>
      <c r="DH3" s="122"/>
      <c r="DI3" s="122"/>
      <c r="DJ3" s="122"/>
    </row>
    <row r="4" spans="1:136" x14ac:dyDescent="0.2">
      <c r="A4" s="391"/>
      <c r="B4" s="281" t="s">
        <v>0</v>
      </c>
      <c r="C4" s="196">
        <v>16541</v>
      </c>
      <c r="D4" s="27">
        <v>15335</v>
      </c>
      <c r="E4" s="28">
        <v>638</v>
      </c>
      <c r="F4" s="29">
        <v>593</v>
      </c>
      <c r="G4" s="12">
        <f t="shared" ref="G4:G13" si="0">F4/D4</f>
        <v>3.8669709814150632E-2</v>
      </c>
      <c r="H4" s="30">
        <f>D4-N4</f>
        <v>5951</v>
      </c>
      <c r="I4" s="31">
        <f>F4-P4</f>
        <v>112</v>
      </c>
      <c r="J4" s="32">
        <f>I4/H4</f>
        <v>1.8820366324987396E-2</v>
      </c>
      <c r="K4" s="228">
        <v>0.44519599999999998</v>
      </c>
      <c r="L4" s="232">
        <v>0.99999000000000005</v>
      </c>
      <c r="M4" s="109">
        <v>12447</v>
      </c>
      <c r="N4" s="33">
        <v>9384</v>
      </c>
      <c r="O4" s="28">
        <v>607</v>
      </c>
      <c r="P4" s="29">
        <v>481</v>
      </c>
      <c r="Q4" s="12">
        <f t="shared" ref="Q4:Q13" si="1">P4/N4</f>
        <v>5.125745950554135E-2</v>
      </c>
      <c r="R4" s="34">
        <f>N4-X4</f>
        <v>4143</v>
      </c>
      <c r="S4" s="35">
        <f>P4-Z4</f>
        <v>172</v>
      </c>
      <c r="T4" s="36">
        <f>S4/R4</f>
        <v>4.151580979966208E-2</v>
      </c>
      <c r="U4" s="79">
        <v>1.2503449999999999E-2</v>
      </c>
      <c r="V4" s="47">
        <v>0.99681719999999996</v>
      </c>
      <c r="W4" s="50">
        <v>8950</v>
      </c>
      <c r="X4" s="27">
        <v>5241</v>
      </c>
      <c r="Y4" s="28">
        <v>486</v>
      </c>
      <c r="Z4" s="29">
        <v>309</v>
      </c>
      <c r="AA4" s="12">
        <f t="shared" ref="AA4:AA13" si="2">Z4/X4</f>
        <v>5.8958214081282198E-2</v>
      </c>
      <c r="AB4" s="30">
        <f>X4-AH4</f>
        <v>2093</v>
      </c>
      <c r="AC4" s="38">
        <f>Z4-AJ4</f>
        <v>92</v>
      </c>
      <c r="AD4" s="39">
        <f>AC4/AB4</f>
        <v>4.3956043956043959E-2</v>
      </c>
      <c r="AE4" s="79">
        <v>1.145026E-2</v>
      </c>
      <c r="AF4" s="37">
        <v>0.99360689999999996</v>
      </c>
      <c r="AG4" s="50">
        <v>6622</v>
      </c>
      <c r="AH4" s="27">
        <v>3148</v>
      </c>
      <c r="AI4" s="28">
        <v>340</v>
      </c>
      <c r="AJ4" s="29">
        <v>217</v>
      </c>
      <c r="AK4" s="12">
        <f t="shared" ref="AK4:AK13" si="3">AJ4/AH4</f>
        <v>6.8932655654383737E-2</v>
      </c>
      <c r="AL4" s="30">
        <f>AH4-AR4</f>
        <v>582</v>
      </c>
      <c r="AM4" s="38">
        <f>AJ4-AT4</f>
        <v>39</v>
      </c>
      <c r="AN4" s="39">
        <f>AM4/AL4</f>
        <v>6.7010309278350513E-2</v>
      </c>
      <c r="AO4" s="40">
        <v>4.1878539999999999E-10</v>
      </c>
      <c r="AP4" s="79">
        <v>4.889814E-2</v>
      </c>
      <c r="AQ4" s="50">
        <v>5409</v>
      </c>
      <c r="AR4" s="27">
        <v>2566</v>
      </c>
      <c r="AS4" s="28">
        <v>231</v>
      </c>
      <c r="AT4" s="29">
        <v>178</v>
      </c>
      <c r="AU4" s="12">
        <f t="shared" ref="AU4:AU13" si="4">AT4/AR4</f>
        <v>6.9368667186282151E-2</v>
      </c>
      <c r="AV4" s="30">
        <f>AR4-BB4</f>
        <v>1209</v>
      </c>
      <c r="AW4" s="38">
        <f>AT4-BD4</f>
        <v>72</v>
      </c>
      <c r="AX4" s="39">
        <f>AW4/AV4</f>
        <v>5.9553349875930521E-2</v>
      </c>
      <c r="AY4" s="40">
        <v>5.2882589999999997E-21</v>
      </c>
      <c r="AZ4" s="40">
        <v>9.6189729999999996E-4</v>
      </c>
      <c r="BA4" s="50">
        <v>3634</v>
      </c>
      <c r="BB4" s="27">
        <v>1357</v>
      </c>
      <c r="BC4" s="28">
        <v>210</v>
      </c>
      <c r="BD4" s="29">
        <v>106</v>
      </c>
      <c r="BE4" s="12">
        <f t="shared" ref="BE4:BE13" si="5">BD4/BB4</f>
        <v>7.8113485630066329E-2</v>
      </c>
      <c r="BF4" s="30">
        <f>BB4-BL4</f>
        <v>838</v>
      </c>
      <c r="BG4" s="38">
        <f>BD4-BN4</f>
        <v>46</v>
      </c>
      <c r="BH4" s="36">
        <f>BG4/BF4</f>
        <v>5.4892601431980909E-2</v>
      </c>
      <c r="BI4" s="40">
        <v>4.3906460000000001E-5</v>
      </c>
      <c r="BJ4" s="79">
        <v>0.68561830000000001</v>
      </c>
      <c r="BK4" s="50">
        <v>1563</v>
      </c>
      <c r="BL4" s="27">
        <v>519</v>
      </c>
      <c r="BM4" s="28">
        <v>145</v>
      </c>
      <c r="BN4" s="29">
        <v>60</v>
      </c>
      <c r="BO4" s="12">
        <f t="shared" ref="BO4:BO13" si="6">BN4/BL4</f>
        <v>0.11560693641618497</v>
      </c>
      <c r="BP4" s="30">
        <f>BL4-BV4</f>
        <v>246</v>
      </c>
      <c r="BQ4" s="38">
        <f>BN4-BX4</f>
        <v>21</v>
      </c>
      <c r="BR4" s="36">
        <f>BQ4/BP4</f>
        <v>8.5365853658536592E-2</v>
      </c>
      <c r="BS4" s="134">
        <v>1.8880939999999999E-2</v>
      </c>
      <c r="BT4" s="134">
        <v>0.70537559999999999</v>
      </c>
      <c r="BU4" s="50">
        <v>1127</v>
      </c>
      <c r="BV4" s="27">
        <v>273</v>
      </c>
      <c r="BW4" s="28">
        <v>80</v>
      </c>
      <c r="BX4" s="29">
        <v>39</v>
      </c>
      <c r="BY4" s="12">
        <f t="shared" ref="BY4:BY13" si="7">BX4/BV4</f>
        <v>0.14285714285714285</v>
      </c>
      <c r="BZ4" s="30">
        <f>BV4-CF4</f>
        <v>95</v>
      </c>
      <c r="CA4" s="38">
        <f>BX4-CH4</f>
        <v>6</v>
      </c>
      <c r="CB4" s="36">
        <f>CA4/BZ4</f>
        <v>6.3157894736842107E-2</v>
      </c>
      <c r="CC4" s="40">
        <v>6.3087810000000004E-7</v>
      </c>
      <c r="CD4" s="79">
        <v>0.68460379999999998</v>
      </c>
      <c r="CE4" s="50">
        <v>879</v>
      </c>
      <c r="CF4" s="27">
        <v>178</v>
      </c>
      <c r="CG4" s="28">
        <v>57</v>
      </c>
      <c r="CH4" s="29">
        <v>33</v>
      </c>
      <c r="CI4" s="12">
        <f>CH4/CF4</f>
        <v>0.1853932584269663</v>
      </c>
      <c r="CJ4" s="30">
        <f>CF4-CP4</f>
        <v>147</v>
      </c>
      <c r="CK4" s="38">
        <f>CH4-CR4</f>
        <v>19</v>
      </c>
      <c r="CL4" s="36">
        <f>CK4/CJ4</f>
        <v>0.12925170068027211</v>
      </c>
      <c r="CM4" s="40">
        <v>9.0889889999999997E-11</v>
      </c>
      <c r="CN4" s="40">
        <v>1.146329E-3</v>
      </c>
      <c r="CO4" s="50">
        <v>261</v>
      </c>
      <c r="CP4" s="27">
        <v>31</v>
      </c>
      <c r="CQ4" s="28">
        <v>47</v>
      </c>
      <c r="CR4" s="29">
        <v>14</v>
      </c>
      <c r="CS4" s="12">
        <f t="shared" ref="CS4:CS13" si="8">CR4/CP4</f>
        <v>0.45161290322580644</v>
      </c>
      <c r="CT4" s="30">
        <f>CP4-CZ4</f>
        <v>26</v>
      </c>
      <c r="CU4" s="38">
        <f>CR4-DB4</f>
        <v>10</v>
      </c>
      <c r="CV4" s="36">
        <f>CU4/CT4</f>
        <v>0.38461538461538464</v>
      </c>
      <c r="CW4" s="42">
        <v>1.6175799999999999E-4</v>
      </c>
      <c r="CX4" s="41">
        <v>4.4681369999999998E-2</v>
      </c>
      <c r="CY4" s="50">
        <v>14</v>
      </c>
      <c r="CZ4" s="27">
        <v>5</v>
      </c>
      <c r="DA4" s="28">
        <v>12</v>
      </c>
      <c r="DB4" s="29">
        <v>4</v>
      </c>
      <c r="DC4" s="12">
        <f t="shared" ref="DC4:DC13" si="9">DB4/CZ4</f>
        <v>0.8</v>
      </c>
      <c r="DD4" s="37">
        <v>0.89010988999999996</v>
      </c>
      <c r="DF4" s="93"/>
    </row>
    <row r="5" spans="1:136" s="49" customFormat="1" x14ac:dyDescent="0.2">
      <c r="A5" s="295"/>
      <c r="B5" s="296"/>
      <c r="C5" s="111"/>
      <c r="D5" s="44"/>
      <c r="E5" s="37"/>
      <c r="F5" s="45"/>
      <c r="G5" s="46"/>
      <c r="H5" s="45"/>
      <c r="I5" s="47"/>
      <c r="J5" s="48"/>
      <c r="K5" s="229"/>
      <c r="L5" s="233"/>
      <c r="M5" s="111"/>
      <c r="N5" s="45"/>
      <c r="O5" s="45"/>
      <c r="P5" s="45"/>
      <c r="Q5" s="46"/>
      <c r="R5" s="45"/>
      <c r="S5" s="45"/>
      <c r="T5" s="44"/>
      <c r="U5" s="37"/>
      <c r="V5" s="47"/>
      <c r="W5" s="45"/>
      <c r="X5" s="45"/>
      <c r="Y5" s="45"/>
      <c r="Z5" s="45"/>
      <c r="AA5" s="46"/>
      <c r="AB5" s="45"/>
      <c r="AC5" s="45"/>
      <c r="AD5" s="44"/>
      <c r="AE5" s="37"/>
      <c r="AF5" s="37"/>
      <c r="AG5" s="45"/>
      <c r="AH5" s="45"/>
      <c r="AI5" s="45"/>
      <c r="AJ5" s="45"/>
      <c r="AK5" s="46"/>
      <c r="AL5" s="45"/>
      <c r="AM5" s="45"/>
      <c r="AN5" s="44"/>
      <c r="AO5" s="37"/>
      <c r="AP5" s="37"/>
      <c r="AQ5" s="45"/>
      <c r="AR5" s="45"/>
      <c r="AS5" s="45"/>
      <c r="AT5" s="45"/>
      <c r="AU5" s="46"/>
      <c r="AV5" s="45"/>
      <c r="AW5" s="45"/>
      <c r="AX5" s="44"/>
      <c r="AY5" s="40"/>
      <c r="AZ5" s="37"/>
      <c r="BA5" s="45"/>
      <c r="BB5" s="45"/>
      <c r="BC5" s="45"/>
      <c r="BD5" s="45"/>
      <c r="BE5" s="46"/>
      <c r="BF5" s="45"/>
      <c r="BG5" s="45"/>
      <c r="BH5" s="44"/>
      <c r="BI5" s="37"/>
      <c r="BJ5" s="79"/>
      <c r="BK5" s="45"/>
      <c r="BL5" s="45"/>
      <c r="BM5" s="45"/>
      <c r="BN5" s="45"/>
      <c r="BO5" s="46"/>
      <c r="BP5" s="45"/>
      <c r="BQ5" s="45"/>
      <c r="BR5" s="44"/>
      <c r="BS5" s="79"/>
      <c r="BT5" s="37"/>
      <c r="BU5" s="45"/>
      <c r="BV5" s="45"/>
      <c r="BW5" s="45"/>
      <c r="BX5" s="45"/>
      <c r="BY5" s="46"/>
      <c r="BZ5" s="45"/>
      <c r="CA5" s="45"/>
      <c r="CB5" s="44"/>
      <c r="CC5" s="37"/>
      <c r="CD5" s="37"/>
      <c r="CE5" s="45"/>
      <c r="CF5" s="45"/>
      <c r="CG5" s="45"/>
      <c r="CH5" s="45"/>
      <c r="CI5" s="46"/>
      <c r="CJ5" s="45"/>
      <c r="CK5" s="45"/>
      <c r="CL5" s="44"/>
      <c r="CM5" s="37"/>
      <c r="CN5" s="37"/>
      <c r="CO5" s="45"/>
      <c r="CP5" s="45"/>
      <c r="CQ5" s="45"/>
      <c r="CR5" s="45"/>
      <c r="CS5" s="46"/>
      <c r="CT5" s="45"/>
      <c r="CU5" s="45"/>
      <c r="CV5" s="44"/>
      <c r="CW5" s="37"/>
      <c r="CX5" s="37"/>
      <c r="CY5" s="45"/>
      <c r="CZ5" s="45"/>
      <c r="DA5" s="45"/>
      <c r="DB5" s="45"/>
      <c r="DC5" s="46"/>
      <c r="DD5" s="37"/>
    </row>
    <row r="6" spans="1:136" x14ac:dyDescent="0.2">
      <c r="A6" s="392" t="s">
        <v>28</v>
      </c>
      <c r="B6" s="281" t="s">
        <v>1</v>
      </c>
      <c r="C6" s="109">
        <v>2563</v>
      </c>
      <c r="D6" s="27">
        <v>2360</v>
      </c>
      <c r="E6" s="28">
        <v>191</v>
      </c>
      <c r="F6" s="29">
        <v>171</v>
      </c>
      <c r="G6" s="12">
        <f t="shared" si="0"/>
        <v>7.2457627118644063E-2</v>
      </c>
      <c r="H6" s="30">
        <f>D6-N6</f>
        <v>782</v>
      </c>
      <c r="I6" s="31">
        <f>F6-P6</f>
        <v>40</v>
      </c>
      <c r="J6" s="32">
        <f>I6/H6</f>
        <v>5.1150895140664961E-2</v>
      </c>
      <c r="K6" s="228">
        <v>0.92820340000000001</v>
      </c>
      <c r="L6" s="234">
        <v>0.99921599999999999</v>
      </c>
      <c r="M6" s="109">
        <v>1878</v>
      </c>
      <c r="N6" s="33">
        <v>1578</v>
      </c>
      <c r="O6" s="28">
        <v>167</v>
      </c>
      <c r="P6" s="29">
        <v>131</v>
      </c>
      <c r="Q6" s="12">
        <f t="shared" si="1"/>
        <v>8.3016476552598223E-2</v>
      </c>
      <c r="R6" s="34">
        <f>N6-X6</f>
        <v>358</v>
      </c>
      <c r="S6" s="35">
        <f>P6-Z6</f>
        <v>25</v>
      </c>
      <c r="T6" s="36">
        <f>S6/R6</f>
        <v>6.9832402234636867E-2</v>
      </c>
      <c r="U6" s="79">
        <v>0.98252379999999995</v>
      </c>
      <c r="V6" s="47">
        <v>0.93823420000000002</v>
      </c>
      <c r="W6" s="50">
        <v>1626</v>
      </c>
      <c r="X6" s="27">
        <v>1220</v>
      </c>
      <c r="Y6" s="28">
        <v>127</v>
      </c>
      <c r="Z6" s="29">
        <v>106</v>
      </c>
      <c r="AA6" s="12">
        <f t="shared" si="2"/>
        <v>8.6885245901639346E-2</v>
      </c>
      <c r="AB6" s="30">
        <f>X6-AH6</f>
        <v>459</v>
      </c>
      <c r="AC6" s="38">
        <f>Z6-AJ6</f>
        <v>31</v>
      </c>
      <c r="AD6" s="39">
        <f>AC6/AB6</f>
        <v>6.7538126361655779E-2</v>
      </c>
      <c r="AE6" s="40">
        <v>1.2244140000000001E-2</v>
      </c>
      <c r="AF6" s="37">
        <v>0.86469629999999997</v>
      </c>
      <c r="AG6" s="50">
        <v>1148</v>
      </c>
      <c r="AH6" s="27">
        <v>761</v>
      </c>
      <c r="AI6" s="28">
        <v>109</v>
      </c>
      <c r="AJ6" s="29">
        <v>75</v>
      </c>
      <c r="AK6" s="12">
        <f t="shared" si="3"/>
        <v>9.8554533508541389E-2</v>
      </c>
      <c r="AL6" s="30">
        <f>AH6-AR6</f>
        <v>181</v>
      </c>
      <c r="AM6" s="38">
        <f>AJ6-AT6</f>
        <v>19</v>
      </c>
      <c r="AN6" s="39">
        <f>AM6/AL6</f>
        <v>0.10497237569060773</v>
      </c>
      <c r="AO6" s="79">
        <v>0.3189806</v>
      </c>
      <c r="AP6" s="79">
        <v>0.35008539999999999</v>
      </c>
      <c r="AQ6" s="50">
        <v>915</v>
      </c>
      <c r="AR6" s="27">
        <v>580</v>
      </c>
      <c r="AS6" s="28">
        <v>72</v>
      </c>
      <c r="AT6" s="29">
        <v>56</v>
      </c>
      <c r="AU6" s="12">
        <f t="shared" si="4"/>
        <v>9.6551724137931033E-2</v>
      </c>
      <c r="AV6" s="30">
        <f>AR6-BB6</f>
        <v>209</v>
      </c>
      <c r="AW6" s="38">
        <f>AT6-BD6</f>
        <v>16</v>
      </c>
      <c r="AX6" s="39">
        <f>AW6/AV6</f>
        <v>7.6555023923444973E-2</v>
      </c>
      <c r="AY6" s="42">
        <v>4.8745280000000004E-3</v>
      </c>
      <c r="AZ6" s="41">
        <v>0.60079320000000003</v>
      </c>
      <c r="BA6" s="50">
        <v>721</v>
      </c>
      <c r="BB6" s="27">
        <v>371</v>
      </c>
      <c r="BC6" s="28">
        <v>59</v>
      </c>
      <c r="BD6" s="29">
        <v>40</v>
      </c>
      <c r="BE6" s="12">
        <f t="shared" si="5"/>
        <v>0.1078167115902965</v>
      </c>
      <c r="BF6" s="30">
        <f>BB6-BL6</f>
        <v>143</v>
      </c>
      <c r="BG6" s="38">
        <f>BD6-BN6</f>
        <v>16</v>
      </c>
      <c r="BH6" s="36">
        <f>BG6/BF6</f>
        <v>0.11188811188811189</v>
      </c>
      <c r="BI6" s="134">
        <v>6.0910510000000001E-3</v>
      </c>
      <c r="BJ6" s="134">
        <v>0.10046239999999999</v>
      </c>
      <c r="BK6" s="50">
        <v>512</v>
      </c>
      <c r="BL6" s="27">
        <v>228</v>
      </c>
      <c r="BM6" s="28">
        <v>36</v>
      </c>
      <c r="BN6" s="29">
        <v>24</v>
      </c>
      <c r="BO6" s="12">
        <f t="shared" si="6"/>
        <v>0.10526315789473684</v>
      </c>
      <c r="BP6" s="30">
        <f>BL6-BV6</f>
        <v>60</v>
      </c>
      <c r="BQ6" s="38">
        <f>BN6-BX6</f>
        <v>8</v>
      </c>
      <c r="BR6" s="36">
        <f>BQ6/BP6</f>
        <v>0.13333333333333333</v>
      </c>
      <c r="BS6" s="134">
        <v>4.7125190000000001E-3</v>
      </c>
      <c r="BT6" s="134">
        <v>4.684837E-2</v>
      </c>
      <c r="BU6" s="50">
        <v>345</v>
      </c>
      <c r="BV6" s="27">
        <v>168</v>
      </c>
      <c r="BW6" s="28">
        <v>21</v>
      </c>
      <c r="BX6" s="29">
        <v>16</v>
      </c>
      <c r="BY6" s="12">
        <f t="shared" si="7"/>
        <v>9.5238095238095233E-2</v>
      </c>
      <c r="BZ6" s="30">
        <f>BV6-CF6</f>
        <v>6</v>
      </c>
      <c r="CA6" s="38">
        <f>BX6-CH6</f>
        <v>1</v>
      </c>
      <c r="CB6" s="36">
        <f>CA6/BZ6</f>
        <v>0.16666666666666666</v>
      </c>
      <c r="CC6" s="134">
        <v>7.9995280000000005E-3</v>
      </c>
      <c r="CD6" s="134">
        <v>0.31590240000000003</v>
      </c>
      <c r="CE6" s="50">
        <v>331</v>
      </c>
      <c r="CF6" s="27">
        <v>162</v>
      </c>
      <c r="CG6" s="28">
        <v>16</v>
      </c>
      <c r="CH6" s="29">
        <v>15</v>
      </c>
      <c r="CI6" s="12">
        <f t="shared" ref="CI6:CI13" si="10">CH6/CF6</f>
        <v>9.2592592592592587E-2</v>
      </c>
      <c r="CJ6" s="30">
        <f>CF6-CP6</f>
        <v>66</v>
      </c>
      <c r="CK6" s="38">
        <f>CH6-CR6</f>
        <v>5</v>
      </c>
      <c r="CL6" s="36">
        <f>CK6/CJ6</f>
        <v>7.575757575757576E-2</v>
      </c>
      <c r="CM6" s="42">
        <v>1.4130490000000001E-4</v>
      </c>
      <c r="CN6" s="134">
        <v>0.19520989999999999</v>
      </c>
      <c r="CO6" s="50">
        <v>215</v>
      </c>
      <c r="CP6" s="27">
        <v>96</v>
      </c>
      <c r="CQ6" s="28">
        <v>15</v>
      </c>
      <c r="CR6" s="29">
        <v>10</v>
      </c>
      <c r="CS6" s="12">
        <f t="shared" si="8"/>
        <v>0.10416666666666667</v>
      </c>
      <c r="CT6" s="30">
        <f>CP6-CZ6</f>
        <v>30</v>
      </c>
      <c r="CU6" s="38">
        <f>CR6-DB6</f>
        <v>3</v>
      </c>
      <c r="CV6" s="36">
        <f>CU6/CT6</f>
        <v>0.1</v>
      </c>
      <c r="CW6" s="41">
        <v>6.5865069999999998E-2</v>
      </c>
      <c r="CX6" s="41">
        <v>0.1183012</v>
      </c>
      <c r="CY6" s="50">
        <v>195</v>
      </c>
      <c r="CZ6" s="27">
        <v>66</v>
      </c>
      <c r="DA6" s="28">
        <v>9</v>
      </c>
      <c r="DB6" s="29">
        <v>7</v>
      </c>
      <c r="DC6" s="12">
        <f t="shared" si="9"/>
        <v>0.10606060606060606</v>
      </c>
      <c r="DD6" s="79">
        <v>7.7376989999999998E-3</v>
      </c>
    </row>
    <row r="7" spans="1:136" x14ac:dyDescent="0.2">
      <c r="A7" s="392"/>
      <c r="B7" s="281" t="s">
        <v>0</v>
      </c>
      <c r="C7" s="109">
        <v>20364</v>
      </c>
      <c r="D7" s="27">
        <v>17973</v>
      </c>
      <c r="E7" s="28">
        <v>1485</v>
      </c>
      <c r="F7" s="29">
        <v>1289</v>
      </c>
      <c r="G7" s="12">
        <f t="shared" si="0"/>
        <v>7.171868914482836E-2</v>
      </c>
      <c r="H7" s="30">
        <f>D7-N7</f>
        <v>6362</v>
      </c>
      <c r="I7" s="31">
        <f>F7-P7</f>
        <v>241</v>
      </c>
      <c r="J7" s="32">
        <f>I7/H7</f>
        <v>3.7881169443571207E-2</v>
      </c>
      <c r="K7" s="228">
        <v>0.96658999999999995</v>
      </c>
      <c r="L7" s="232">
        <v>1</v>
      </c>
      <c r="M7" s="109">
        <v>14629</v>
      </c>
      <c r="N7" s="33">
        <v>11611</v>
      </c>
      <c r="O7" s="28">
        <v>1370</v>
      </c>
      <c r="P7" s="29">
        <v>1048</v>
      </c>
      <c r="Q7" s="12">
        <f t="shared" si="1"/>
        <v>9.0259236930496936E-2</v>
      </c>
      <c r="R7" s="34">
        <f>N7-X7</f>
        <v>3634</v>
      </c>
      <c r="S7" s="35">
        <f>P7-Z7</f>
        <v>258</v>
      </c>
      <c r="T7" s="36">
        <f>S7/R7</f>
        <v>7.0996147495872311E-2</v>
      </c>
      <c r="U7" s="37">
        <v>0.999</v>
      </c>
      <c r="V7" s="37">
        <v>1</v>
      </c>
      <c r="W7" s="50">
        <v>11797</v>
      </c>
      <c r="X7" s="27">
        <v>7977</v>
      </c>
      <c r="Y7" s="28">
        <v>1172</v>
      </c>
      <c r="Z7" s="29">
        <v>790</v>
      </c>
      <c r="AA7" s="12">
        <f t="shared" si="2"/>
        <v>9.9034724833897456E-2</v>
      </c>
      <c r="AB7" s="30">
        <f>X7-AH7</f>
        <v>2991</v>
      </c>
      <c r="AC7" s="38">
        <f>Z7-AJ7</f>
        <v>242</v>
      </c>
      <c r="AD7" s="39">
        <f>AC7/AB7</f>
        <v>8.0909394851220326E-2</v>
      </c>
      <c r="AE7" s="37">
        <v>0.57920439999999995</v>
      </c>
      <c r="AF7" s="37">
        <v>0.99997000000000003</v>
      </c>
      <c r="AG7" s="50">
        <v>9188</v>
      </c>
      <c r="AH7" s="27">
        <v>4986</v>
      </c>
      <c r="AI7" s="28">
        <v>1015</v>
      </c>
      <c r="AJ7" s="29">
        <v>548</v>
      </c>
      <c r="AK7" s="12">
        <f t="shared" si="3"/>
        <v>0.10990774167669475</v>
      </c>
      <c r="AL7" s="30">
        <f>AH7-AR7</f>
        <v>603</v>
      </c>
      <c r="AM7" s="38">
        <f>AJ7-AT7</f>
        <v>69</v>
      </c>
      <c r="AN7" s="39">
        <f>AM7/AL7</f>
        <v>0.11442786069651742</v>
      </c>
      <c r="AO7" s="79">
        <v>0.58762210000000004</v>
      </c>
      <c r="AP7" s="79">
        <v>0.39448179999999999</v>
      </c>
      <c r="AQ7" s="50">
        <v>8562</v>
      </c>
      <c r="AR7" s="27">
        <v>4383</v>
      </c>
      <c r="AS7" s="28">
        <v>828</v>
      </c>
      <c r="AT7" s="29">
        <v>479</v>
      </c>
      <c r="AU7" s="12">
        <f t="shared" si="4"/>
        <v>0.10928587725302305</v>
      </c>
      <c r="AV7" s="30">
        <f>AR7-BB7</f>
        <v>2302</v>
      </c>
      <c r="AW7" s="38">
        <f>AT7-BD7</f>
        <v>193</v>
      </c>
      <c r="AX7" s="39">
        <f>AW7/AV7</f>
        <v>8.3840139009556905E-2</v>
      </c>
      <c r="AY7" s="42">
        <v>3.0981259999999998E-5</v>
      </c>
      <c r="AZ7" s="41">
        <v>0.99400920000000004</v>
      </c>
      <c r="BA7" s="50">
        <v>5449</v>
      </c>
      <c r="BB7" s="27">
        <v>2081</v>
      </c>
      <c r="BC7" s="28">
        <v>772</v>
      </c>
      <c r="BD7" s="29">
        <v>286</v>
      </c>
      <c r="BE7" s="12">
        <f t="shared" si="5"/>
        <v>0.13743392599711676</v>
      </c>
      <c r="BF7" s="30">
        <f>BB7-BL7</f>
        <v>1428</v>
      </c>
      <c r="BG7" s="38">
        <f>BD7-BN7</f>
        <v>165</v>
      </c>
      <c r="BH7" s="36">
        <f>BG7/BF7</f>
        <v>0.11554621848739496</v>
      </c>
      <c r="BI7" s="134">
        <v>0.77187229999999996</v>
      </c>
      <c r="BJ7" s="204">
        <v>0.99966029999999995</v>
      </c>
      <c r="BK7" s="50">
        <v>2566</v>
      </c>
      <c r="BL7" s="27">
        <v>653</v>
      </c>
      <c r="BM7" s="28">
        <v>547</v>
      </c>
      <c r="BN7" s="29">
        <v>121</v>
      </c>
      <c r="BO7" s="12">
        <f t="shared" si="6"/>
        <v>0.18529862174578868</v>
      </c>
      <c r="BP7" s="30">
        <f>BL7-BV7</f>
        <v>387</v>
      </c>
      <c r="BQ7" s="38">
        <f>BN7-BX7</f>
        <v>67</v>
      </c>
      <c r="BR7" s="36">
        <f>BQ7/BP7</f>
        <v>0.1731266149870801</v>
      </c>
      <c r="BS7" s="204">
        <v>0.98161180000000003</v>
      </c>
      <c r="BT7" s="41">
        <v>0.98579229999999995</v>
      </c>
      <c r="BU7" s="50">
        <v>1096</v>
      </c>
      <c r="BV7" s="27">
        <v>266</v>
      </c>
      <c r="BW7" s="28">
        <v>229</v>
      </c>
      <c r="BX7" s="29">
        <v>54</v>
      </c>
      <c r="BY7" s="12">
        <f t="shared" si="7"/>
        <v>0.20300751879699247</v>
      </c>
      <c r="BZ7" s="30">
        <f>BV7-CF7</f>
        <v>100</v>
      </c>
      <c r="CA7" s="38">
        <f>BX7-CH7</f>
        <v>11</v>
      </c>
      <c r="CB7" s="36">
        <f>CA7/BZ7</f>
        <v>0.11</v>
      </c>
      <c r="CC7" s="134">
        <v>0.6377758</v>
      </c>
      <c r="CD7" s="134">
        <v>0.99784919999999999</v>
      </c>
      <c r="CE7" s="50">
        <v>832</v>
      </c>
      <c r="CF7" s="27">
        <v>166</v>
      </c>
      <c r="CG7" s="28">
        <v>172</v>
      </c>
      <c r="CH7" s="29">
        <v>43</v>
      </c>
      <c r="CI7" s="12">
        <f t="shared" si="10"/>
        <v>0.25903614457831325</v>
      </c>
      <c r="CJ7" s="30">
        <f>CF7-CP7</f>
        <v>126</v>
      </c>
      <c r="CK7" s="38">
        <f>CH7-CR7</f>
        <v>29</v>
      </c>
      <c r="CL7" s="36">
        <f>CK7/CJ7</f>
        <v>0.23015873015873015</v>
      </c>
      <c r="CM7" s="134">
        <v>4.1797880000000003E-2</v>
      </c>
      <c r="CN7" s="134">
        <v>0.27556910000000001</v>
      </c>
      <c r="CO7" s="50">
        <v>360</v>
      </c>
      <c r="CP7" s="27">
        <v>40</v>
      </c>
      <c r="CQ7" s="28">
        <v>121</v>
      </c>
      <c r="CR7" s="29">
        <v>14</v>
      </c>
      <c r="CS7" s="12">
        <f t="shared" si="8"/>
        <v>0.35</v>
      </c>
      <c r="CT7" s="30">
        <f>CP7-CZ7</f>
        <v>37</v>
      </c>
      <c r="CU7" s="38">
        <f>CR7-DB7</f>
        <v>12</v>
      </c>
      <c r="CV7" s="36">
        <f>CU7/CT7</f>
        <v>0.32432432432432434</v>
      </c>
      <c r="CW7" s="41">
        <v>0.48605369999999998</v>
      </c>
      <c r="CX7" s="41">
        <v>0.62890239999999997</v>
      </c>
      <c r="CY7" s="50">
        <v>6</v>
      </c>
      <c r="CZ7" s="27">
        <v>3</v>
      </c>
      <c r="DA7" s="28">
        <v>3</v>
      </c>
      <c r="DB7" s="29">
        <v>2</v>
      </c>
      <c r="DC7" s="12">
        <f t="shared" si="9"/>
        <v>0.66666666666666663</v>
      </c>
      <c r="DD7" s="37">
        <v>0.5</v>
      </c>
    </row>
    <row r="8" spans="1:136" s="49" customFormat="1" x14ac:dyDescent="0.2">
      <c r="A8" s="292"/>
      <c r="B8" s="293"/>
      <c r="C8" s="111"/>
      <c r="D8" s="45"/>
      <c r="E8" s="45"/>
      <c r="F8" s="45"/>
      <c r="G8" s="46"/>
      <c r="H8" s="45"/>
      <c r="I8" s="47"/>
      <c r="J8" s="48"/>
      <c r="K8" s="229"/>
      <c r="L8" s="233"/>
      <c r="M8" s="111"/>
      <c r="N8" s="53"/>
      <c r="O8" s="45"/>
      <c r="P8" s="45"/>
      <c r="Q8" s="46"/>
      <c r="R8" s="53"/>
      <c r="S8" s="53"/>
      <c r="T8" s="44"/>
      <c r="U8" s="37"/>
      <c r="V8" s="37"/>
      <c r="W8" s="45"/>
      <c r="X8" s="45"/>
      <c r="Y8" s="45"/>
      <c r="Z8" s="45"/>
      <c r="AA8" s="46"/>
      <c r="AB8" s="45"/>
      <c r="AC8" s="45"/>
      <c r="AD8" s="44"/>
      <c r="AE8" s="37"/>
      <c r="AF8" s="37"/>
      <c r="AG8" s="45"/>
      <c r="AH8" s="45"/>
      <c r="AI8" s="45"/>
      <c r="AJ8" s="45"/>
      <c r="AK8" s="46"/>
      <c r="AL8" s="45"/>
      <c r="AM8" s="45"/>
      <c r="AN8" s="44"/>
      <c r="AO8" s="37"/>
      <c r="AP8" s="37"/>
      <c r="AQ8" s="45"/>
      <c r="AR8" s="45"/>
      <c r="AS8" s="45"/>
      <c r="AT8" s="45"/>
      <c r="AU8" s="46"/>
      <c r="AV8" s="45"/>
      <c r="AW8" s="45"/>
      <c r="AX8" s="44"/>
      <c r="AY8" s="40"/>
      <c r="AZ8" s="37"/>
      <c r="BA8" s="45"/>
      <c r="BB8" s="45"/>
      <c r="BC8" s="45"/>
      <c r="BD8" s="45"/>
      <c r="BE8" s="46"/>
      <c r="BF8" s="45"/>
      <c r="BG8" s="45"/>
      <c r="BH8" s="44"/>
      <c r="BI8" s="37"/>
      <c r="BJ8" s="79"/>
      <c r="BK8" s="45"/>
      <c r="BL8" s="45"/>
      <c r="BM8" s="45"/>
      <c r="BN8" s="45"/>
      <c r="BO8" s="46"/>
      <c r="BP8" s="45"/>
      <c r="BQ8" s="45"/>
      <c r="BR8" s="44"/>
      <c r="BS8" s="37"/>
      <c r="BT8" s="37"/>
      <c r="BU8" s="45"/>
      <c r="BV8" s="45"/>
      <c r="BW8" s="45"/>
      <c r="BX8" s="45"/>
      <c r="BY8" s="46"/>
      <c r="BZ8" s="45"/>
      <c r="CA8" s="45"/>
      <c r="CB8" s="44"/>
      <c r="CC8" s="37"/>
      <c r="CD8" s="37"/>
      <c r="CE8" s="45"/>
      <c r="CF8" s="45"/>
      <c r="CG8" s="45"/>
      <c r="CH8" s="45"/>
      <c r="CI8" s="46"/>
      <c r="CJ8" s="45"/>
      <c r="CK8" s="45"/>
      <c r="CL8" s="44"/>
      <c r="CM8" s="37"/>
      <c r="CN8" s="37"/>
      <c r="CO8" s="45"/>
      <c r="CP8" s="45"/>
      <c r="CQ8" s="45"/>
      <c r="CR8" s="45"/>
      <c r="CS8" s="46"/>
      <c r="CT8" s="45"/>
      <c r="CU8" s="45"/>
      <c r="CV8" s="44"/>
      <c r="CW8" s="37"/>
      <c r="CX8" s="37"/>
      <c r="CY8" s="45"/>
      <c r="CZ8" s="45"/>
      <c r="DA8" s="45"/>
      <c r="DB8" s="45"/>
      <c r="DC8" s="46"/>
      <c r="DD8" s="37"/>
    </row>
    <row r="9" spans="1:136" x14ac:dyDescent="0.2">
      <c r="A9" s="392" t="s">
        <v>29</v>
      </c>
      <c r="B9" s="281" t="s">
        <v>1</v>
      </c>
      <c r="C9" s="109">
        <v>39416</v>
      </c>
      <c r="D9" s="27">
        <v>37235</v>
      </c>
      <c r="E9" s="28">
        <v>4610</v>
      </c>
      <c r="F9" s="29">
        <v>4370</v>
      </c>
      <c r="G9" s="12">
        <f t="shared" si="0"/>
        <v>0.11736269638780716</v>
      </c>
      <c r="H9" s="30">
        <f>D9-N9</f>
        <v>9777</v>
      </c>
      <c r="I9" s="31">
        <f>F9-P9</f>
        <v>721</v>
      </c>
      <c r="J9" s="32">
        <f>I9/H9</f>
        <v>7.3744502403600282E-2</v>
      </c>
      <c r="K9" s="228">
        <v>0.15867000000000001</v>
      </c>
      <c r="L9" s="234">
        <v>0.99990000000000001</v>
      </c>
      <c r="M9" s="109">
        <v>33428</v>
      </c>
      <c r="N9" s="27">
        <v>27458</v>
      </c>
      <c r="O9" s="28">
        <v>4511</v>
      </c>
      <c r="P9" s="29">
        <v>3649</v>
      </c>
      <c r="Q9" s="12">
        <f t="shared" si="1"/>
        <v>0.13289387428071964</v>
      </c>
      <c r="R9" s="34">
        <f>N9-X9</f>
        <v>8798</v>
      </c>
      <c r="S9" s="35">
        <f>P9-Z9</f>
        <v>990</v>
      </c>
      <c r="T9" s="36">
        <f>S9/R9</f>
        <v>0.11252557399408956</v>
      </c>
      <c r="U9" s="37">
        <v>0.9909</v>
      </c>
      <c r="V9" s="37">
        <v>1</v>
      </c>
      <c r="W9" s="50">
        <v>27116</v>
      </c>
      <c r="X9" s="27">
        <v>18660</v>
      </c>
      <c r="Y9" s="28">
        <v>3869</v>
      </c>
      <c r="Z9" s="29">
        <v>2659</v>
      </c>
      <c r="AA9" s="12">
        <f t="shared" si="2"/>
        <v>0.14249732047159699</v>
      </c>
      <c r="AB9" s="30">
        <f>X9-AH9</f>
        <v>7068</v>
      </c>
      <c r="AC9" s="38">
        <f>Z9-AJ9</f>
        <v>733</v>
      </c>
      <c r="AD9" s="39">
        <f>AC9/AB9</f>
        <v>0.10370684776457272</v>
      </c>
      <c r="AE9" s="37">
        <v>0.55979380000000001</v>
      </c>
      <c r="AF9" s="37">
        <v>1</v>
      </c>
      <c r="AG9" s="50">
        <v>20115</v>
      </c>
      <c r="AH9" s="27">
        <v>11592</v>
      </c>
      <c r="AI9" s="28">
        <v>3249</v>
      </c>
      <c r="AJ9" s="29">
        <v>1926</v>
      </c>
      <c r="AK9" s="12">
        <f t="shared" si="3"/>
        <v>0.16614906832298137</v>
      </c>
      <c r="AL9" s="30">
        <f>AH9-AR9</f>
        <v>1833</v>
      </c>
      <c r="AM9" s="38">
        <f>AJ9-AT9</f>
        <v>333</v>
      </c>
      <c r="AN9" s="39">
        <f>AM9/AL9</f>
        <v>0.18166939443535188</v>
      </c>
      <c r="AO9" s="79">
        <v>1.956155E-2</v>
      </c>
      <c r="AP9" s="79">
        <v>8.261394E-3</v>
      </c>
      <c r="AQ9" s="50">
        <v>17657</v>
      </c>
      <c r="AR9" s="27">
        <v>9759</v>
      </c>
      <c r="AS9" s="28">
        <v>2513</v>
      </c>
      <c r="AT9" s="29">
        <v>1593</v>
      </c>
      <c r="AU9" s="12">
        <f t="shared" si="4"/>
        <v>0.16323393790347371</v>
      </c>
      <c r="AV9" s="30">
        <f>AR9-BB9</f>
        <v>3782</v>
      </c>
      <c r="AW9" s="38">
        <f>AT9-BD9</f>
        <v>463</v>
      </c>
      <c r="AX9" s="39">
        <f>AW9/AV9</f>
        <v>0.12242199894235854</v>
      </c>
      <c r="AY9" s="40">
        <v>3.385037E-19</v>
      </c>
      <c r="AZ9" s="37">
        <v>1</v>
      </c>
      <c r="BA9" s="50">
        <v>12826</v>
      </c>
      <c r="BB9" s="27">
        <v>5977</v>
      </c>
      <c r="BC9" s="28">
        <v>2441</v>
      </c>
      <c r="BD9" s="29">
        <v>1130</v>
      </c>
      <c r="BE9" s="12">
        <f t="shared" si="5"/>
        <v>0.18905805588087671</v>
      </c>
      <c r="BF9" s="30">
        <f>BB9-BL9</f>
        <v>2562</v>
      </c>
      <c r="BG9" s="38">
        <f>BD9-BN9</f>
        <v>471</v>
      </c>
      <c r="BH9" s="36">
        <f>BG9/BF9</f>
        <v>0.18384074941451992</v>
      </c>
      <c r="BI9" s="134">
        <v>0.64111507486729402</v>
      </c>
      <c r="BJ9" s="134">
        <v>0.83179740437077798</v>
      </c>
      <c r="BK9" s="50">
        <v>8973</v>
      </c>
      <c r="BL9" s="27">
        <v>3415</v>
      </c>
      <c r="BM9" s="28">
        <v>1626</v>
      </c>
      <c r="BN9" s="29">
        <v>659</v>
      </c>
      <c r="BO9" s="12">
        <f t="shared" si="6"/>
        <v>0.19297218155197657</v>
      </c>
      <c r="BP9" s="30">
        <f>BL9-BV9</f>
        <v>1533</v>
      </c>
      <c r="BQ9" s="38">
        <f>BN9-BX9</f>
        <v>239</v>
      </c>
      <c r="BR9" s="36">
        <f>BQ9/BP9</f>
        <v>0.15590345727332028</v>
      </c>
      <c r="BS9" s="134">
        <v>1.2752110000000001E-2</v>
      </c>
      <c r="BT9" s="204">
        <v>0.99813989999999997</v>
      </c>
      <c r="BU9" s="50">
        <v>5960</v>
      </c>
      <c r="BV9" s="27">
        <v>1882</v>
      </c>
      <c r="BW9" s="28">
        <v>1016</v>
      </c>
      <c r="BX9" s="29">
        <v>420</v>
      </c>
      <c r="BY9" s="12">
        <f t="shared" si="7"/>
        <v>0.22316684378320936</v>
      </c>
      <c r="BZ9" s="30">
        <f>BV9-CF9</f>
        <v>320</v>
      </c>
      <c r="CA9" s="38">
        <f>BX9-CH9</f>
        <v>51</v>
      </c>
      <c r="CB9" s="36">
        <f>CA9/BZ9</f>
        <v>0.15937499999999999</v>
      </c>
      <c r="CC9" s="40">
        <v>3.3622860000000002E-13</v>
      </c>
      <c r="CD9" s="79">
        <v>0.72892210000000002</v>
      </c>
      <c r="CE9" s="50">
        <v>5287</v>
      </c>
      <c r="CF9" s="27">
        <v>1562</v>
      </c>
      <c r="CG9" s="28">
        <v>906</v>
      </c>
      <c r="CH9" s="29">
        <v>369</v>
      </c>
      <c r="CI9" s="12">
        <f t="shared" si="10"/>
        <v>0.23623559539052497</v>
      </c>
      <c r="CJ9" s="30">
        <f>CF9-CP9</f>
        <v>1044</v>
      </c>
      <c r="CK9" s="38">
        <f>CH9-CR9</f>
        <v>192</v>
      </c>
      <c r="CL9" s="36">
        <f>CK9/CJ9</f>
        <v>0.18390804597701149</v>
      </c>
      <c r="CM9" s="40">
        <v>1.5840440000000001E-15</v>
      </c>
      <c r="CN9" s="79">
        <v>0.12446740000000001</v>
      </c>
      <c r="CO9" s="50">
        <v>2445</v>
      </c>
      <c r="CP9" s="27">
        <v>518</v>
      </c>
      <c r="CQ9" s="28">
        <v>795</v>
      </c>
      <c r="CR9" s="29">
        <v>177</v>
      </c>
      <c r="CS9" s="12">
        <f t="shared" si="8"/>
        <v>0.34169884169884168</v>
      </c>
      <c r="CT9" s="30">
        <f>CP9-CZ9</f>
        <v>256</v>
      </c>
      <c r="CU9" s="38">
        <f>CR9-DB9</f>
        <v>73</v>
      </c>
      <c r="CV9" s="36">
        <f>CU9/CT9</f>
        <v>0.28515625</v>
      </c>
      <c r="CW9" s="41">
        <v>0.19665199999999999</v>
      </c>
      <c r="CX9" s="41">
        <v>0.5171076</v>
      </c>
      <c r="CY9" s="50">
        <v>1570</v>
      </c>
      <c r="CZ9" s="27">
        <v>262</v>
      </c>
      <c r="DA9" s="28">
        <v>378</v>
      </c>
      <c r="DB9" s="29">
        <v>104</v>
      </c>
      <c r="DC9" s="12">
        <f t="shared" si="9"/>
        <v>0.39694656488549618</v>
      </c>
      <c r="DD9" s="40">
        <v>4.2786278218911202E-10</v>
      </c>
      <c r="DG9" s="112"/>
    </row>
    <row r="10" spans="1:136" x14ac:dyDescent="0.2">
      <c r="A10" s="392"/>
      <c r="B10" s="281" t="s">
        <v>0</v>
      </c>
      <c r="C10" s="109">
        <v>74873</v>
      </c>
      <c r="D10" s="27">
        <v>68756</v>
      </c>
      <c r="E10" s="28">
        <v>5434</v>
      </c>
      <c r="F10" s="29">
        <v>5011</v>
      </c>
      <c r="G10" s="12">
        <f t="shared" si="0"/>
        <v>7.288091221129793E-2</v>
      </c>
      <c r="H10" s="30">
        <f>D10-N10</f>
        <v>23373</v>
      </c>
      <c r="I10" s="31">
        <f>F10-P10</f>
        <v>1004</v>
      </c>
      <c r="J10" s="32">
        <f>I10/H10</f>
        <v>4.2955546998673683E-2</v>
      </c>
      <c r="K10" s="228">
        <v>0.146315</v>
      </c>
      <c r="L10" s="231">
        <v>1</v>
      </c>
      <c r="M10" s="109">
        <v>59006</v>
      </c>
      <c r="N10" s="27">
        <v>45383</v>
      </c>
      <c r="O10" s="28">
        <v>5228</v>
      </c>
      <c r="P10" s="29">
        <v>4007</v>
      </c>
      <c r="Q10" s="12">
        <f t="shared" si="1"/>
        <v>8.8292973139721925E-2</v>
      </c>
      <c r="R10" s="34">
        <f>N10-X10</f>
        <v>18894</v>
      </c>
      <c r="S10" s="35">
        <f>P10-Z10</f>
        <v>1357</v>
      </c>
      <c r="T10" s="36">
        <f>S10/R10</f>
        <v>7.1821742352069437E-2</v>
      </c>
      <c r="U10" s="79">
        <v>0.69140000000000001</v>
      </c>
      <c r="V10" s="37">
        <v>1</v>
      </c>
      <c r="W10" s="50">
        <v>46679</v>
      </c>
      <c r="X10" s="27">
        <v>26489</v>
      </c>
      <c r="Y10" s="28">
        <v>4451</v>
      </c>
      <c r="Z10" s="29">
        <v>2650</v>
      </c>
      <c r="AA10" s="12">
        <f t="shared" si="2"/>
        <v>0.10004152667144853</v>
      </c>
      <c r="AB10" s="30">
        <f>X10-AH10</f>
        <v>10885</v>
      </c>
      <c r="AC10" s="38">
        <f>Z10-AJ10</f>
        <v>860</v>
      </c>
      <c r="AD10" s="39">
        <f>AC10/AB10</f>
        <v>7.9007808911345886E-2</v>
      </c>
      <c r="AE10" s="40">
        <v>4.0128232999999997E-5</v>
      </c>
      <c r="AF10" s="37">
        <v>0.99990000000000001</v>
      </c>
      <c r="AG10" s="50">
        <v>34342</v>
      </c>
      <c r="AH10" s="27">
        <v>15604</v>
      </c>
      <c r="AI10" s="28">
        <v>3583</v>
      </c>
      <c r="AJ10" s="29">
        <v>1790</v>
      </c>
      <c r="AK10" s="12">
        <f t="shared" si="3"/>
        <v>0.11471417585234556</v>
      </c>
      <c r="AL10" s="30">
        <f>AH10-AR10</f>
        <v>2671</v>
      </c>
      <c r="AM10" s="38">
        <f>AJ10-AT10</f>
        <v>248</v>
      </c>
      <c r="AN10" s="39">
        <f>AM10/AL10</f>
        <v>9.2849120179707978E-2</v>
      </c>
      <c r="AO10" s="37">
        <v>5.4809459999999997E-9</v>
      </c>
      <c r="AP10" s="79">
        <v>0.98122560000000003</v>
      </c>
      <c r="AQ10" s="50">
        <v>30003</v>
      </c>
      <c r="AR10" s="27">
        <v>12933</v>
      </c>
      <c r="AS10" s="28">
        <v>2740</v>
      </c>
      <c r="AT10" s="29">
        <v>1542</v>
      </c>
      <c r="AU10" s="12">
        <f t="shared" si="4"/>
        <v>0.11922987705868708</v>
      </c>
      <c r="AV10" s="30">
        <f>AR10-BB10</f>
        <v>6216</v>
      </c>
      <c r="AW10" s="38">
        <f>AT10-BD10</f>
        <v>537</v>
      </c>
      <c r="AX10" s="39">
        <f>AW10/AV10</f>
        <v>8.6389961389961384E-2</v>
      </c>
      <c r="AY10" s="40">
        <v>5.8137019999999999E-48</v>
      </c>
      <c r="AZ10" s="37">
        <v>0.93906970000000001</v>
      </c>
      <c r="BA10" s="50">
        <v>19826</v>
      </c>
      <c r="BB10" s="27">
        <v>6717</v>
      </c>
      <c r="BC10" s="28">
        <v>2593</v>
      </c>
      <c r="BD10" s="29">
        <v>1005</v>
      </c>
      <c r="BE10" s="12">
        <f t="shared" si="5"/>
        <v>0.14962036623492631</v>
      </c>
      <c r="BF10" s="30">
        <f>BB10-BL10</f>
        <v>4504</v>
      </c>
      <c r="BG10" s="38">
        <f>BD10-BN10</f>
        <v>569</v>
      </c>
      <c r="BH10" s="36">
        <f>BG10/BF10</f>
        <v>0.12633214920071048</v>
      </c>
      <c r="BI10" s="40">
        <v>1.3553933732751199E-8</v>
      </c>
      <c r="BJ10" s="79">
        <v>0.84948931097677205</v>
      </c>
      <c r="BK10" s="50">
        <v>10177</v>
      </c>
      <c r="BL10" s="27">
        <v>2213</v>
      </c>
      <c r="BM10" s="28">
        <v>1700</v>
      </c>
      <c r="BN10" s="29">
        <v>436</v>
      </c>
      <c r="BO10" s="12">
        <f t="shared" si="6"/>
        <v>0.19701762313601445</v>
      </c>
      <c r="BP10" s="30">
        <f>BL10-BV10</f>
        <v>1141</v>
      </c>
      <c r="BQ10" s="38">
        <f>BN10-BX10</f>
        <v>200</v>
      </c>
      <c r="BR10" s="36">
        <f>BQ10/BP10</f>
        <v>0.17528483786152499</v>
      </c>
      <c r="BS10" s="37">
        <v>1.467467E-5</v>
      </c>
      <c r="BT10" s="79">
        <v>0.22569790000000001</v>
      </c>
      <c r="BU10" s="50">
        <v>6371</v>
      </c>
      <c r="BV10" s="27">
        <v>1072</v>
      </c>
      <c r="BW10" s="28">
        <v>766</v>
      </c>
      <c r="BX10" s="29">
        <v>236</v>
      </c>
      <c r="BY10" s="12">
        <f t="shared" si="7"/>
        <v>0.22014925373134328</v>
      </c>
      <c r="BZ10" s="30">
        <f>BV10-CF10</f>
        <v>362</v>
      </c>
      <c r="CA10" s="38">
        <f>BX10-CH10</f>
        <v>53</v>
      </c>
      <c r="CB10" s="36">
        <f>CA10/BZ10</f>
        <v>0.14640883977900551</v>
      </c>
      <c r="CC10" s="40">
        <v>7.1048620000000004E-25</v>
      </c>
      <c r="CD10" s="79">
        <v>7.0344169999999998E-2</v>
      </c>
      <c r="CE10" s="50">
        <v>5328</v>
      </c>
      <c r="CF10" s="27">
        <v>710</v>
      </c>
      <c r="CG10" s="28">
        <v>632</v>
      </c>
      <c r="CH10" s="29">
        <v>183</v>
      </c>
      <c r="CI10" s="12">
        <f t="shared" si="10"/>
        <v>0.25774647887323943</v>
      </c>
      <c r="CJ10" s="30">
        <f>CF10-CP10</f>
        <v>644</v>
      </c>
      <c r="CK10" s="38">
        <f>CH10-CR10</f>
        <v>156</v>
      </c>
      <c r="CL10" s="36">
        <f>CK10/CJ10</f>
        <v>0.24223602484472051</v>
      </c>
      <c r="CM10" s="40">
        <v>5.8078100000000005E-29</v>
      </c>
      <c r="CN10" s="40">
        <v>3.3631290000000001E-21</v>
      </c>
      <c r="CO10" s="50">
        <v>743</v>
      </c>
      <c r="CP10" s="27">
        <v>66</v>
      </c>
      <c r="CQ10" s="28">
        <v>483</v>
      </c>
      <c r="CR10" s="29">
        <v>27</v>
      </c>
      <c r="CS10" s="12">
        <f t="shared" si="8"/>
        <v>0.40909090909090912</v>
      </c>
      <c r="CT10" s="30">
        <f>CP10-CZ10</f>
        <v>44</v>
      </c>
      <c r="CU10" s="38">
        <f>CR10-DB10</f>
        <v>18</v>
      </c>
      <c r="CV10" s="36">
        <f>CU10/CT10</f>
        <v>0.40909090909090912</v>
      </c>
      <c r="CW10" s="41">
        <v>0.99999229999999995</v>
      </c>
      <c r="CX10" s="41">
        <v>0.99996580000000002</v>
      </c>
      <c r="CY10" s="50">
        <v>393</v>
      </c>
      <c r="CZ10" s="27">
        <v>22</v>
      </c>
      <c r="DA10" s="28">
        <v>113</v>
      </c>
      <c r="DB10" s="29">
        <v>9</v>
      </c>
      <c r="DC10" s="12">
        <f t="shared" si="9"/>
        <v>0.40909090909090912</v>
      </c>
      <c r="DD10" s="37">
        <v>0.14622945500000001</v>
      </c>
    </row>
    <row r="11" spans="1:136" s="49" customFormat="1" x14ac:dyDescent="0.2">
      <c r="A11" s="290"/>
      <c r="B11" s="293"/>
      <c r="C11" s="111"/>
      <c r="D11" s="45"/>
      <c r="E11" s="45"/>
      <c r="F11" s="45"/>
      <c r="G11" s="46"/>
      <c r="H11" s="45"/>
      <c r="I11" s="47"/>
      <c r="J11" s="44"/>
      <c r="K11" s="230"/>
      <c r="L11" s="233"/>
      <c r="M11" s="111"/>
      <c r="N11" s="45"/>
      <c r="O11" s="45"/>
      <c r="P11" s="45"/>
      <c r="Q11" s="46"/>
      <c r="R11" s="53"/>
      <c r="S11" s="53"/>
      <c r="T11" s="44"/>
      <c r="U11" s="37"/>
      <c r="V11" s="37"/>
      <c r="W11" s="45"/>
      <c r="X11" s="45"/>
      <c r="Y11" s="45"/>
      <c r="Z11" s="45"/>
      <c r="AA11" s="46"/>
      <c r="AB11" s="45"/>
      <c r="AC11" s="45"/>
      <c r="AD11" s="44"/>
      <c r="AE11" s="37"/>
      <c r="AF11" s="37"/>
      <c r="AG11" s="45"/>
      <c r="AH11" s="45"/>
      <c r="AI11" s="45"/>
      <c r="AJ11" s="45"/>
      <c r="AK11" s="46"/>
      <c r="AL11" s="45"/>
      <c r="AM11" s="45"/>
      <c r="AN11" s="44"/>
      <c r="AO11" s="37"/>
      <c r="AP11" s="37"/>
      <c r="AQ11" s="45"/>
      <c r="AR11" s="45"/>
      <c r="AS11" s="45"/>
      <c r="AT11" s="45"/>
      <c r="AU11" s="46"/>
      <c r="AV11" s="45"/>
      <c r="AW11" s="45"/>
      <c r="AX11" s="44"/>
      <c r="AY11" s="40"/>
      <c r="AZ11" s="37"/>
      <c r="BA11" s="45"/>
      <c r="BB11" s="45"/>
      <c r="BC11" s="45"/>
      <c r="BD11" s="45"/>
      <c r="BE11" s="46"/>
      <c r="BF11" s="45"/>
      <c r="BG11" s="45"/>
      <c r="BH11" s="44"/>
      <c r="BI11" s="37"/>
      <c r="BJ11" s="37"/>
      <c r="BK11" s="45"/>
      <c r="BL11" s="45"/>
      <c r="BM11" s="45"/>
      <c r="BN11" s="45"/>
      <c r="BO11" s="46"/>
      <c r="BP11" s="45"/>
      <c r="BQ11" s="45"/>
      <c r="BR11" s="44"/>
      <c r="BS11" s="37"/>
      <c r="BT11" s="37"/>
      <c r="BU11" s="45"/>
      <c r="BV11" s="45"/>
      <c r="BW11" s="45"/>
      <c r="BX11" s="45"/>
      <c r="BY11" s="46"/>
      <c r="BZ11" s="45"/>
      <c r="CA11" s="45"/>
      <c r="CB11" s="44"/>
      <c r="CC11" s="37"/>
      <c r="CD11" s="37"/>
      <c r="CE11" s="45"/>
      <c r="CF11" s="45"/>
      <c r="CG11" s="45"/>
      <c r="CH11" s="45"/>
      <c r="CI11" s="46"/>
      <c r="CJ11" s="45"/>
      <c r="CK11" s="45"/>
      <c r="CL11" s="44"/>
      <c r="CM11" s="37"/>
      <c r="CN11" s="37"/>
      <c r="CO11" s="45"/>
      <c r="CP11" s="45"/>
      <c r="CQ11" s="45"/>
      <c r="CR11" s="45"/>
      <c r="CS11" s="46"/>
      <c r="CT11" s="45"/>
      <c r="CU11" s="45"/>
      <c r="CV11" s="44"/>
      <c r="CW11" s="37"/>
      <c r="CX11" s="37"/>
      <c r="CY11" s="45"/>
      <c r="CZ11" s="45"/>
      <c r="DA11" s="45"/>
      <c r="DB11" s="45"/>
      <c r="DC11" s="46"/>
      <c r="DD11" s="37"/>
    </row>
    <row r="12" spans="1:136" x14ac:dyDescent="0.2">
      <c r="A12" s="392" t="s">
        <v>5</v>
      </c>
      <c r="B12" s="281" t="s">
        <v>1</v>
      </c>
      <c r="C12" s="109">
        <v>50009</v>
      </c>
      <c r="D12" s="27">
        <v>47203</v>
      </c>
      <c r="E12" s="28">
        <v>8409</v>
      </c>
      <c r="F12" s="29">
        <v>7974</v>
      </c>
      <c r="G12" s="12">
        <f t="shared" si="0"/>
        <v>0.16892994089358726</v>
      </c>
      <c r="H12" s="190">
        <f>D12-N12</f>
        <v>12037</v>
      </c>
      <c r="I12" s="31">
        <f>F12-P12</f>
        <v>1178</v>
      </c>
      <c r="J12" s="32">
        <f>I12/H12</f>
        <v>9.7864916507435409E-2</v>
      </c>
      <c r="K12" s="99">
        <v>2.8646999999999999E-2</v>
      </c>
      <c r="L12" s="231">
        <v>0.99990000000000001</v>
      </c>
      <c r="M12" s="109">
        <v>42395</v>
      </c>
      <c r="N12" s="33">
        <v>35166</v>
      </c>
      <c r="O12" s="28">
        <v>8233</v>
      </c>
      <c r="P12" s="29">
        <v>6796</v>
      </c>
      <c r="Q12" s="12">
        <f t="shared" si="1"/>
        <v>0.19325484843314567</v>
      </c>
      <c r="R12" s="34">
        <f>N12-X12</f>
        <v>9899</v>
      </c>
      <c r="S12" s="35">
        <f>P12-Z12</f>
        <v>1635</v>
      </c>
      <c r="T12" s="36">
        <f>S12/R12</f>
        <v>0.16516819880796041</v>
      </c>
      <c r="U12" s="79">
        <v>0.86380000000000001</v>
      </c>
      <c r="V12" s="37">
        <v>1</v>
      </c>
      <c r="W12" s="50">
        <v>36183</v>
      </c>
      <c r="X12" s="27">
        <v>25267</v>
      </c>
      <c r="Y12" s="28">
        <v>7336</v>
      </c>
      <c r="Z12" s="29">
        <v>5161</v>
      </c>
      <c r="AA12" s="12">
        <f t="shared" si="2"/>
        <v>0.20425851901689951</v>
      </c>
      <c r="AB12" s="30">
        <f>X12-AH12</f>
        <v>8709</v>
      </c>
      <c r="AC12" s="38">
        <f>Z12-AJ12</f>
        <v>1448</v>
      </c>
      <c r="AD12" s="39">
        <f>AC12/AB12</f>
        <v>0.16626478355723964</v>
      </c>
      <c r="AE12" s="37">
        <v>0.1414</v>
      </c>
      <c r="AF12" s="37">
        <v>0.99990000000000001</v>
      </c>
      <c r="AG12" s="50">
        <v>28351</v>
      </c>
      <c r="AH12" s="27">
        <v>16558</v>
      </c>
      <c r="AI12" s="28">
        <v>6347</v>
      </c>
      <c r="AJ12" s="29">
        <v>3713</v>
      </c>
      <c r="AK12" s="12">
        <f t="shared" si="3"/>
        <v>0.22424205821959173</v>
      </c>
      <c r="AL12" s="30">
        <f>AH12-AR12</f>
        <v>1834</v>
      </c>
      <c r="AM12" s="38">
        <f>AJ12-AT12</f>
        <v>430</v>
      </c>
      <c r="AN12" s="39">
        <f>AM12/AL12</f>
        <v>0.23446019629225737</v>
      </c>
      <c r="AO12" s="79">
        <v>0.43559330000000002</v>
      </c>
      <c r="AP12" s="79">
        <v>0.13676959999999999</v>
      </c>
      <c r="AQ12" s="50">
        <v>26162</v>
      </c>
      <c r="AR12" s="27">
        <v>14724</v>
      </c>
      <c r="AS12" s="28">
        <v>5317</v>
      </c>
      <c r="AT12" s="29">
        <v>3283</v>
      </c>
      <c r="AU12" s="12">
        <f t="shared" si="4"/>
        <v>0.22296930182015756</v>
      </c>
      <c r="AV12" s="30">
        <f>AR12-BB12</f>
        <v>5322</v>
      </c>
      <c r="AW12" s="38">
        <f>AT12-BD12</f>
        <v>1040</v>
      </c>
      <c r="AX12" s="39">
        <f>AW12/AV12</f>
        <v>0.19541525742202179</v>
      </c>
      <c r="AY12" s="40">
        <v>9.1099549999999996E-20</v>
      </c>
      <c r="AZ12" s="37">
        <v>0.94639150000000005</v>
      </c>
      <c r="BA12" s="50">
        <v>20215</v>
      </c>
      <c r="BB12" s="27">
        <v>9402</v>
      </c>
      <c r="BC12" s="28">
        <v>5043</v>
      </c>
      <c r="BD12" s="29">
        <v>2243</v>
      </c>
      <c r="BE12" s="12">
        <f t="shared" si="5"/>
        <v>0.238566262497341</v>
      </c>
      <c r="BF12" s="30">
        <f>BB12-BL12</f>
        <v>3838</v>
      </c>
      <c r="BG12" s="38">
        <f>BD12-BN12</f>
        <v>760</v>
      </c>
      <c r="BH12" s="36">
        <f>BG12/BF12</f>
        <v>0.19801980198019803</v>
      </c>
      <c r="BI12" s="41">
        <v>0.99960870000000002</v>
      </c>
      <c r="BJ12" s="41">
        <v>1</v>
      </c>
      <c r="BK12" s="50">
        <v>14982</v>
      </c>
      <c r="BL12" s="27">
        <v>5564</v>
      </c>
      <c r="BM12" s="28">
        <v>3898</v>
      </c>
      <c r="BN12" s="29">
        <v>1483</v>
      </c>
      <c r="BO12" s="12">
        <f t="shared" si="6"/>
        <v>0.26653486700215673</v>
      </c>
      <c r="BP12" s="30">
        <f>BL12-BV12</f>
        <v>2397</v>
      </c>
      <c r="BQ12" s="38">
        <f>BN12-BX12</f>
        <v>561</v>
      </c>
      <c r="BR12" s="36">
        <f>BQ12/BP12</f>
        <v>0.23404255319148937</v>
      </c>
      <c r="BS12" s="134">
        <v>8.9624999999999996E-2</v>
      </c>
      <c r="BT12" s="204">
        <v>0.99939169999999999</v>
      </c>
      <c r="BU12" s="50">
        <v>10157</v>
      </c>
      <c r="BV12" s="27">
        <v>3167</v>
      </c>
      <c r="BW12" s="28">
        <v>2618</v>
      </c>
      <c r="BX12" s="29">
        <v>922</v>
      </c>
      <c r="BY12" s="12">
        <f t="shared" si="7"/>
        <v>0.29112724976318283</v>
      </c>
      <c r="BZ12" s="30">
        <f>BV12-CF12</f>
        <v>572</v>
      </c>
      <c r="CA12" s="38">
        <f>BX12-CH12</f>
        <v>117</v>
      </c>
      <c r="CB12" s="36">
        <f>CA12/BZ12</f>
        <v>0.20454545454545456</v>
      </c>
      <c r="CC12" s="40">
        <v>1.550348E-7</v>
      </c>
      <c r="CD12" s="79">
        <v>0.99906510000000004</v>
      </c>
      <c r="CE12" s="50">
        <v>8798</v>
      </c>
      <c r="CF12" s="27">
        <v>2595</v>
      </c>
      <c r="CG12" s="28">
        <v>2270</v>
      </c>
      <c r="CH12" s="29">
        <v>805</v>
      </c>
      <c r="CI12" s="12">
        <f t="shared" si="10"/>
        <v>0.31021194605009633</v>
      </c>
      <c r="CJ12" s="30">
        <f>CF12-CP12</f>
        <v>1622</v>
      </c>
      <c r="CK12" s="38">
        <f>CH12-CR12</f>
        <v>386</v>
      </c>
      <c r="CL12" s="36">
        <f>CK12/CJ12</f>
        <v>0.23797780517879161</v>
      </c>
      <c r="CM12" s="40">
        <v>4.9033889999999998E-13</v>
      </c>
      <c r="CN12" s="79">
        <v>0.98144330000000002</v>
      </c>
      <c r="CO12" s="50">
        <v>4789</v>
      </c>
      <c r="CP12" s="27">
        <v>973</v>
      </c>
      <c r="CQ12" s="28">
        <v>2030</v>
      </c>
      <c r="CR12" s="29">
        <v>419</v>
      </c>
      <c r="CS12" s="12">
        <f t="shared" si="8"/>
        <v>0.43062692702980471</v>
      </c>
      <c r="CT12" s="30">
        <f>CP12-CZ12</f>
        <v>492</v>
      </c>
      <c r="CU12" s="38">
        <f>CR12-DB12</f>
        <v>155</v>
      </c>
      <c r="CV12" s="36">
        <f>CU12/CT12</f>
        <v>0.31504065040650409</v>
      </c>
      <c r="CW12" s="41">
        <v>0.32958999999999999</v>
      </c>
      <c r="CX12" s="41">
        <v>0.99277090000000001</v>
      </c>
      <c r="CY12" s="50">
        <v>3447</v>
      </c>
      <c r="CZ12" s="27">
        <v>481</v>
      </c>
      <c r="DA12" s="28">
        <v>1221</v>
      </c>
      <c r="DB12" s="29">
        <v>264</v>
      </c>
      <c r="DC12" s="12">
        <f t="shared" si="9"/>
        <v>0.54885654885654889</v>
      </c>
      <c r="DD12" s="40">
        <v>3.6783001573196198E-21</v>
      </c>
      <c r="DG12" s="112"/>
    </row>
    <row r="13" spans="1:136" x14ac:dyDescent="0.2">
      <c r="A13" s="392"/>
      <c r="B13" s="281" t="s">
        <v>0</v>
      </c>
      <c r="C13" s="109">
        <v>58522</v>
      </c>
      <c r="D13" s="27">
        <v>53788</v>
      </c>
      <c r="E13" s="28">
        <v>5987</v>
      </c>
      <c r="F13" s="29">
        <v>5583</v>
      </c>
      <c r="G13" s="12">
        <f t="shared" si="0"/>
        <v>0.10379638581096155</v>
      </c>
      <c r="H13" s="192">
        <f>D13-N13</f>
        <v>18507</v>
      </c>
      <c r="I13" s="191">
        <f>F13-P13</f>
        <v>1196</v>
      </c>
      <c r="J13" s="32">
        <f>I13/H13</f>
        <v>6.4624196250067545E-2</v>
      </c>
      <c r="K13" s="183">
        <v>2.23045E-5</v>
      </c>
      <c r="L13" s="231">
        <v>1</v>
      </c>
      <c r="M13" s="109">
        <v>45881</v>
      </c>
      <c r="N13" s="33">
        <v>35281</v>
      </c>
      <c r="O13" s="28">
        <v>5756</v>
      </c>
      <c r="P13" s="29">
        <v>4387</v>
      </c>
      <c r="Q13" s="12">
        <f t="shared" si="1"/>
        <v>0.12434454805702787</v>
      </c>
      <c r="R13" s="34">
        <f>N13-X13</f>
        <v>15743</v>
      </c>
      <c r="S13" s="35">
        <f>P13-Z13</f>
        <v>1613</v>
      </c>
      <c r="T13" s="36">
        <f>S13/R13</f>
        <v>0.10245823540621228</v>
      </c>
      <c r="U13" s="79">
        <v>0.90739999999999998</v>
      </c>
      <c r="V13" s="47">
        <v>0.99990000000000001</v>
      </c>
      <c r="W13" s="50">
        <v>33653</v>
      </c>
      <c r="X13" s="27">
        <v>19538</v>
      </c>
      <c r="Y13" s="28">
        <v>4792</v>
      </c>
      <c r="Z13" s="29">
        <v>2774</v>
      </c>
      <c r="AA13" s="12">
        <f t="shared" si="2"/>
        <v>0.14197973180468829</v>
      </c>
      <c r="AB13" s="30">
        <f>X13-AH13</f>
        <v>8283</v>
      </c>
      <c r="AC13" s="38">
        <f>Z13-AJ13</f>
        <v>917</v>
      </c>
      <c r="AD13" s="39">
        <f>AC13/AB13</f>
        <v>0.11070868042979597</v>
      </c>
      <c r="AE13" s="37">
        <v>0.60737929999999996</v>
      </c>
      <c r="AF13" s="37">
        <v>1</v>
      </c>
      <c r="AG13" s="50">
        <v>24519</v>
      </c>
      <c r="AH13" s="27">
        <v>11255</v>
      </c>
      <c r="AI13" s="28">
        <v>3764</v>
      </c>
      <c r="AJ13" s="29">
        <v>1857</v>
      </c>
      <c r="AK13" s="12">
        <f t="shared" si="3"/>
        <v>0.16499333629498</v>
      </c>
      <c r="AL13" s="30">
        <f>AH13-AR13</f>
        <v>1861</v>
      </c>
      <c r="AM13" s="38">
        <f>AJ13-AT13</f>
        <v>266</v>
      </c>
      <c r="AN13" s="39">
        <f>AM13/AL13</f>
        <v>0.1429339065018807</v>
      </c>
      <c r="AO13" s="37">
        <v>2.4339320000000001E-6</v>
      </c>
      <c r="AP13" s="79">
        <v>0.9124776</v>
      </c>
      <c r="AQ13" s="50">
        <v>21756</v>
      </c>
      <c r="AR13" s="27">
        <v>9394</v>
      </c>
      <c r="AS13" s="28">
        <v>2899</v>
      </c>
      <c r="AT13" s="29">
        <v>1591</v>
      </c>
      <c r="AU13" s="12">
        <f t="shared" si="4"/>
        <v>0.16936342346178412</v>
      </c>
      <c r="AV13" s="30">
        <f>AR13-BB13</f>
        <v>4619</v>
      </c>
      <c r="AW13" s="38">
        <f>AT13-BD13</f>
        <v>665</v>
      </c>
      <c r="AX13" s="39">
        <f>AW13/AV13</f>
        <v>0.14397055639748862</v>
      </c>
      <c r="AY13" s="40">
        <v>2.8433750000000001E-42</v>
      </c>
      <c r="AZ13" s="37">
        <v>8.7601970000000008E-3</v>
      </c>
      <c r="BA13" s="50">
        <v>14092</v>
      </c>
      <c r="BB13" s="27">
        <v>4775</v>
      </c>
      <c r="BC13" s="28">
        <v>2595</v>
      </c>
      <c r="BD13" s="29">
        <v>926</v>
      </c>
      <c r="BE13" s="12">
        <f t="shared" si="5"/>
        <v>0.19392670157068062</v>
      </c>
      <c r="BF13" s="30">
        <f>BB13-BL13</f>
        <v>3151</v>
      </c>
      <c r="BG13" s="38">
        <f>BD13-BN13</f>
        <v>460</v>
      </c>
      <c r="BH13" s="36">
        <f>BG13/BF13</f>
        <v>0.145985401459854</v>
      </c>
      <c r="BI13" s="41">
        <v>1.717055E-2</v>
      </c>
      <c r="BJ13" s="41">
        <v>1</v>
      </c>
      <c r="BK13" s="50">
        <v>7177</v>
      </c>
      <c r="BL13" s="27">
        <v>1624</v>
      </c>
      <c r="BM13" s="28">
        <v>1771</v>
      </c>
      <c r="BN13" s="29">
        <v>466</v>
      </c>
      <c r="BO13" s="12">
        <f t="shared" si="6"/>
        <v>0.28694581280788178</v>
      </c>
      <c r="BP13" s="30">
        <f>BL13-BV13</f>
        <v>831</v>
      </c>
      <c r="BQ13" s="38">
        <f>BN13-BX13</f>
        <v>212</v>
      </c>
      <c r="BR13" s="36">
        <f>BQ13/BP13</f>
        <v>0.25511432009626955</v>
      </c>
      <c r="BS13" s="37">
        <v>1.388103E-5</v>
      </c>
      <c r="BT13" s="79">
        <v>0.28942449999999997</v>
      </c>
      <c r="BU13" s="50">
        <v>4540</v>
      </c>
      <c r="BV13" s="27">
        <v>793</v>
      </c>
      <c r="BW13" s="28">
        <v>878</v>
      </c>
      <c r="BX13" s="29">
        <v>254</v>
      </c>
      <c r="BY13" s="12">
        <f t="shared" si="7"/>
        <v>0.32030264817150061</v>
      </c>
      <c r="BZ13" s="30">
        <f>BV13-CF13</f>
        <v>207</v>
      </c>
      <c r="CA13" s="38">
        <f>BX13-CH13</f>
        <v>53</v>
      </c>
      <c r="CB13" s="36">
        <f>CA13/BZ13</f>
        <v>0.2560386473429952</v>
      </c>
      <c r="CC13" s="40">
        <v>1.9756140000000002E-21</v>
      </c>
      <c r="CD13" s="79">
        <v>1.434644E-2</v>
      </c>
      <c r="CE13" s="50">
        <v>3687</v>
      </c>
      <c r="CF13" s="27">
        <v>586</v>
      </c>
      <c r="CG13" s="28">
        <v>716</v>
      </c>
      <c r="CH13" s="29">
        <v>201</v>
      </c>
      <c r="CI13" s="12">
        <f t="shared" si="10"/>
        <v>0.34300341296928327</v>
      </c>
      <c r="CJ13" s="30">
        <f>CF13-CP13</f>
        <v>477</v>
      </c>
      <c r="CK13" s="38">
        <f>CH13-CR13</f>
        <v>139</v>
      </c>
      <c r="CL13" s="36">
        <f>CK13/CJ13</f>
        <v>0.29140461215932911</v>
      </c>
      <c r="CM13" s="40">
        <v>5.6209780000000001E-21</v>
      </c>
      <c r="CN13" s="40">
        <v>2.4616139999999999E-8</v>
      </c>
      <c r="CO13" s="50">
        <v>911</v>
      </c>
      <c r="CP13" s="27">
        <v>109</v>
      </c>
      <c r="CQ13" s="28">
        <v>519</v>
      </c>
      <c r="CR13" s="29">
        <v>62</v>
      </c>
      <c r="CS13" s="12">
        <f t="shared" si="8"/>
        <v>0.56880733944954132</v>
      </c>
      <c r="CT13" s="30">
        <f>CP13-CZ13</f>
        <v>90</v>
      </c>
      <c r="CU13" s="38">
        <f>CR13-DB13</f>
        <v>46</v>
      </c>
      <c r="CV13" s="36">
        <f>CU13/CT13</f>
        <v>0.51111111111111107</v>
      </c>
      <c r="CW13" s="41">
        <v>0.55043629999999999</v>
      </c>
      <c r="CX13" s="41">
        <v>0.96233679999999999</v>
      </c>
      <c r="CY13" s="50">
        <v>248</v>
      </c>
      <c r="CZ13" s="27">
        <v>19</v>
      </c>
      <c r="DA13" s="28">
        <v>114</v>
      </c>
      <c r="DB13" s="29">
        <v>16</v>
      </c>
      <c r="DC13" s="12">
        <f t="shared" si="9"/>
        <v>0.84210526315789469</v>
      </c>
      <c r="DD13" s="40">
        <v>4.5626188999999998E-4</v>
      </c>
      <c r="DG13" s="112"/>
    </row>
    <row r="14" spans="1:136" s="49" customFormat="1" x14ac:dyDescent="0.2">
      <c r="A14" s="6"/>
      <c r="B14" s="51"/>
      <c r="C14" s="55"/>
      <c r="D14" s="55"/>
      <c r="E14" s="55"/>
      <c r="F14" s="56"/>
      <c r="G14" s="189"/>
      <c r="H14" s="55"/>
      <c r="I14" s="55"/>
      <c r="J14" s="55"/>
      <c r="K14" s="57"/>
      <c r="L14" s="58"/>
      <c r="M14" s="58"/>
      <c r="N14" s="58"/>
      <c r="O14" s="55"/>
      <c r="P14" s="59"/>
      <c r="Q14" s="59"/>
      <c r="R14" s="59"/>
      <c r="S14" s="59"/>
      <c r="T14" s="57"/>
      <c r="X14" s="55"/>
      <c r="Y14" s="55"/>
      <c r="Z14" s="55"/>
      <c r="AA14" s="55"/>
      <c r="AB14" s="55"/>
      <c r="AC14" s="57"/>
      <c r="AG14" s="55"/>
      <c r="AH14" s="55"/>
      <c r="AI14" s="55"/>
      <c r="AJ14" s="55"/>
      <c r="AK14" s="55"/>
      <c r="AL14" s="57"/>
      <c r="AP14" s="55"/>
      <c r="AQ14" s="55"/>
      <c r="AR14" s="55"/>
      <c r="AS14" s="55"/>
      <c r="AT14" s="57"/>
      <c r="AU14" s="57"/>
      <c r="AY14" s="55"/>
      <c r="AZ14" s="55"/>
      <c r="BA14" s="55"/>
      <c r="BB14" s="55"/>
      <c r="BC14" s="57"/>
      <c r="BH14" s="55"/>
      <c r="BI14" s="55"/>
      <c r="BJ14" s="55"/>
      <c r="BK14" s="55"/>
      <c r="BL14" s="57"/>
      <c r="BQ14" s="55"/>
      <c r="BR14" s="55"/>
      <c r="BS14" s="55"/>
      <c r="BT14" s="55"/>
      <c r="BU14" s="57"/>
      <c r="BZ14" s="55"/>
      <c r="CA14" s="55"/>
      <c r="CB14" s="55"/>
      <c r="CC14" s="55"/>
      <c r="CD14" s="55"/>
      <c r="CE14" s="57"/>
      <c r="CJ14" s="55"/>
      <c r="CK14" s="55"/>
      <c r="CL14" s="55"/>
      <c r="CM14" s="55"/>
      <c r="CN14" s="57"/>
      <c r="CR14" s="55"/>
      <c r="CS14" s="55"/>
      <c r="CT14" s="57"/>
      <c r="CU14" s="113"/>
    </row>
    <row r="15" spans="1:136" x14ac:dyDescent="0.2">
      <c r="H15" s="112"/>
      <c r="I15" s="112"/>
      <c r="J15" s="112"/>
      <c r="K15" s="115"/>
      <c r="M15" s="90"/>
      <c r="N15" s="90"/>
      <c r="O15" s="90"/>
      <c r="S15" s="60"/>
      <c r="T15" s="115"/>
      <c r="V15" s="90"/>
      <c r="W15" s="90"/>
      <c r="X15" s="60"/>
      <c r="Z15" s="90"/>
      <c r="AC15" s="115"/>
      <c r="AD15" s="90"/>
      <c r="AE15" s="90"/>
      <c r="AH15" s="90"/>
      <c r="AI15" s="60"/>
      <c r="AJ15" s="60"/>
      <c r="AK15" s="60"/>
      <c r="AL15" s="115"/>
      <c r="AM15" s="90"/>
      <c r="AT15" s="115"/>
      <c r="AU15" s="115"/>
      <c r="AV15" s="60"/>
      <c r="AW15" s="60"/>
      <c r="AX15" s="60"/>
      <c r="AY15" s="60"/>
      <c r="AZ15" s="60"/>
      <c r="BB15" s="90"/>
      <c r="BC15" s="115"/>
      <c r="BD15" s="60"/>
      <c r="BE15" s="60"/>
      <c r="BF15" s="60"/>
      <c r="BG15" s="60"/>
      <c r="BJ15" s="90"/>
      <c r="BL15" s="115"/>
      <c r="BR15" s="90"/>
      <c r="BS15" s="90"/>
      <c r="BU15" s="115"/>
      <c r="BY15" s="90"/>
      <c r="BZ15" s="90"/>
      <c r="CB15" s="60"/>
      <c r="CC15" s="60"/>
      <c r="CE15" s="115"/>
      <c r="CH15" s="90"/>
      <c r="CI15" s="90"/>
      <c r="CJ15" s="90"/>
      <c r="CN15" s="115"/>
      <c r="CO15" s="90"/>
      <c r="CR15" s="60"/>
      <c r="CS15" s="60"/>
      <c r="CT15" s="115"/>
      <c r="CU15" s="113"/>
      <c r="CZ15" s="60"/>
      <c r="DA15" s="60"/>
      <c r="DI15" s="60"/>
      <c r="DJ15" s="60"/>
      <c r="DQ15" s="60"/>
      <c r="DR15" s="60"/>
      <c r="DY15" s="60"/>
      <c r="DZ15" s="60"/>
      <c r="EA15" s="94"/>
      <c r="EE15" s="60"/>
      <c r="EF15" s="60"/>
    </row>
    <row r="16" spans="1:136" s="175" customFormat="1" ht="30" customHeight="1" x14ac:dyDescent="0.2">
      <c r="C16" s="384" t="s">
        <v>33</v>
      </c>
      <c r="D16" s="385"/>
      <c r="E16" s="385"/>
      <c r="F16" s="385"/>
      <c r="G16" s="385"/>
      <c r="H16" s="385"/>
      <c r="I16" s="385"/>
      <c r="J16" s="385"/>
      <c r="K16" s="385"/>
      <c r="L16" s="387"/>
      <c r="M16" s="384" t="s">
        <v>10</v>
      </c>
      <c r="N16" s="385"/>
      <c r="O16" s="385"/>
      <c r="P16" s="385"/>
      <c r="Q16" s="385"/>
      <c r="R16" s="385"/>
      <c r="S16" s="385"/>
      <c r="T16" s="385"/>
      <c r="U16" s="385"/>
      <c r="V16" s="387"/>
      <c r="W16" s="384" t="s">
        <v>22</v>
      </c>
      <c r="X16" s="385"/>
      <c r="Y16" s="385"/>
      <c r="Z16" s="385"/>
      <c r="AA16" s="385"/>
      <c r="AB16" s="385"/>
      <c r="AC16" s="385"/>
      <c r="AD16" s="385"/>
      <c r="AE16" s="385"/>
      <c r="AF16" s="387"/>
      <c r="AG16" s="384" t="s">
        <v>12</v>
      </c>
      <c r="AH16" s="385"/>
      <c r="AI16" s="385"/>
      <c r="AJ16" s="385"/>
      <c r="AK16" s="385"/>
      <c r="AL16" s="385"/>
      <c r="AM16" s="385"/>
      <c r="AN16" s="385"/>
      <c r="AO16" s="385"/>
      <c r="AP16" s="387"/>
      <c r="AQ16" s="384" t="s">
        <v>13</v>
      </c>
      <c r="AR16" s="385"/>
      <c r="AS16" s="385"/>
      <c r="AT16" s="385"/>
      <c r="AU16" s="385"/>
      <c r="AV16" s="385"/>
      <c r="AW16" s="385"/>
      <c r="AX16" s="385"/>
      <c r="AY16" s="385"/>
      <c r="AZ16" s="387"/>
      <c r="BA16" s="384" t="s">
        <v>14</v>
      </c>
      <c r="BB16" s="385"/>
      <c r="BC16" s="385"/>
      <c r="BD16" s="385"/>
      <c r="BE16" s="385"/>
      <c r="BF16" s="385"/>
      <c r="BG16" s="385"/>
      <c r="BH16" s="385"/>
      <c r="BI16" s="385"/>
      <c r="BJ16" s="387"/>
      <c r="BK16" s="384" t="s">
        <v>15</v>
      </c>
      <c r="BL16" s="385"/>
      <c r="BM16" s="385"/>
      <c r="BN16" s="385"/>
      <c r="BO16" s="385"/>
      <c r="BP16" s="385"/>
      <c r="BQ16" s="385"/>
      <c r="BR16" s="385"/>
      <c r="BS16" s="385"/>
      <c r="BT16" s="387"/>
      <c r="BU16" s="384" t="s">
        <v>23</v>
      </c>
      <c r="BV16" s="385"/>
      <c r="BW16" s="385"/>
      <c r="BX16" s="385"/>
      <c r="BY16" s="385"/>
      <c r="BZ16" s="385"/>
      <c r="CA16" s="385"/>
      <c r="CB16" s="385"/>
      <c r="CC16" s="385"/>
      <c r="CD16" s="387"/>
      <c r="CE16" s="388" t="s">
        <v>24</v>
      </c>
      <c r="CF16" s="389"/>
      <c r="CG16" s="389"/>
      <c r="CH16" s="389"/>
      <c r="CI16" s="389"/>
      <c r="CJ16" s="389"/>
      <c r="CK16" s="389"/>
      <c r="CL16" s="389"/>
      <c r="CM16" s="389"/>
      <c r="CN16" s="390"/>
      <c r="CO16" s="384" t="s">
        <v>18</v>
      </c>
      <c r="CP16" s="385"/>
      <c r="CQ16" s="385"/>
      <c r="CR16" s="385"/>
      <c r="CS16" s="385"/>
      <c r="CT16" s="385"/>
      <c r="CU16" s="385"/>
      <c r="CV16" s="385"/>
      <c r="CW16" s="385"/>
      <c r="CX16" s="387"/>
      <c r="CY16" s="384" t="s">
        <v>19</v>
      </c>
      <c r="CZ16" s="385"/>
      <c r="DA16" s="385"/>
      <c r="DB16" s="385"/>
      <c r="DC16" s="385"/>
      <c r="DD16" s="385"/>
      <c r="DE16" s="177"/>
      <c r="DF16" s="178"/>
    </row>
    <row r="17" spans="1:148" ht="107" customHeight="1" x14ac:dyDescent="0.2">
      <c r="A17" s="280" t="s">
        <v>72</v>
      </c>
      <c r="B17" s="287"/>
      <c r="C17" s="279" t="s">
        <v>56</v>
      </c>
      <c r="D17" s="7" t="s">
        <v>55</v>
      </c>
      <c r="E17" s="7" t="s">
        <v>52</v>
      </c>
      <c r="F17" s="103" t="s">
        <v>53</v>
      </c>
      <c r="G17" s="104" t="s">
        <v>54</v>
      </c>
      <c r="H17" s="104" t="s">
        <v>57</v>
      </c>
      <c r="I17" s="103" t="s">
        <v>58</v>
      </c>
      <c r="J17" s="104" t="s">
        <v>59</v>
      </c>
      <c r="K17" s="65" t="s">
        <v>35</v>
      </c>
      <c r="L17" s="65" t="s">
        <v>60</v>
      </c>
      <c r="M17" s="7" t="s">
        <v>56</v>
      </c>
      <c r="N17" s="7" t="s">
        <v>55</v>
      </c>
      <c r="O17" s="7" t="s">
        <v>52</v>
      </c>
      <c r="P17" s="103" t="s">
        <v>53</v>
      </c>
      <c r="Q17" s="104" t="s">
        <v>54</v>
      </c>
      <c r="R17" s="104" t="s">
        <v>57</v>
      </c>
      <c r="S17" s="103" t="s">
        <v>58</v>
      </c>
      <c r="T17" s="104" t="s">
        <v>59</v>
      </c>
      <c r="U17" s="65" t="s">
        <v>35</v>
      </c>
      <c r="V17" s="65" t="s">
        <v>60</v>
      </c>
      <c r="W17" s="7" t="s">
        <v>56</v>
      </c>
      <c r="X17" s="7" t="s">
        <v>55</v>
      </c>
      <c r="Y17" s="7" t="s">
        <v>52</v>
      </c>
      <c r="Z17" s="103" t="s">
        <v>53</v>
      </c>
      <c r="AA17" s="104" t="s">
        <v>54</v>
      </c>
      <c r="AB17" s="104" t="s">
        <v>57</v>
      </c>
      <c r="AC17" s="103" t="s">
        <v>58</v>
      </c>
      <c r="AD17" s="104" t="s">
        <v>59</v>
      </c>
      <c r="AE17" s="65" t="s">
        <v>35</v>
      </c>
      <c r="AF17" s="65" t="s">
        <v>60</v>
      </c>
      <c r="AG17" s="7" t="s">
        <v>56</v>
      </c>
      <c r="AH17" s="7" t="s">
        <v>55</v>
      </c>
      <c r="AI17" s="7" t="s">
        <v>52</v>
      </c>
      <c r="AJ17" s="103" t="s">
        <v>53</v>
      </c>
      <c r="AK17" s="104" t="s">
        <v>54</v>
      </c>
      <c r="AL17" s="104" t="s">
        <v>57</v>
      </c>
      <c r="AM17" s="103" t="s">
        <v>58</v>
      </c>
      <c r="AN17" s="104" t="s">
        <v>59</v>
      </c>
      <c r="AO17" s="65" t="s">
        <v>35</v>
      </c>
      <c r="AP17" s="65" t="s">
        <v>60</v>
      </c>
      <c r="AQ17" s="7" t="s">
        <v>56</v>
      </c>
      <c r="AR17" s="7" t="s">
        <v>55</v>
      </c>
      <c r="AS17" s="7" t="s">
        <v>52</v>
      </c>
      <c r="AT17" s="103" t="s">
        <v>53</v>
      </c>
      <c r="AU17" s="104" t="s">
        <v>54</v>
      </c>
      <c r="AV17" s="104" t="s">
        <v>57</v>
      </c>
      <c r="AW17" s="103" t="s">
        <v>58</v>
      </c>
      <c r="AX17" s="104" t="s">
        <v>59</v>
      </c>
      <c r="AY17" s="65" t="s">
        <v>35</v>
      </c>
      <c r="AZ17" s="65" t="s">
        <v>60</v>
      </c>
      <c r="BA17" s="7" t="s">
        <v>56</v>
      </c>
      <c r="BB17" s="7" t="s">
        <v>55</v>
      </c>
      <c r="BC17" s="7" t="s">
        <v>52</v>
      </c>
      <c r="BD17" s="103" t="s">
        <v>53</v>
      </c>
      <c r="BE17" s="104" t="s">
        <v>54</v>
      </c>
      <c r="BF17" s="104" t="s">
        <v>57</v>
      </c>
      <c r="BG17" s="103" t="s">
        <v>58</v>
      </c>
      <c r="BH17" s="104" t="s">
        <v>59</v>
      </c>
      <c r="BI17" s="65" t="s">
        <v>35</v>
      </c>
      <c r="BJ17" s="65" t="s">
        <v>60</v>
      </c>
      <c r="BK17" s="7" t="s">
        <v>56</v>
      </c>
      <c r="BL17" s="7" t="s">
        <v>55</v>
      </c>
      <c r="BM17" s="7" t="s">
        <v>52</v>
      </c>
      <c r="BN17" s="103" t="s">
        <v>53</v>
      </c>
      <c r="BO17" s="104" t="s">
        <v>54</v>
      </c>
      <c r="BP17" s="104" t="s">
        <v>57</v>
      </c>
      <c r="BQ17" s="103" t="s">
        <v>58</v>
      </c>
      <c r="BR17" s="104" t="s">
        <v>59</v>
      </c>
      <c r="BS17" s="65" t="s">
        <v>35</v>
      </c>
      <c r="BT17" s="65" t="s">
        <v>60</v>
      </c>
      <c r="BU17" s="7" t="s">
        <v>56</v>
      </c>
      <c r="BV17" s="7" t="s">
        <v>55</v>
      </c>
      <c r="BW17" s="7" t="s">
        <v>52</v>
      </c>
      <c r="BX17" s="103" t="s">
        <v>53</v>
      </c>
      <c r="BY17" s="104" t="s">
        <v>54</v>
      </c>
      <c r="BZ17" s="104" t="s">
        <v>57</v>
      </c>
      <c r="CA17" s="103" t="s">
        <v>58</v>
      </c>
      <c r="CB17" s="104" t="s">
        <v>59</v>
      </c>
      <c r="CC17" s="65" t="s">
        <v>35</v>
      </c>
      <c r="CD17" s="65" t="s">
        <v>60</v>
      </c>
      <c r="CE17" s="7" t="s">
        <v>56</v>
      </c>
      <c r="CF17" s="7" t="s">
        <v>55</v>
      </c>
      <c r="CG17" s="7" t="s">
        <v>52</v>
      </c>
      <c r="CH17" s="103" t="s">
        <v>53</v>
      </c>
      <c r="CI17" s="104" t="s">
        <v>54</v>
      </c>
      <c r="CJ17" s="104" t="s">
        <v>57</v>
      </c>
      <c r="CK17" s="103" t="s">
        <v>58</v>
      </c>
      <c r="CL17" s="104" t="s">
        <v>59</v>
      </c>
      <c r="CM17" s="65" t="s">
        <v>35</v>
      </c>
      <c r="CN17" s="65" t="s">
        <v>60</v>
      </c>
      <c r="CO17" s="7" t="s">
        <v>56</v>
      </c>
      <c r="CP17" s="7" t="s">
        <v>55</v>
      </c>
      <c r="CQ17" s="7" t="s">
        <v>52</v>
      </c>
      <c r="CR17" s="103" t="s">
        <v>53</v>
      </c>
      <c r="CS17" s="104" t="s">
        <v>54</v>
      </c>
      <c r="CT17" s="104" t="s">
        <v>57</v>
      </c>
      <c r="CU17" s="103" t="s">
        <v>58</v>
      </c>
      <c r="CV17" s="104" t="s">
        <v>59</v>
      </c>
      <c r="CW17" s="65" t="s">
        <v>35</v>
      </c>
      <c r="CX17" s="65" t="s">
        <v>60</v>
      </c>
      <c r="CY17" s="7" t="s">
        <v>56</v>
      </c>
      <c r="CZ17" s="7" t="s">
        <v>55</v>
      </c>
      <c r="DA17" s="7" t="s">
        <v>52</v>
      </c>
      <c r="DB17" s="103" t="s">
        <v>53</v>
      </c>
      <c r="DC17" s="104" t="s">
        <v>54</v>
      </c>
      <c r="DD17" s="238" t="s">
        <v>35</v>
      </c>
      <c r="DE17" s="115"/>
    </row>
    <row r="18" spans="1:148" x14ac:dyDescent="0.2">
      <c r="A18" s="392" t="s">
        <v>6</v>
      </c>
      <c r="B18" s="281" t="s">
        <v>1</v>
      </c>
      <c r="C18" s="108">
        <v>4983</v>
      </c>
      <c r="D18" s="9">
        <v>4772</v>
      </c>
      <c r="E18" s="10">
        <v>371</v>
      </c>
      <c r="F18" s="11">
        <v>357</v>
      </c>
      <c r="G18" s="12">
        <f>F18/D18</f>
        <v>7.4811399832355407E-2</v>
      </c>
      <c r="H18" s="13">
        <f>D18-N18</f>
        <v>916</v>
      </c>
      <c r="I18" s="20">
        <f>F18-P18</f>
        <v>37</v>
      </c>
      <c r="J18" s="21">
        <f>I18/H18</f>
        <v>4.0393013100436678E-2</v>
      </c>
      <c r="K18" s="102">
        <v>0.38504969999999999</v>
      </c>
      <c r="L18" s="137">
        <v>0.99999000000000005</v>
      </c>
      <c r="M18" s="8">
        <v>4252</v>
      </c>
      <c r="N18" s="15">
        <v>3856</v>
      </c>
      <c r="O18" s="10">
        <v>358</v>
      </c>
      <c r="P18" s="11">
        <v>320</v>
      </c>
      <c r="Q18" s="12">
        <f>P18/N18</f>
        <v>8.2987551867219914E-2</v>
      </c>
      <c r="R18" s="16">
        <f>N18-X18</f>
        <v>923</v>
      </c>
      <c r="S18" s="20">
        <f>P18-Z18</f>
        <v>54</v>
      </c>
      <c r="T18" s="21">
        <f>S18/R18</f>
        <v>5.8504875406283859E-2</v>
      </c>
      <c r="U18" s="137">
        <v>0.83689150000000001</v>
      </c>
      <c r="V18" s="137">
        <v>0.99961500000000003</v>
      </c>
      <c r="W18" s="8">
        <v>3454</v>
      </c>
      <c r="X18" s="9">
        <v>2933</v>
      </c>
      <c r="Y18" s="10">
        <v>292</v>
      </c>
      <c r="Z18" s="11">
        <v>266</v>
      </c>
      <c r="AA18" s="12">
        <f>Z18/X18</f>
        <v>9.0692124105011929E-2</v>
      </c>
      <c r="AB18" s="13">
        <f>X18-AH18</f>
        <v>825</v>
      </c>
      <c r="AC18" s="20">
        <f>Z18-AJ18</f>
        <v>55</v>
      </c>
      <c r="AD18" s="21">
        <f>AC18/AB18</f>
        <v>6.6666666666666666E-2</v>
      </c>
      <c r="AE18" s="23">
        <v>7.7896430000000004E-4</v>
      </c>
      <c r="AF18" s="137">
        <v>0.98718030000000001</v>
      </c>
      <c r="AG18" s="8">
        <v>2670</v>
      </c>
      <c r="AH18" s="9">
        <v>2108</v>
      </c>
      <c r="AI18" s="10">
        <v>245</v>
      </c>
      <c r="AJ18" s="11">
        <v>211</v>
      </c>
      <c r="AK18" s="12">
        <f>AJ18/AH18</f>
        <v>0.10009487666034156</v>
      </c>
      <c r="AL18" s="13">
        <f>AH18-AR18</f>
        <v>291</v>
      </c>
      <c r="AM18" s="20">
        <f>AJ18-AT18</f>
        <v>58</v>
      </c>
      <c r="AN18" s="21">
        <f>AM18/AL18</f>
        <v>0.19931271477663232</v>
      </c>
      <c r="AO18" s="23">
        <v>1.7776770000000001E-3</v>
      </c>
      <c r="AP18" s="23">
        <v>1.230365E-9</v>
      </c>
      <c r="AQ18" s="8">
        <v>2400</v>
      </c>
      <c r="AR18" s="9">
        <v>1817</v>
      </c>
      <c r="AS18" s="10">
        <v>162</v>
      </c>
      <c r="AT18" s="11">
        <v>153</v>
      </c>
      <c r="AU18" s="12">
        <f>AT18/AR18</f>
        <v>8.4204733076499727E-2</v>
      </c>
      <c r="AV18" s="13">
        <f>AR18-BB18</f>
        <v>479</v>
      </c>
      <c r="AW18" s="20">
        <f>AT18-BD18</f>
        <v>33</v>
      </c>
      <c r="AX18" s="21">
        <f>AW18/AV18</f>
        <v>6.889352818371608E-2</v>
      </c>
      <c r="AY18" s="23">
        <v>6.4770790000000003E-11</v>
      </c>
      <c r="AZ18" s="102">
        <v>0.47935939999999999</v>
      </c>
      <c r="BA18" s="8">
        <v>1839</v>
      </c>
      <c r="BB18" s="9">
        <v>1338</v>
      </c>
      <c r="BC18" s="10">
        <v>148</v>
      </c>
      <c r="BD18" s="11">
        <v>120</v>
      </c>
      <c r="BE18" s="12">
        <f>BD18/BB18</f>
        <v>8.9686098654708515E-2</v>
      </c>
      <c r="BF18" s="13">
        <f>BB18-BL18</f>
        <v>504</v>
      </c>
      <c r="BG18" s="20">
        <f>BD18-BN18</f>
        <v>29</v>
      </c>
      <c r="BH18" s="18">
        <f>BG18/BF18</f>
        <v>5.7539682539682536E-2</v>
      </c>
      <c r="BI18" s="102">
        <v>9.6998629999999995E-3</v>
      </c>
      <c r="BJ18" s="137">
        <v>0.99140039999999996</v>
      </c>
      <c r="BK18" s="8">
        <v>1262</v>
      </c>
      <c r="BL18" s="9">
        <v>834</v>
      </c>
      <c r="BM18" s="10">
        <v>112</v>
      </c>
      <c r="BN18" s="11">
        <v>91</v>
      </c>
      <c r="BO18" s="12">
        <f>BN18/BL18</f>
        <v>0.10911270983213429</v>
      </c>
      <c r="BP18" s="13">
        <f>BL18-BV18</f>
        <v>356</v>
      </c>
      <c r="BQ18" s="20">
        <f>BN18-BX18</f>
        <v>30</v>
      </c>
      <c r="BR18" s="18">
        <f>BQ18/BP18</f>
        <v>8.4269662921348312E-2</v>
      </c>
      <c r="BS18" s="23">
        <v>1.6601020000000001E-4</v>
      </c>
      <c r="BT18" s="102">
        <v>0.67362230000000001</v>
      </c>
      <c r="BU18" s="8">
        <v>831</v>
      </c>
      <c r="BV18" s="9">
        <v>478</v>
      </c>
      <c r="BW18" s="10">
        <v>75</v>
      </c>
      <c r="BX18" s="11">
        <v>61</v>
      </c>
      <c r="BY18" s="12">
        <f>BX18/BV18</f>
        <v>0.12761506276150628</v>
      </c>
      <c r="BZ18" s="13">
        <f>BV18-CF18</f>
        <v>87</v>
      </c>
      <c r="CA18" s="20">
        <f>BX18-CH18</f>
        <v>12</v>
      </c>
      <c r="CB18" s="18">
        <f>CA18/BZ18</f>
        <v>0.13793103448275862</v>
      </c>
      <c r="CC18" s="23">
        <v>4.707375E-6</v>
      </c>
      <c r="CD18" s="102">
        <v>7.9657339999999993E-2</v>
      </c>
      <c r="CE18" s="8">
        <v>726</v>
      </c>
      <c r="CF18" s="9">
        <v>391</v>
      </c>
      <c r="CG18" s="10">
        <v>62</v>
      </c>
      <c r="CH18" s="11">
        <v>49</v>
      </c>
      <c r="CI18" s="12">
        <f>CH18/CF18</f>
        <v>0.12531969309462915</v>
      </c>
      <c r="CJ18" s="13">
        <f>CF18-CP18</f>
        <v>182</v>
      </c>
      <c r="CK18" s="20">
        <f>CH18-CR18</f>
        <v>11</v>
      </c>
      <c r="CL18" s="18">
        <f>CK18/CJ18</f>
        <v>6.043956043956044E-2</v>
      </c>
      <c r="CM18" s="23">
        <v>1.645198E-5</v>
      </c>
      <c r="CN18" s="102">
        <v>0.94313659999999999</v>
      </c>
      <c r="CO18" s="8">
        <v>436</v>
      </c>
      <c r="CP18" s="9">
        <v>209</v>
      </c>
      <c r="CQ18" s="10">
        <v>52</v>
      </c>
      <c r="CR18" s="11">
        <v>38</v>
      </c>
      <c r="CS18" s="12">
        <f>CR18/CP18</f>
        <v>0.18181818181818182</v>
      </c>
      <c r="CT18" s="61">
        <f>CP18-CZ18</f>
        <v>82</v>
      </c>
      <c r="CU18" s="20">
        <f>CR18-DB18</f>
        <v>13</v>
      </c>
      <c r="CV18" s="21">
        <f>CU18/CT18</f>
        <v>0.15853658536585366</v>
      </c>
      <c r="CW18" s="23">
        <v>8.4374539999999999E-5</v>
      </c>
      <c r="CX18" s="102">
        <v>0.61016250000000005</v>
      </c>
      <c r="CY18" s="243">
        <v>310</v>
      </c>
      <c r="CZ18" s="244">
        <v>127</v>
      </c>
      <c r="DA18" s="245">
        <v>34</v>
      </c>
      <c r="DB18" s="246">
        <v>25</v>
      </c>
      <c r="DC18" s="247">
        <f>DB18/CZ18</f>
        <v>0.19685039370078741</v>
      </c>
      <c r="DD18" s="40">
        <v>4.9497999999999999E-5</v>
      </c>
    </row>
    <row r="19" spans="1:148" x14ac:dyDescent="0.2">
      <c r="A19" s="392"/>
      <c r="B19" s="281" t="s">
        <v>0</v>
      </c>
      <c r="C19" s="109">
        <v>16541</v>
      </c>
      <c r="D19" s="27">
        <v>15453</v>
      </c>
      <c r="E19" s="28">
        <v>638</v>
      </c>
      <c r="F19" s="29">
        <v>599</v>
      </c>
      <c r="G19" s="12">
        <f t="shared" ref="G19:G25" si="11">F19/D19</f>
        <v>3.8762699799391703E-2</v>
      </c>
      <c r="H19" s="30">
        <f>D19-N19</f>
        <v>5183</v>
      </c>
      <c r="I19" s="38">
        <f>F19-P19</f>
        <v>70</v>
      </c>
      <c r="J19" s="39">
        <f>I19/H19</f>
        <v>1.3505691684352691E-2</v>
      </c>
      <c r="K19" s="79">
        <v>0.35085499999999997</v>
      </c>
      <c r="L19" s="47">
        <v>0.99999000000000005</v>
      </c>
      <c r="M19" s="50">
        <v>12447</v>
      </c>
      <c r="N19" s="33">
        <v>10270</v>
      </c>
      <c r="O19" s="28">
        <v>607</v>
      </c>
      <c r="P19" s="29">
        <v>529</v>
      </c>
      <c r="Q19" s="12">
        <f t="shared" ref="Q19:Q25" si="12">P19/N19</f>
        <v>5.1509250243427458E-2</v>
      </c>
      <c r="R19" s="34">
        <f>N19-X19</f>
        <v>3939</v>
      </c>
      <c r="S19" s="38">
        <f>P19-Z19</f>
        <v>166</v>
      </c>
      <c r="T19" s="39">
        <f>S19/R19</f>
        <v>4.214267580604214E-2</v>
      </c>
      <c r="U19" s="303">
        <v>8.6934730000000002E-4</v>
      </c>
      <c r="V19" s="47">
        <v>0.99190999999999996</v>
      </c>
      <c r="W19" s="50">
        <v>8950</v>
      </c>
      <c r="X19" s="27">
        <v>6331</v>
      </c>
      <c r="Y19" s="28">
        <v>486</v>
      </c>
      <c r="Z19" s="29">
        <v>363</v>
      </c>
      <c r="AA19" s="12">
        <f t="shared" ref="AA19:AA25" si="13">Z19/X19</f>
        <v>5.7336913599747276E-2</v>
      </c>
      <c r="AB19" s="30">
        <f>X19-AH19</f>
        <v>2215</v>
      </c>
      <c r="AC19" s="38">
        <f>Z19-AJ19</f>
        <v>103</v>
      </c>
      <c r="AD19" s="39">
        <f>AC19/AB19</f>
        <v>4.6501128668171555E-2</v>
      </c>
      <c r="AE19" s="79">
        <v>2.6351349999999999E-2</v>
      </c>
      <c r="AF19" s="47">
        <v>0.97414190000000001</v>
      </c>
      <c r="AG19" s="50">
        <v>6622</v>
      </c>
      <c r="AH19" s="27">
        <v>4116</v>
      </c>
      <c r="AI19" s="28">
        <v>340</v>
      </c>
      <c r="AJ19" s="29">
        <v>260</v>
      </c>
      <c r="AK19" s="12">
        <f t="shared" ref="AK19:AK25" si="14">AJ19/AH19</f>
        <v>6.3168124392614183E-2</v>
      </c>
      <c r="AL19" s="30">
        <f>AH19-AR19</f>
        <v>728</v>
      </c>
      <c r="AM19" s="38">
        <f>AJ19-AT19</f>
        <v>59</v>
      </c>
      <c r="AN19" s="39">
        <f>AM19/AL19</f>
        <v>8.1043956043956047E-2</v>
      </c>
      <c r="AO19" s="42">
        <v>5.7778590000000002E-9</v>
      </c>
      <c r="AP19" s="42">
        <v>1.9936840000000001E-4</v>
      </c>
      <c r="AQ19" s="50">
        <v>5409</v>
      </c>
      <c r="AR19" s="27">
        <v>3388</v>
      </c>
      <c r="AS19" s="28">
        <v>231</v>
      </c>
      <c r="AT19" s="29">
        <v>201</v>
      </c>
      <c r="AU19" s="12">
        <f t="shared" ref="AU19:AU25" si="15">AT19/AR19</f>
        <v>5.932703659976387E-2</v>
      </c>
      <c r="AV19" s="30">
        <f>AR19-BB19</f>
        <v>1428</v>
      </c>
      <c r="AW19" s="38">
        <f>AT19-BD19</f>
        <v>69</v>
      </c>
      <c r="AX19" s="39">
        <f>AW19/AV19</f>
        <v>4.8319327731092439E-2</v>
      </c>
      <c r="AY19" s="40">
        <v>3.3305090000000002E-17</v>
      </c>
      <c r="AZ19" s="79">
        <v>0.12643019999999999</v>
      </c>
      <c r="BA19" s="50">
        <v>3634</v>
      </c>
      <c r="BB19" s="27">
        <v>1960</v>
      </c>
      <c r="BC19" s="28">
        <v>210</v>
      </c>
      <c r="BD19" s="29">
        <v>132</v>
      </c>
      <c r="BE19" s="12">
        <f t="shared" ref="BE19:BE25" si="16">BD19/BB19</f>
        <v>6.7346938775510207E-2</v>
      </c>
      <c r="BF19" s="30">
        <f>BB19-BL19</f>
        <v>1220</v>
      </c>
      <c r="BG19" s="38">
        <f>BD19-BN19</f>
        <v>56</v>
      </c>
      <c r="BH19" s="36">
        <f>BG19/BF19</f>
        <v>4.5901639344262293E-2</v>
      </c>
      <c r="BI19" s="79">
        <v>4.4466549999999999E-3</v>
      </c>
      <c r="BJ19" s="47">
        <v>0.98908859999999998</v>
      </c>
      <c r="BK19" s="50">
        <v>1563</v>
      </c>
      <c r="BL19" s="27">
        <v>740</v>
      </c>
      <c r="BM19" s="28">
        <v>145</v>
      </c>
      <c r="BN19" s="29">
        <v>76</v>
      </c>
      <c r="BO19" s="12">
        <f t="shared" ref="BO19:BO25" si="17">BN19/BL19</f>
        <v>0.10270270270270271</v>
      </c>
      <c r="BP19" s="30">
        <f>BL19-BV19</f>
        <v>307</v>
      </c>
      <c r="BQ19" s="38">
        <f>BN19-BX19</f>
        <v>29</v>
      </c>
      <c r="BR19" s="36">
        <f>BQ19/BP19</f>
        <v>9.4462540716612378E-2</v>
      </c>
      <c r="BS19" s="79">
        <v>0.11587550000000001</v>
      </c>
      <c r="BT19" s="79">
        <v>0.49103960000000002</v>
      </c>
      <c r="BU19" s="50">
        <v>1127</v>
      </c>
      <c r="BV19" s="27">
        <v>433</v>
      </c>
      <c r="BW19" s="28">
        <v>80</v>
      </c>
      <c r="BX19" s="29">
        <v>47</v>
      </c>
      <c r="BY19" s="12">
        <f t="shared" ref="BY19:BY25" si="18">BX19/BV19</f>
        <v>0.10854503464203233</v>
      </c>
      <c r="BZ19" s="30">
        <f>BV19-CF19</f>
        <v>126</v>
      </c>
      <c r="CA19" s="38">
        <f>BX19-CH19</f>
        <v>8</v>
      </c>
      <c r="CB19" s="36">
        <f>CA19/BZ19</f>
        <v>6.3492063492063489E-2</v>
      </c>
      <c r="CC19" s="40">
        <v>1.0690809999999999E-4</v>
      </c>
      <c r="CD19" s="79">
        <v>0.6916928</v>
      </c>
      <c r="CE19" s="50">
        <v>879</v>
      </c>
      <c r="CF19" s="27">
        <v>307</v>
      </c>
      <c r="CG19" s="28">
        <v>57</v>
      </c>
      <c r="CH19" s="29">
        <v>39</v>
      </c>
      <c r="CI19" s="12">
        <f t="shared" ref="CI19:CI25" si="19">CH19/CF19</f>
        <v>0.12703583061889251</v>
      </c>
      <c r="CJ19" s="30">
        <f>CF19-CP19</f>
        <v>254</v>
      </c>
      <c r="CK19" s="38">
        <f>CH19-CR19</f>
        <v>16</v>
      </c>
      <c r="CL19" s="36">
        <f>CK19/CJ19</f>
        <v>6.2992125984251968E-2</v>
      </c>
      <c r="CM19" s="40">
        <v>1.031259E-7</v>
      </c>
      <c r="CN19" s="79">
        <v>0.60866390000000004</v>
      </c>
      <c r="CO19" s="50">
        <v>261</v>
      </c>
      <c r="CP19" s="27">
        <v>53</v>
      </c>
      <c r="CQ19" s="28">
        <v>47</v>
      </c>
      <c r="CR19" s="29">
        <v>23</v>
      </c>
      <c r="CS19" s="12">
        <f t="shared" ref="CS19:CS25" si="20">CR19/CP19</f>
        <v>0.43396226415094341</v>
      </c>
      <c r="CT19" s="62">
        <f>CP19-CZ19</f>
        <v>45</v>
      </c>
      <c r="CU19" s="38">
        <f>CR19-DB19</f>
        <v>16</v>
      </c>
      <c r="CV19" s="39">
        <f>CU19/CT19</f>
        <v>0.35555555555555557</v>
      </c>
      <c r="CW19" s="37">
        <v>7.213998E-7</v>
      </c>
      <c r="CX19" s="79">
        <v>8.576363E-3</v>
      </c>
      <c r="CY19" s="26">
        <v>14</v>
      </c>
      <c r="CZ19" s="248">
        <v>8</v>
      </c>
      <c r="DA19" s="249">
        <v>12</v>
      </c>
      <c r="DB19" s="250">
        <v>7</v>
      </c>
      <c r="DC19" s="247">
        <f t="shared" ref="DC19:DC25" si="21">DB19/CZ19</f>
        <v>0.875</v>
      </c>
      <c r="DD19" s="79">
        <v>0.69230760000000002</v>
      </c>
    </row>
    <row r="20" spans="1:148" s="49" customFormat="1" x14ac:dyDescent="0.2">
      <c r="A20" s="290"/>
      <c r="B20" s="291"/>
      <c r="C20" s="109"/>
      <c r="D20" s="188"/>
      <c r="E20" s="44"/>
      <c r="F20" s="45"/>
      <c r="G20" s="46"/>
      <c r="H20" s="30"/>
      <c r="I20" s="45"/>
      <c r="J20" s="44"/>
      <c r="K20" s="79"/>
      <c r="L20" s="47"/>
      <c r="M20" s="45"/>
      <c r="N20" s="53"/>
      <c r="O20" s="45"/>
      <c r="P20" s="45"/>
      <c r="Q20" s="46"/>
      <c r="R20" s="53"/>
      <c r="S20" s="45"/>
      <c r="T20" s="44"/>
      <c r="U20" s="37"/>
      <c r="V20" s="37"/>
      <c r="W20" s="45"/>
      <c r="X20" s="45"/>
      <c r="Y20" s="45"/>
      <c r="Z20" s="45"/>
      <c r="AA20" s="46"/>
      <c r="AB20" s="45"/>
      <c r="AC20" s="45"/>
      <c r="AD20" s="44"/>
      <c r="AE20" s="37"/>
      <c r="AF20" s="47"/>
      <c r="AG20" s="45"/>
      <c r="AH20" s="45"/>
      <c r="AI20" s="45"/>
      <c r="AJ20" s="45"/>
      <c r="AK20" s="46"/>
      <c r="AL20" s="45"/>
      <c r="AM20" s="45"/>
      <c r="AN20" s="44"/>
      <c r="AO20" s="37"/>
      <c r="AP20" s="37"/>
      <c r="AQ20" s="45"/>
      <c r="AR20" s="45"/>
      <c r="AS20" s="45"/>
      <c r="AT20" s="45"/>
      <c r="AU20" s="46"/>
      <c r="AV20" s="45"/>
      <c r="AW20" s="45"/>
      <c r="AX20" s="44"/>
      <c r="AY20" s="40"/>
      <c r="AZ20" s="79"/>
      <c r="BA20" s="45"/>
      <c r="BB20" s="45"/>
      <c r="BC20" s="45"/>
      <c r="BD20" s="45"/>
      <c r="BE20" s="46"/>
      <c r="BF20" s="45"/>
      <c r="BG20" s="45"/>
      <c r="BH20" s="44"/>
      <c r="BI20" s="79"/>
      <c r="BJ20" s="79"/>
      <c r="BK20" s="45"/>
      <c r="BL20" s="45"/>
      <c r="BM20" s="45"/>
      <c r="BN20" s="45"/>
      <c r="BO20" s="46"/>
      <c r="BP20" s="45"/>
      <c r="BQ20" s="45"/>
      <c r="BR20" s="44"/>
      <c r="BS20" s="37"/>
      <c r="BT20" s="37"/>
      <c r="BU20" s="45"/>
      <c r="BV20" s="45"/>
      <c r="BW20" s="45"/>
      <c r="BX20" s="45"/>
      <c r="BY20" s="46"/>
      <c r="BZ20" s="45"/>
      <c r="CA20" s="45"/>
      <c r="CB20" s="44"/>
      <c r="CC20" s="37"/>
      <c r="CD20" s="37"/>
      <c r="CE20" s="45"/>
      <c r="CF20" s="45"/>
      <c r="CG20" s="45"/>
      <c r="CH20" s="45"/>
      <c r="CI20" s="46"/>
      <c r="CJ20" s="45"/>
      <c r="CK20" s="45"/>
      <c r="CL20" s="44"/>
      <c r="CM20" s="37"/>
      <c r="CN20" s="37"/>
      <c r="CO20" s="45"/>
      <c r="CP20" s="45"/>
      <c r="CQ20" s="45"/>
      <c r="CR20" s="45"/>
      <c r="CS20" s="46"/>
      <c r="CT20" s="37"/>
      <c r="CU20" s="45"/>
      <c r="CV20" s="44"/>
      <c r="CW20" s="37"/>
      <c r="CX20" s="37"/>
      <c r="CY20" s="124"/>
      <c r="CZ20" s="251"/>
      <c r="DA20" s="124"/>
      <c r="DB20" s="124"/>
      <c r="DC20" s="252"/>
      <c r="DD20" s="37"/>
    </row>
    <row r="21" spans="1:148" x14ac:dyDescent="0.2">
      <c r="A21" s="392" t="s">
        <v>7</v>
      </c>
      <c r="B21" s="281" t="s">
        <v>1</v>
      </c>
      <c r="C21" s="109">
        <v>2563</v>
      </c>
      <c r="D21" s="27">
        <v>2385</v>
      </c>
      <c r="E21" s="28">
        <v>191</v>
      </c>
      <c r="F21" s="29">
        <v>175</v>
      </c>
      <c r="G21" s="12">
        <f t="shared" si="11"/>
        <v>7.337526205450734E-2</v>
      </c>
      <c r="H21" s="30">
        <f>D21-N21</f>
        <v>754</v>
      </c>
      <c r="I21" s="38">
        <f>F21-P21</f>
        <v>37</v>
      </c>
      <c r="J21" s="39">
        <f>I21/H21</f>
        <v>4.9071618037135278E-2</v>
      </c>
      <c r="K21" s="79">
        <v>0.83191400000000004</v>
      </c>
      <c r="L21" s="47">
        <v>0.99961900000000004</v>
      </c>
      <c r="M21" s="50">
        <v>1878</v>
      </c>
      <c r="N21" s="33">
        <v>1631</v>
      </c>
      <c r="O21" s="28">
        <v>167</v>
      </c>
      <c r="P21" s="29">
        <v>138</v>
      </c>
      <c r="Q21" s="12">
        <f t="shared" si="12"/>
        <v>8.4610668301655423E-2</v>
      </c>
      <c r="R21" s="34">
        <f>N21-X21</f>
        <v>351</v>
      </c>
      <c r="S21" s="38">
        <f>P21-Z21</f>
        <v>28</v>
      </c>
      <c r="T21" s="39">
        <f>S21/R21</f>
        <v>7.9772079772079771E-2</v>
      </c>
      <c r="U21" s="47">
        <v>0.96090529999999996</v>
      </c>
      <c r="V21" s="47">
        <v>0.77777779999999996</v>
      </c>
      <c r="W21" s="50">
        <v>1626</v>
      </c>
      <c r="X21" s="27">
        <v>1280</v>
      </c>
      <c r="Y21" s="28">
        <v>127</v>
      </c>
      <c r="Z21" s="29">
        <v>110</v>
      </c>
      <c r="AA21" s="12">
        <f t="shared" si="13"/>
        <v>8.59375E-2</v>
      </c>
      <c r="AB21" s="30">
        <f>X21-AH21</f>
        <v>474</v>
      </c>
      <c r="AC21" s="38">
        <f>Z21-AJ21</f>
        <v>32</v>
      </c>
      <c r="AD21" s="39">
        <f>AC21/AB21</f>
        <v>6.7510548523206745E-2</v>
      </c>
      <c r="AE21" s="79">
        <v>1.278579E-2</v>
      </c>
      <c r="AF21" s="47">
        <v>0.87004459999999995</v>
      </c>
      <c r="AG21" s="50">
        <v>1148</v>
      </c>
      <c r="AH21" s="27">
        <v>806</v>
      </c>
      <c r="AI21" s="28">
        <v>109</v>
      </c>
      <c r="AJ21" s="29">
        <v>78</v>
      </c>
      <c r="AK21" s="12">
        <f t="shared" si="14"/>
        <v>9.6774193548387094E-2</v>
      </c>
      <c r="AL21" s="30">
        <f>AH21-AR21</f>
        <v>189</v>
      </c>
      <c r="AM21" s="38">
        <f>AJ21-AT21</f>
        <v>20</v>
      </c>
      <c r="AN21" s="39">
        <f>AM21/AL21</f>
        <v>0.10582010582010581</v>
      </c>
      <c r="AO21" s="79">
        <v>0.41983720000000002</v>
      </c>
      <c r="AP21" s="79">
        <v>0.3292139</v>
      </c>
      <c r="AQ21" s="50">
        <v>915</v>
      </c>
      <c r="AR21" s="27">
        <v>617</v>
      </c>
      <c r="AS21" s="28">
        <v>72</v>
      </c>
      <c r="AT21" s="29">
        <v>58</v>
      </c>
      <c r="AU21" s="12">
        <f t="shared" si="15"/>
        <v>9.4003241491085895E-2</v>
      </c>
      <c r="AV21" s="30">
        <f>AR21-BB21</f>
        <v>206</v>
      </c>
      <c r="AW21" s="38">
        <f>AT21-BD21</f>
        <v>16</v>
      </c>
      <c r="AX21" s="39">
        <f>AW21/AV21</f>
        <v>7.7669902912621352E-2</v>
      </c>
      <c r="AY21" s="42">
        <v>7.7174110000000004E-3</v>
      </c>
      <c r="AZ21" s="134">
        <v>0.5739339</v>
      </c>
      <c r="BA21" s="50">
        <v>721</v>
      </c>
      <c r="BB21" s="27">
        <v>411</v>
      </c>
      <c r="BC21" s="28">
        <v>59</v>
      </c>
      <c r="BD21" s="29">
        <v>42</v>
      </c>
      <c r="BE21" s="12">
        <f t="shared" si="16"/>
        <v>0.10218978102189781</v>
      </c>
      <c r="BF21" s="30">
        <f>BB21-BL21</f>
        <v>155</v>
      </c>
      <c r="BG21" s="38">
        <f>BD21-BN21</f>
        <v>16</v>
      </c>
      <c r="BH21" s="36">
        <f>BG21/BF21</f>
        <v>0.1032258064516129</v>
      </c>
      <c r="BI21" s="79">
        <v>1.425948E-2</v>
      </c>
      <c r="BJ21" s="79">
        <v>0.1747466</v>
      </c>
      <c r="BK21" s="50">
        <v>512</v>
      </c>
      <c r="BL21" s="27">
        <v>256</v>
      </c>
      <c r="BM21" s="28">
        <v>36</v>
      </c>
      <c r="BN21" s="29">
        <v>26</v>
      </c>
      <c r="BO21" s="12">
        <f t="shared" si="17"/>
        <v>0.1015625</v>
      </c>
      <c r="BP21" s="30">
        <f>BL21-BV21</f>
        <v>65</v>
      </c>
      <c r="BQ21" s="38">
        <f>BN21-BX21</f>
        <v>9</v>
      </c>
      <c r="BR21" s="36">
        <f>BQ21/BP21</f>
        <v>0.13846153846153847</v>
      </c>
      <c r="BS21" s="40">
        <v>4.3400419999999997E-3</v>
      </c>
      <c r="BT21" s="79">
        <v>2.7564370000000001E-2</v>
      </c>
      <c r="BU21" s="50">
        <v>345</v>
      </c>
      <c r="BV21" s="27">
        <v>191</v>
      </c>
      <c r="BW21" s="28">
        <v>21</v>
      </c>
      <c r="BX21" s="29">
        <v>17</v>
      </c>
      <c r="BY21" s="12">
        <f t="shared" si="18"/>
        <v>8.9005235602094238E-2</v>
      </c>
      <c r="BZ21" s="30">
        <f>BV21-CF21</f>
        <v>7</v>
      </c>
      <c r="CA21" s="38">
        <f>BX21-CH21</f>
        <v>2</v>
      </c>
      <c r="CB21" s="36">
        <f>CA21/BZ21</f>
        <v>0.2857142857142857</v>
      </c>
      <c r="CC21" s="79">
        <v>1.1511209999999999E-2</v>
      </c>
      <c r="CD21" s="79">
        <v>6.1636099999999999E-2</v>
      </c>
      <c r="CE21" s="50">
        <v>331</v>
      </c>
      <c r="CF21" s="27">
        <v>184</v>
      </c>
      <c r="CG21" s="28">
        <v>16</v>
      </c>
      <c r="CH21" s="29">
        <v>15</v>
      </c>
      <c r="CI21" s="12">
        <f t="shared" si="19"/>
        <v>8.1521739130434784E-2</v>
      </c>
      <c r="CJ21" s="30">
        <f>CF21-CP21</f>
        <v>71</v>
      </c>
      <c r="CK21" s="38">
        <f>CH21-CR21</f>
        <v>2</v>
      </c>
      <c r="CL21" s="36">
        <f>CK21/CJ21</f>
        <v>2.8169014084507043E-2</v>
      </c>
      <c r="CM21" s="40">
        <v>9.1610889999999999E-4</v>
      </c>
      <c r="CN21" s="79">
        <v>0.89315149999999999</v>
      </c>
      <c r="CO21" s="50">
        <v>215</v>
      </c>
      <c r="CP21" s="27">
        <v>113</v>
      </c>
      <c r="CQ21" s="28">
        <v>15</v>
      </c>
      <c r="CR21" s="29">
        <v>13</v>
      </c>
      <c r="CS21" s="12">
        <f t="shared" si="20"/>
        <v>0.11504424778761062</v>
      </c>
      <c r="CT21" s="62">
        <f>CP21-CZ21</f>
        <v>28</v>
      </c>
      <c r="CU21" s="38">
        <f>CR21-DB21</f>
        <v>5</v>
      </c>
      <c r="CV21" s="39">
        <f>CU21/CT21</f>
        <v>0.17857142857142858</v>
      </c>
      <c r="CW21" s="79">
        <v>5.0585099999999996E-3</v>
      </c>
      <c r="CX21" s="40">
        <v>8.6275659999999997E-3</v>
      </c>
      <c r="CY21" s="26">
        <v>195</v>
      </c>
      <c r="CZ21" s="248">
        <v>85</v>
      </c>
      <c r="DA21" s="249">
        <v>9</v>
      </c>
      <c r="DB21" s="250">
        <v>8</v>
      </c>
      <c r="DC21" s="247">
        <f t="shared" si="21"/>
        <v>9.4117647058823528E-2</v>
      </c>
      <c r="DD21" s="79">
        <v>6.1250000000000002E-3</v>
      </c>
    </row>
    <row r="22" spans="1:148" x14ac:dyDescent="0.2">
      <c r="A22" s="392"/>
      <c r="B22" s="281" t="s">
        <v>0</v>
      </c>
      <c r="C22" s="109">
        <v>20364</v>
      </c>
      <c r="D22" s="27">
        <v>18103</v>
      </c>
      <c r="E22" s="28">
        <v>1485</v>
      </c>
      <c r="F22" s="29">
        <v>1293</v>
      </c>
      <c r="G22" s="12">
        <f t="shared" si="11"/>
        <v>7.142462575263768E-2</v>
      </c>
      <c r="H22" s="30">
        <f>D22-N22</f>
        <v>6081</v>
      </c>
      <c r="I22" s="38">
        <f>F22-P22</f>
        <v>195</v>
      </c>
      <c r="J22" s="39">
        <f>I22/H22</f>
        <v>3.2067094227923039E-2</v>
      </c>
      <c r="K22" s="79">
        <v>0.99007000000000001</v>
      </c>
      <c r="L22" s="47">
        <v>1</v>
      </c>
      <c r="M22" s="50">
        <v>14629</v>
      </c>
      <c r="N22" s="33">
        <v>12022</v>
      </c>
      <c r="O22" s="28">
        <v>1370</v>
      </c>
      <c r="P22" s="29">
        <v>1098</v>
      </c>
      <c r="Q22" s="12">
        <f t="shared" si="12"/>
        <v>9.1332556978872062E-2</v>
      </c>
      <c r="R22" s="34">
        <f>N22-X22</f>
        <v>3493</v>
      </c>
      <c r="S22" s="38">
        <f>P22-Z22</f>
        <v>280</v>
      </c>
      <c r="T22" s="39">
        <f>S22/R22</f>
        <v>8.0160320641282562E-2</v>
      </c>
      <c r="U22" s="47">
        <v>0.98132399000000003</v>
      </c>
      <c r="V22" s="47">
        <v>0.99934993000000005</v>
      </c>
      <c r="W22" s="50">
        <v>11797</v>
      </c>
      <c r="X22" s="27">
        <v>8529</v>
      </c>
      <c r="Y22" s="28">
        <v>1172</v>
      </c>
      <c r="Z22" s="29">
        <v>818</v>
      </c>
      <c r="AA22" s="12">
        <f t="shared" si="13"/>
        <v>9.5908078321022397E-2</v>
      </c>
      <c r="AB22" s="30">
        <f>X22-AH22</f>
        <v>3103</v>
      </c>
      <c r="AC22" s="38">
        <f>Z22-AJ22</f>
        <v>242</v>
      </c>
      <c r="AD22" s="39">
        <f>AC22/AB22</f>
        <v>7.7989042861746696E-2</v>
      </c>
      <c r="AE22" s="47">
        <v>0.97929390000000005</v>
      </c>
      <c r="AF22" s="47">
        <v>0.99999910000000003</v>
      </c>
      <c r="AG22" s="50">
        <v>9188</v>
      </c>
      <c r="AH22" s="27">
        <v>5426</v>
      </c>
      <c r="AI22" s="28">
        <v>1015</v>
      </c>
      <c r="AJ22" s="29">
        <v>576</v>
      </c>
      <c r="AK22" s="12">
        <f t="shared" si="14"/>
        <v>0.10615554736454109</v>
      </c>
      <c r="AL22" s="30">
        <f>AH22-AR22</f>
        <v>607</v>
      </c>
      <c r="AM22" s="38">
        <f>AJ22-AT22</f>
        <v>77</v>
      </c>
      <c r="AN22" s="39">
        <f>AM22/AL22</f>
        <v>0.12685337726523888</v>
      </c>
      <c r="AO22" s="134">
        <v>0.94694400000000001</v>
      </c>
      <c r="AP22" s="134">
        <v>0.1043283</v>
      </c>
      <c r="AQ22" s="50">
        <v>8562</v>
      </c>
      <c r="AR22" s="27">
        <v>4819</v>
      </c>
      <c r="AS22" s="28">
        <v>828</v>
      </c>
      <c r="AT22" s="29">
        <v>499</v>
      </c>
      <c r="AU22" s="12">
        <f t="shared" si="15"/>
        <v>0.10354845403610707</v>
      </c>
      <c r="AV22" s="30">
        <f>AR22-BB22</f>
        <v>2412</v>
      </c>
      <c r="AW22" s="38">
        <f>AT22-BD22</f>
        <v>185</v>
      </c>
      <c r="AX22" s="39">
        <f>AW22/AV22</f>
        <v>7.6699834162520727E-2</v>
      </c>
      <c r="AY22" s="42">
        <v>8.1845630000000006E-3</v>
      </c>
      <c r="AZ22" s="134">
        <v>0.99997360000000002</v>
      </c>
      <c r="BA22" s="50">
        <v>5449</v>
      </c>
      <c r="BB22" s="27">
        <v>2407</v>
      </c>
      <c r="BC22" s="28">
        <v>772</v>
      </c>
      <c r="BD22" s="29">
        <v>314</v>
      </c>
      <c r="BE22" s="12">
        <f t="shared" si="16"/>
        <v>0.13045284586622352</v>
      </c>
      <c r="BF22" s="30">
        <f>BB22-BL22</f>
        <v>1633</v>
      </c>
      <c r="BG22" s="38">
        <f>BD22-BN22</f>
        <v>177</v>
      </c>
      <c r="BH22" s="36">
        <f>BG22/BF22</f>
        <v>0.10838946723821188</v>
      </c>
      <c r="BI22" s="47">
        <v>0.98450800000000005</v>
      </c>
      <c r="BJ22" s="47">
        <v>0.99999899999999997</v>
      </c>
      <c r="BK22" s="50">
        <v>2566</v>
      </c>
      <c r="BL22" s="27">
        <v>774</v>
      </c>
      <c r="BM22" s="28">
        <v>547</v>
      </c>
      <c r="BN22" s="29">
        <v>137</v>
      </c>
      <c r="BO22" s="12">
        <f t="shared" si="17"/>
        <v>0.17700258397932817</v>
      </c>
      <c r="BP22" s="30">
        <f>BL22-BV22</f>
        <v>450</v>
      </c>
      <c r="BQ22" s="38">
        <f>BN22-BX22</f>
        <v>77</v>
      </c>
      <c r="BR22" s="36">
        <f>BQ22/BP22</f>
        <v>0.1711111111111111</v>
      </c>
      <c r="BS22" s="37">
        <v>0.99877159999999998</v>
      </c>
      <c r="BT22" s="79">
        <v>0.99391980000000002</v>
      </c>
      <c r="BU22" s="50">
        <v>1096</v>
      </c>
      <c r="BV22" s="27">
        <v>324</v>
      </c>
      <c r="BW22" s="28">
        <v>229</v>
      </c>
      <c r="BX22" s="29">
        <v>60</v>
      </c>
      <c r="BY22" s="12">
        <f t="shared" si="18"/>
        <v>0.18518518518518517</v>
      </c>
      <c r="BZ22" s="30">
        <f>BV22-CF22</f>
        <v>105</v>
      </c>
      <c r="CA22" s="38">
        <f>BX22-CH22</f>
        <v>15</v>
      </c>
      <c r="CB22" s="36">
        <f>CA22/BZ22</f>
        <v>0.14285714285714285</v>
      </c>
      <c r="CC22" s="79">
        <v>0.90991080000000002</v>
      </c>
      <c r="CD22" s="79">
        <v>0.97378730000000002</v>
      </c>
      <c r="CE22" s="50">
        <v>832</v>
      </c>
      <c r="CF22" s="27">
        <v>219</v>
      </c>
      <c r="CG22" s="28">
        <v>172</v>
      </c>
      <c r="CH22" s="29">
        <v>45</v>
      </c>
      <c r="CI22" s="12">
        <f t="shared" si="19"/>
        <v>0.20547945205479451</v>
      </c>
      <c r="CJ22" s="30">
        <f>CF22-CP22</f>
        <v>169</v>
      </c>
      <c r="CK22" s="38">
        <f>CH22-CR22</f>
        <v>28</v>
      </c>
      <c r="CL22" s="36">
        <f>CK22/CJ22</f>
        <v>0.16568047337278108</v>
      </c>
      <c r="CM22" s="79">
        <v>0.55628820000000001</v>
      </c>
      <c r="CN22" s="79">
        <v>0.94564429999999999</v>
      </c>
      <c r="CO22" s="50">
        <v>360</v>
      </c>
      <c r="CP22" s="27">
        <v>50</v>
      </c>
      <c r="CQ22" s="28">
        <v>121</v>
      </c>
      <c r="CR22" s="29">
        <v>17</v>
      </c>
      <c r="CS22" s="12">
        <f t="shared" si="20"/>
        <v>0.34</v>
      </c>
      <c r="CT22" s="62">
        <f>CP22-CZ22</f>
        <v>47</v>
      </c>
      <c r="CU22" s="38">
        <f>CR22-DB22</f>
        <v>15</v>
      </c>
      <c r="CV22" s="39">
        <f>CU22/CT22</f>
        <v>0.31914893617021278</v>
      </c>
      <c r="CW22" s="79">
        <v>0.53413849999999996</v>
      </c>
      <c r="CX22" s="79">
        <v>0.6620026</v>
      </c>
      <c r="CY22" s="26">
        <v>6</v>
      </c>
      <c r="CZ22" s="248">
        <v>3</v>
      </c>
      <c r="DA22" s="249">
        <v>3</v>
      </c>
      <c r="DB22" s="250">
        <v>2</v>
      </c>
      <c r="DC22" s="247">
        <f t="shared" si="21"/>
        <v>0.66666666666666663</v>
      </c>
      <c r="DD22" s="37">
        <v>0.5</v>
      </c>
    </row>
    <row r="23" spans="1:148" s="49" customFormat="1" x14ac:dyDescent="0.2">
      <c r="A23" s="292"/>
      <c r="B23" s="293"/>
      <c r="C23" s="109"/>
      <c r="D23" s="27"/>
      <c r="E23" s="45"/>
      <c r="F23" s="45"/>
      <c r="G23" s="46"/>
      <c r="H23" s="30"/>
      <c r="I23" s="45"/>
      <c r="J23" s="44"/>
      <c r="K23" s="79"/>
      <c r="L23" s="47"/>
      <c r="M23" s="45"/>
      <c r="N23" s="53"/>
      <c r="O23" s="45"/>
      <c r="P23" s="45"/>
      <c r="Q23" s="46"/>
      <c r="R23" s="53"/>
      <c r="S23" s="45"/>
      <c r="T23" s="44"/>
      <c r="U23" s="37"/>
      <c r="V23" s="37"/>
      <c r="W23" s="45"/>
      <c r="X23" s="45"/>
      <c r="Y23" s="45"/>
      <c r="Z23" s="45"/>
      <c r="AA23" s="46"/>
      <c r="AB23" s="45"/>
      <c r="AC23" s="45"/>
      <c r="AD23" s="44"/>
      <c r="AE23" s="47"/>
      <c r="AF23" s="47"/>
      <c r="AG23" s="45"/>
      <c r="AH23" s="45"/>
      <c r="AI23" s="45"/>
      <c r="AJ23" s="45"/>
      <c r="AK23" s="46"/>
      <c r="AL23" s="45"/>
      <c r="AM23" s="45"/>
      <c r="AN23" s="44"/>
      <c r="AO23" s="37"/>
      <c r="AP23" s="37"/>
      <c r="AQ23" s="45"/>
      <c r="AR23" s="45"/>
      <c r="AS23" s="45"/>
      <c r="AT23" s="45"/>
      <c r="AU23" s="46"/>
      <c r="AV23" s="45"/>
      <c r="AW23" s="45"/>
      <c r="AX23" s="44"/>
      <c r="AY23" s="40"/>
      <c r="AZ23" s="79"/>
      <c r="BA23" s="45"/>
      <c r="BB23" s="45"/>
      <c r="BC23" s="45"/>
      <c r="BD23" s="45"/>
      <c r="BE23" s="46"/>
      <c r="BF23" s="45"/>
      <c r="BG23" s="45"/>
      <c r="BH23" s="44"/>
      <c r="BI23" s="79"/>
      <c r="BJ23" s="79"/>
      <c r="BK23" s="45"/>
      <c r="BL23" s="45"/>
      <c r="BM23" s="45"/>
      <c r="BN23" s="45"/>
      <c r="BO23" s="46"/>
      <c r="BP23" s="45"/>
      <c r="BQ23" s="45"/>
      <c r="BR23" s="44"/>
      <c r="BS23" s="37"/>
      <c r="BT23" s="37"/>
      <c r="BU23" s="45"/>
      <c r="BV23" s="45"/>
      <c r="BW23" s="45"/>
      <c r="BX23" s="45"/>
      <c r="BY23" s="46"/>
      <c r="BZ23" s="45"/>
      <c r="CA23" s="45"/>
      <c r="CB23" s="44"/>
      <c r="CC23" s="37"/>
      <c r="CD23" s="37"/>
      <c r="CE23" s="45"/>
      <c r="CF23" s="45"/>
      <c r="CG23" s="45"/>
      <c r="CH23" s="45"/>
      <c r="CI23" s="46"/>
      <c r="CJ23" s="45"/>
      <c r="CK23" s="45"/>
      <c r="CL23" s="44"/>
      <c r="CM23" s="37"/>
      <c r="CN23" s="37"/>
      <c r="CO23" s="45"/>
      <c r="CP23" s="45"/>
      <c r="CQ23" s="45"/>
      <c r="CR23" s="45"/>
      <c r="CS23" s="46"/>
      <c r="CT23" s="37"/>
      <c r="CU23" s="45"/>
      <c r="CV23" s="44"/>
      <c r="CW23" s="79"/>
      <c r="CX23" s="79"/>
      <c r="CY23" s="124"/>
      <c r="CZ23" s="251"/>
      <c r="DA23" s="124"/>
      <c r="DB23" s="124"/>
      <c r="DC23" s="252"/>
      <c r="DD23" s="37"/>
    </row>
    <row r="24" spans="1:148" x14ac:dyDescent="0.2">
      <c r="A24" s="392" t="s">
        <v>8</v>
      </c>
      <c r="B24" s="281" t="s">
        <v>1</v>
      </c>
      <c r="C24" s="109">
        <v>39416</v>
      </c>
      <c r="D24" s="27">
        <v>37566</v>
      </c>
      <c r="E24" s="28">
        <v>4610</v>
      </c>
      <c r="F24" s="29">
        <v>4405</v>
      </c>
      <c r="G24" s="12">
        <f t="shared" si="11"/>
        <v>0.11726028855880317</v>
      </c>
      <c r="H24" s="30">
        <f>D24-N24</f>
        <v>9102</v>
      </c>
      <c r="I24" s="38">
        <f>F24-P24</f>
        <v>598</v>
      </c>
      <c r="J24" s="39">
        <f>I24/H24</f>
        <v>6.5699846187651068E-2</v>
      </c>
      <c r="K24" s="79">
        <v>0.21109030000000001</v>
      </c>
      <c r="L24" s="47">
        <v>0.999</v>
      </c>
      <c r="M24" s="50">
        <v>33423</v>
      </c>
      <c r="N24" s="27">
        <v>28464</v>
      </c>
      <c r="O24" s="28">
        <v>4511</v>
      </c>
      <c r="P24" s="29">
        <v>3807</v>
      </c>
      <c r="Q24" s="12">
        <f t="shared" si="12"/>
        <v>0.13374789207419899</v>
      </c>
      <c r="R24" s="34">
        <f>N24-X24</f>
        <v>8766</v>
      </c>
      <c r="S24" s="38">
        <f>P24-Z24</f>
        <v>1008</v>
      </c>
      <c r="T24" s="39">
        <f>S24/R24</f>
        <v>0.11498973305954825</v>
      </c>
      <c r="U24" s="47">
        <v>0.94289179999999995</v>
      </c>
      <c r="V24" s="37">
        <v>1</v>
      </c>
      <c r="W24" s="50">
        <v>27116</v>
      </c>
      <c r="X24" s="27">
        <v>19698</v>
      </c>
      <c r="Y24" s="28">
        <v>3869</v>
      </c>
      <c r="Z24" s="29">
        <v>2799</v>
      </c>
      <c r="AA24" s="12">
        <f t="shared" si="13"/>
        <v>0.14209564422784038</v>
      </c>
      <c r="AB24" s="30">
        <f>X24-AH24</f>
        <v>7200</v>
      </c>
      <c r="AC24" s="38">
        <f>Z24-AJ24</f>
        <v>719</v>
      </c>
      <c r="AD24" s="39">
        <f>AC24/AB24</f>
        <v>9.9861111111111109E-2</v>
      </c>
      <c r="AE24" s="47">
        <v>0.6815215</v>
      </c>
      <c r="AF24" s="47">
        <v>1</v>
      </c>
      <c r="AG24" s="50">
        <v>20115</v>
      </c>
      <c r="AH24" s="27">
        <v>12498</v>
      </c>
      <c r="AI24" s="28">
        <v>3249</v>
      </c>
      <c r="AJ24" s="29">
        <v>2080</v>
      </c>
      <c r="AK24" s="12">
        <f t="shared" si="14"/>
        <v>0.16642662826052168</v>
      </c>
      <c r="AL24" s="30">
        <f>AH24-AR24</f>
        <v>1907</v>
      </c>
      <c r="AM24" s="38">
        <f>AJ24-AT24</f>
        <v>387</v>
      </c>
      <c r="AN24" s="39">
        <f>AM24/AL24</f>
        <v>0.20293654955427373</v>
      </c>
      <c r="AO24" s="134">
        <v>8.0364709999999999E-3</v>
      </c>
      <c r="AP24" s="42">
        <v>2.9068829999999999E-7</v>
      </c>
      <c r="AQ24" s="50">
        <v>17657</v>
      </c>
      <c r="AR24" s="27">
        <v>10591</v>
      </c>
      <c r="AS24" s="28">
        <v>2513</v>
      </c>
      <c r="AT24" s="29">
        <v>1693</v>
      </c>
      <c r="AU24" s="12">
        <f t="shared" si="15"/>
        <v>0.15985270512699462</v>
      </c>
      <c r="AV24" s="30">
        <f>AR24-BB24</f>
        <v>4005</v>
      </c>
      <c r="AW24" s="38">
        <f>AT24-BD24</f>
        <v>512</v>
      </c>
      <c r="AX24" s="39">
        <f>AW24/AV24</f>
        <v>0.12784019975031211</v>
      </c>
      <c r="AY24" s="40">
        <v>9.794011E-17</v>
      </c>
      <c r="AZ24" s="79">
        <v>0.99880829999999998</v>
      </c>
      <c r="BA24" s="50">
        <v>12826</v>
      </c>
      <c r="BB24" s="27">
        <v>6586</v>
      </c>
      <c r="BC24" s="28">
        <v>2441</v>
      </c>
      <c r="BD24" s="29">
        <v>1181</v>
      </c>
      <c r="BE24" s="12">
        <f t="shared" si="16"/>
        <v>0.17931976920740966</v>
      </c>
      <c r="BF24" s="30">
        <f>BB24-BL24</f>
        <v>2748</v>
      </c>
      <c r="BG24" s="38">
        <f>BD24-BN24</f>
        <v>443</v>
      </c>
      <c r="BH24" s="36">
        <f>BG24/BF24</f>
        <v>0.16120815138282388</v>
      </c>
      <c r="BI24" s="47">
        <v>0.99948349999999997</v>
      </c>
      <c r="BJ24" s="47">
        <v>0.9999962</v>
      </c>
      <c r="BK24" s="50">
        <v>8973</v>
      </c>
      <c r="BL24" s="27">
        <v>3838</v>
      </c>
      <c r="BM24" s="28">
        <v>1626</v>
      </c>
      <c r="BN24" s="29">
        <v>738</v>
      </c>
      <c r="BO24" s="12">
        <f t="shared" si="17"/>
        <v>0.19228764981761334</v>
      </c>
      <c r="BP24" s="30">
        <f>BL24-BV24</f>
        <v>1656</v>
      </c>
      <c r="BQ24" s="38">
        <f>BN24-BX24</f>
        <v>265</v>
      </c>
      <c r="BR24" s="36">
        <f>BQ24/BP24</f>
        <v>0.16002415458937197</v>
      </c>
      <c r="BS24" s="79">
        <v>1.0062059999999999E-2</v>
      </c>
      <c r="BT24" s="37">
        <v>0.99447099999999999</v>
      </c>
      <c r="BU24" s="50">
        <v>5960</v>
      </c>
      <c r="BV24" s="27">
        <v>2182</v>
      </c>
      <c r="BW24" s="28">
        <v>1016</v>
      </c>
      <c r="BX24" s="29">
        <v>473</v>
      </c>
      <c r="BY24" s="12">
        <f t="shared" si="18"/>
        <v>0.21677360219981667</v>
      </c>
      <c r="BZ24" s="30">
        <f>BV24-CF24</f>
        <v>373</v>
      </c>
      <c r="CA24" s="38">
        <f>BX24-CH24</f>
        <v>61</v>
      </c>
      <c r="CB24" s="36">
        <f>CA24/BZ24</f>
        <v>0.16353887399463807</v>
      </c>
      <c r="CC24" s="40">
        <v>5.9716719999999997E-13</v>
      </c>
      <c r="CD24" s="79">
        <v>0.66551530000000003</v>
      </c>
      <c r="CE24" s="50">
        <v>5287</v>
      </c>
      <c r="CF24" s="27">
        <v>1809</v>
      </c>
      <c r="CG24" s="28">
        <v>906</v>
      </c>
      <c r="CH24" s="29">
        <v>412</v>
      </c>
      <c r="CI24" s="12">
        <f t="shared" si="19"/>
        <v>0.22775013819789938</v>
      </c>
      <c r="CJ24" s="30">
        <f>CF24-CP24</f>
        <v>1210</v>
      </c>
      <c r="CK24" s="38">
        <f>CH24-CR24</f>
        <v>202</v>
      </c>
      <c r="CL24" s="36">
        <f>CK24/CJ24</f>
        <v>0.16694214876033059</v>
      </c>
      <c r="CM24" s="40">
        <v>7.6210889999999995E-15</v>
      </c>
      <c r="CN24" s="79">
        <v>0.69299679999999997</v>
      </c>
      <c r="CO24" s="50">
        <v>2445</v>
      </c>
      <c r="CP24" s="27">
        <v>599</v>
      </c>
      <c r="CQ24" s="28">
        <v>795</v>
      </c>
      <c r="CR24" s="29">
        <v>210</v>
      </c>
      <c r="CS24" s="12">
        <f t="shared" si="20"/>
        <v>0.35058430717863104</v>
      </c>
      <c r="CT24" s="62">
        <f>CP24-CZ24</f>
        <v>300</v>
      </c>
      <c r="CU24" s="38">
        <f>CR24-DB24</f>
        <v>105</v>
      </c>
      <c r="CV24" s="39">
        <f>CU24/CT24</f>
        <v>0.35</v>
      </c>
      <c r="CW24" s="79">
        <v>7.0018440000000001E-2</v>
      </c>
      <c r="CX24" s="79">
        <v>0.20203579999999999</v>
      </c>
      <c r="CY24" s="26">
        <v>1570</v>
      </c>
      <c r="CZ24" s="248">
        <v>299</v>
      </c>
      <c r="DA24" s="249">
        <v>378</v>
      </c>
      <c r="DB24" s="250">
        <v>105</v>
      </c>
      <c r="DC24" s="247">
        <f t="shared" si="21"/>
        <v>0.3511705685618729</v>
      </c>
      <c r="DD24" s="40">
        <v>1.0546560000000001E-6</v>
      </c>
    </row>
    <row r="25" spans="1:148" x14ac:dyDescent="0.2">
      <c r="A25" s="392"/>
      <c r="B25" s="281" t="s">
        <v>0</v>
      </c>
      <c r="C25" s="109">
        <v>74873</v>
      </c>
      <c r="D25" s="27">
        <v>69378</v>
      </c>
      <c r="E25" s="28">
        <v>5434</v>
      </c>
      <c r="F25" s="29">
        <v>5071</v>
      </c>
      <c r="G25" s="12">
        <f t="shared" si="11"/>
        <v>7.3092334745884863E-2</v>
      </c>
      <c r="H25" s="30">
        <f>D25-N25</f>
        <v>22036</v>
      </c>
      <c r="I25" s="38">
        <f>F25-P25</f>
        <v>814</v>
      </c>
      <c r="J25" s="39">
        <f>I25/H25</f>
        <v>3.6939553457977857E-2</v>
      </c>
      <c r="K25" s="79">
        <v>2.7095899999999999E-2</v>
      </c>
      <c r="L25" s="47">
        <v>0.99999000000000005</v>
      </c>
      <c r="M25" s="50">
        <v>59006</v>
      </c>
      <c r="N25" s="33">
        <v>47342</v>
      </c>
      <c r="O25" s="28">
        <v>5229</v>
      </c>
      <c r="P25" s="29">
        <v>4257</v>
      </c>
      <c r="Q25" s="12">
        <f t="shared" si="12"/>
        <v>8.9920155464492418E-2</v>
      </c>
      <c r="R25" s="34">
        <f>N25-X25</f>
        <v>19078</v>
      </c>
      <c r="S25" s="38">
        <f>P25-Z25</f>
        <v>1444</v>
      </c>
      <c r="T25" s="39">
        <f>S25/R25</f>
        <v>7.5689275605409376E-2</v>
      </c>
      <c r="U25" s="79">
        <v>1.266786E-2</v>
      </c>
      <c r="V25" s="37">
        <v>1</v>
      </c>
      <c r="W25" s="50">
        <v>46679</v>
      </c>
      <c r="X25" s="27">
        <v>28264</v>
      </c>
      <c r="Y25" s="28">
        <v>4451</v>
      </c>
      <c r="Z25" s="29">
        <v>2813</v>
      </c>
      <c r="AA25" s="12">
        <f t="shared" si="13"/>
        <v>9.9525898669685822E-2</v>
      </c>
      <c r="AB25" s="30">
        <f>X25-AH25</f>
        <v>11111</v>
      </c>
      <c r="AC25" s="38">
        <f>Z25-AJ25</f>
        <v>846</v>
      </c>
      <c r="AD25" s="39">
        <f>AC25/AB25</f>
        <v>7.6140761407614083E-2</v>
      </c>
      <c r="AE25" s="40">
        <v>7.2445394E-5</v>
      </c>
      <c r="AF25" s="47">
        <v>1</v>
      </c>
      <c r="AG25" s="50">
        <v>34342</v>
      </c>
      <c r="AH25" s="27">
        <v>17153</v>
      </c>
      <c r="AI25" s="28">
        <v>3583</v>
      </c>
      <c r="AJ25" s="29">
        <v>1967</v>
      </c>
      <c r="AK25" s="12">
        <f t="shared" si="14"/>
        <v>0.11467381799102198</v>
      </c>
      <c r="AL25" s="30">
        <f>AH25-AR25</f>
        <v>2780</v>
      </c>
      <c r="AM25" s="38">
        <f>AJ25-AT25</f>
        <v>311</v>
      </c>
      <c r="AN25" s="39">
        <f>AM25/AL25</f>
        <v>0.11187050359712231</v>
      </c>
      <c r="AO25" s="42">
        <v>2.0667410000000001E-10</v>
      </c>
      <c r="AP25" s="134">
        <v>9.3641989999999994E-2</v>
      </c>
      <c r="AQ25" s="50">
        <v>30003</v>
      </c>
      <c r="AR25" s="27">
        <v>14373</v>
      </c>
      <c r="AS25" s="28">
        <v>2740</v>
      </c>
      <c r="AT25" s="29">
        <v>1656</v>
      </c>
      <c r="AU25" s="12">
        <f t="shared" si="15"/>
        <v>0.11521603005635567</v>
      </c>
      <c r="AV25" s="30">
        <f>AR25-BB25</f>
        <v>6694</v>
      </c>
      <c r="AW25" s="38">
        <f>AT25-BD25</f>
        <v>580</v>
      </c>
      <c r="AX25" s="39">
        <f>AW25/AV25</f>
        <v>8.6644756498356734E-2</v>
      </c>
      <c r="AY25" s="40">
        <v>1.7155089999999999E-43</v>
      </c>
      <c r="AZ25" s="79">
        <v>0.93785099999999999</v>
      </c>
      <c r="BA25" s="50">
        <v>19826</v>
      </c>
      <c r="BB25" s="27">
        <v>7679</v>
      </c>
      <c r="BC25" s="28">
        <v>2593</v>
      </c>
      <c r="BD25" s="29">
        <v>1076</v>
      </c>
      <c r="BE25" s="12">
        <f t="shared" si="16"/>
        <v>0.1401224117723662</v>
      </c>
      <c r="BF25" s="30">
        <f>BB25-BL25</f>
        <v>5028</v>
      </c>
      <c r="BG25" s="38">
        <f>BD25-BN25</f>
        <v>559</v>
      </c>
      <c r="BH25" s="36">
        <f>BG25/BF25</f>
        <v>0.11117740652346858</v>
      </c>
      <c r="BI25" s="40">
        <v>1.0760629999999999E-3</v>
      </c>
      <c r="BJ25" s="47">
        <v>0.99999939999999998</v>
      </c>
      <c r="BK25" s="50">
        <v>10177</v>
      </c>
      <c r="BL25" s="27">
        <v>2651</v>
      </c>
      <c r="BM25" s="28">
        <v>1700</v>
      </c>
      <c r="BN25" s="29">
        <v>517</v>
      </c>
      <c r="BO25" s="12">
        <f t="shared" si="17"/>
        <v>0.19502074688796681</v>
      </c>
      <c r="BP25" s="30">
        <f>BL25-BV25</f>
        <v>1336</v>
      </c>
      <c r="BQ25" s="38">
        <f>BN25-BX25</f>
        <v>246</v>
      </c>
      <c r="BR25" s="36">
        <f>BQ25/BP25</f>
        <v>0.18413173652694612</v>
      </c>
      <c r="BS25" s="40">
        <v>5.2866429999999996E-6</v>
      </c>
      <c r="BT25" s="79">
        <v>4.0538280000000003E-2</v>
      </c>
      <c r="BU25" s="50">
        <v>6371</v>
      </c>
      <c r="BV25" s="27">
        <v>1315</v>
      </c>
      <c r="BW25" s="28">
        <v>766</v>
      </c>
      <c r="BX25" s="29">
        <v>271</v>
      </c>
      <c r="BY25" s="12">
        <f t="shared" si="18"/>
        <v>0.20608365019011407</v>
      </c>
      <c r="BZ25" s="30">
        <f>BV25-CF25</f>
        <v>374</v>
      </c>
      <c r="CA25" s="38">
        <f>BX25-CH25</f>
        <v>57</v>
      </c>
      <c r="CB25" s="36">
        <f>CA25/BZ25</f>
        <v>0.15240641711229946</v>
      </c>
      <c r="CC25" s="40">
        <v>2.5730060000000002E-24</v>
      </c>
      <c r="CD25" s="79">
        <v>3.226971E-2</v>
      </c>
      <c r="CE25" s="50">
        <v>5328</v>
      </c>
      <c r="CF25" s="27">
        <v>941</v>
      </c>
      <c r="CG25" s="28">
        <v>632</v>
      </c>
      <c r="CH25" s="29">
        <v>214</v>
      </c>
      <c r="CI25" s="12">
        <f t="shared" si="19"/>
        <v>0.22741764080765142</v>
      </c>
      <c r="CJ25" s="30">
        <f>CF25-CP25</f>
        <v>862</v>
      </c>
      <c r="CK25" s="38">
        <f>CH25-CR25</f>
        <v>175</v>
      </c>
      <c r="CL25" s="36">
        <f>CK25/CJ25</f>
        <v>0.20301624129930396</v>
      </c>
      <c r="CM25" s="40">
        <v>3.9445330000000001E-26</v>
      </c>
      <c r="CN25" s="40">
        <v>2.9655880000000001E-15</v>
      </c>
      <c r="CO25" s="50">
        <v>743</v>
      </c>
      <c r="CP25" s="27">
        <v>79</v>
      </c>
      <c r="CQ25" s="28">
        <v>483</v>
      </c>
      <c r="CR25" s="29">
        <v>39</v>
      </c>
      <c r="CS25" s="12">
        <f t="shared" si="20"/>
        <v>0.49367088607594939</v>
      </c>
      <c r="CT25" s="62">
        <f>CP25-CZ25</f>
        <v>49</v>
      </c>
      <c r="CU25" s="38">
        <f>CR25-DB25</f>
        <v>29</v>
      </c>
      <c r="CV25" s="39">
        <f>CU25/CT25</f>
        <v>0.59183673469387754</v>
      </c>
      <c r="CW25" s="79">
        <v>0.99917109999999998</v>
      </c>
      <c r="CX25" s="79">
        <v>0.97383869999999995</v>
      </c>
      <c r="CY25" s="26">
        <v>393</v>
      </c>
      <c r="CZ25" s="248">
        <v>30</v>
      </c>
      <c r="DA25" s="249">
        <v>113</v>
      </c>
      <c r="DB25" s="250">
        <v>10</v>
      </c>
      <c r="DC25" s="247">
        <f t="shared" si="21"/>
        <v>0.33333333333333331</v>
      </c>
      <c r="DD25" s="79">
        <v>0.348970532</v>
      </c>
    </row>
    <row r="26" spans="1:148" s="49" customFormat="1" x14ac:dyDescent="0.2">
      <c r="A26" s="6"/>
      <c r="B26" s="51"/>
      <c r="C26" s="55"/>
      <c r="D26" s="55"/>
      <c r="E26" s="55"/>
      <c r="F26" s="64"/>
      <c r="G26" s="64"/>
      <c r="H26" s="55"/>
      <c r="I26" s="55"/>
      <c r="J26" s="55"/>
      <c r="K26" s="55"/>
      <c r="L26" s="57"/>
      <c r="M26" s="58"/>
      <c r="N26" s="58"/>
      <c r="O26" s="58"/>
      <c r="P26" s="55"/>
      <c r="Q26" s="55"/>
      <c r="R26" s="59"/>
      <c r="S26" s="59"/>
      <c r="T26" s="59"/>
      <c r="U26" s="57"/>
      <c r="Y26" s="55"/>
      <c r="Z26" s="55"/>
      <c r="AA26" s="55"/>
      <c r="AB26" s="55"/>
      <c r="AC26" s="55"/>
      <c r="AD26" s="57"/>
      <c r="AH26" s="55"/>
      <c r="AI26" s="55"/>
      <c r="AJ26" s="55"/>
      <c r="AK26" s="55"/>
      <c r="AL26" s="55"/>
      <c r="AM26" s="57"/>
      <c r="AQ26" s="55"/>
      <c r="AR26" s="55"/>
      <c r="AS26" s="55"/>
      <c r="AT26" s="55"/>
      <c r="AU26" s="55"/>
      <c r="AV26" s="57"/>
      <c r="AZ26" s="55"/>
      <c r="BA26" s="55"/>
      <c r="BB26" s="55"/>
      <c r="BC26" s="55"/>
      <c r="BD26" s="57"/>
      <c r="BE26" s="57"/>
      <c r="BJ26" s="55"/>
      <c r="BK26" s="55"/>
      <c r="BL26" s="55"/>
      <c r="BM26" s="57"/>
      <c r="BN26" s="58"/>
      <c r="BO26" s="58"/>
      <c r="BT26" s="55"/>
      <c r="BU26" s="55"/>
      <c r="BV26" s="57"/>
      <c r="BW26" s="55"/>
      <c r="BX26" s="55"/>
      <c r="BY26" s="55"/>
      <c r="BZ26" s="58"/>
      <c r="CA26" s="58"/>
      <c r="CB26" s="58"/>
      <c r="CC26" s="55"/>
      <c r="CD26" s="55"/>
      <c r="CE26" s="57"/>
      <c r="CF26" s="55"/>
      <c r="CG26" s="55"/>
      <c r="CH26" s="58"/>
      <c r="CI26" s="58"/>
      <c r="CJ26" s="58"/>
      <c r="CK26" s="58"/>
      <c r="CL26" s="55"/>
      <c r="CM26" s="55"/>
      <c r="CN26" s="57"/>
      <c r="CO26" s="55"/>
      <c r="CP26" s="55"/>
      <c r="CQ26" s="58"/>
      <c r="CR26" s="58"/>
      <c r="CS26" s="58"/>
      <c r="CT26" s="57"/>
      <c r="CU26" s="55"/>
      <c r="CV26" s="55"/>
      <c r="CW26" s="118"/>
      <c r="CX26" s="118"/>
    </row>
    <row r="27" spans="1:148" s="49" customFormat="1" x14ac:dyDescent="0.2">
      <c r="A27" s="5"/>
      <c r="D27" s="55"/>
      <c r="E27" s="55"/>
      <c r="H27" s="117"/>
      <c r="I27" s="117"/>
      <c r="J27" s="117"/>
      <c r="K27" s="117"/>
      <c r="L27" s="113"/>
      <c r="M27" s="55"/>
      <c r="O27" s="55"/>
      <c r="R27" s="55"/>
      <c r="S27" s="55"/>
      <c r="T27" s="58"/>
      <c r="U27" s="57"/>
      <c r="W27" s="55"/>
      <c r="Y27" s="43"/>
      <c r="AD27" s="113"/>
      <c r="AF27" s="55"/>
      <c r="AI27" s="55"/>
      <c r="AJ27" s="58"/>
      <c r="AK27" s="58"/>
      <c r="AL27" s="58"/>
      <c r="AM27" s="57"/>
      <c r="AQ27" s="55"/>
      <c r="AV27" s="113"/>
      <c r="AZ27" s="43"/>
      <c r="BA27" s="43"/>
      <c r="BD27" s="113"/>
      <c r="BE27" s="113"/>
      <c r="BM27" s="113"/>
      <c r="BN27" s="43"/>
      <c r="BO27" s="43"/>
      <c r="BV27" s="113"/>
      <c r="CD27" s="43"/>
      <c r="CE27" s="113"/>
      <c r="CF27" s="43"/>
      <c r="CM27" s="55"/>
      <c r="CN27" s="113"/>
      <c r="CQ27" s="43"/>
      <c r="CR27" s="43"/>
      <c r="CS27" s="43"/>
      <c r="CT27" s="113"/>
      <c r="CU27" s="43"/>
      <c r="CW27" s="113"/>
      <c r="DB27" s="43"/>
      <c r="DC27" s="43"/>
      <c r="DD27" s="43"/>
      <c r="DL27" s="43"/>
      <c r="DM27" s="43"/>
      <c r="DT27" s="43"/>
      <c r="DU27" s="43"/>
      <c r="DV27" s="118"/>
      <c r="EB27" s="43"/>
      <c r="EC27" s="43"/>
      <c r="ED27" s="118"/>
      <c r="EH27" s="43"/>
      <c r="EI27" s="43"/>
    </row>
    <row r="28" spans="1:148" s="179" customFormat="1" ht="30" customHeight="1" x14ac:dyDescent="0.2">
      <c r="C28" s="384" t="s">
        <v>33</v>
      </c>
      <c r="D28" s="385"/>
      <c r="E28" s="385"/>
      <c r="F28" s="385"/>
      <c r="G28" s="385"/>
      <c r="H28" s="385"/>
      <c r="I28" s="385"/>
      <c r="J28" s="385"/>
      <c r="K28" s="385"/>
      <c r="L28" s="387"/>
      <c r="M28" s="384" t="s">
        <v>10</v>
      </c>
      <c r="N28" s="385"/>
      <c r="O28" s="385"/>
      <c r="P28" s="385"/>
      <c r="Q28" s="385"/>
      <c r="R28" s="385"/>
      <c r="S28" s="385"/>
      <c r="T28" s="385"/>
      <c r="U28" s="385"/>
      <c r="V28" s="387"/>
      <c r="W28" s="384" t="s">
        <v>22</v>
      </c>
      <c r="X28" s="385"/>
      <c r="Y28" s="385"/>
      <c r="Z28" s="385"/>
      <c r="AA28" s="385"/>
      <c r="AB28" s="385"/>
      <c r="AC28" s="385"/>
      <c r="AD28" s="385"/>
      <c r="AE28" s="385"/>
      <c r="AF28" s="387"/>
      <c r="AG28" s="384" t="s">
        <v>12</v>
      </c>
      <c r="AH28" s="385"/>
      <c r="AI28" s="385"/>
      <c r="AJ28" s="385"/>
      <c r="AK28" s="385"/>
      <c r="AL28" s="385"/>
      <c r="AM28" s="385"/>
      <c r="AN28" s="385"/>
      <c r="AO28" s="385"/>
      <c r="AP28" s="387"/>
      <c r="AQ28" s="384" t="s">
        <v>13</v>
      </c>
      <c r="AR28" s="385"/>
      <c r="AS28" s="385"/>
      <c r="AT28" s="385"/>
      <c r="AU28" s="385"/>
      <c r="AV28" s="385"/>
      <c r="AW28" s="385"/>
      <c r="AX28" s="385"/>
      <c r="AY28" s="385"/>
      <c r="AZ28" s="387"/>
      <c r="BA28" s="384" t="s">
        <v>14</v>
      </c>
      <c r="BB28" s="385"/>
      <c r="BC28" s="385"/>
      <c r="BD28" s="385"/>
      <c r="BE28" s="385"/>
      <c r="BF28" s="385"/>
      <c r="BG28" s="385"/>
      <c r="BH28" s="385"/>
      <c r="BI28" s="385"/>
      <c r="BJ28" s="387"/>
      <c r="BK28" s="384" t="s">
        <v>15</v>
      </c>
      <c r="BL28" s="385"/>
      <c r="BM28" s="385"/>
      <c r="BN28" s="385"/>
      <c r="BO28" s="385"/>
      <c r="BP28" s="385"/>
      <c r="BQ28" s="385"/>
      <c r="BR28" s="385"/>
      <c r="BS28" s="385"/>
      <c r="BT28" s="387"/>
      <c r="BU28" s="384" t="s">
        <v>23</v>
      </c>
      <c r="BV28" s="385"/>
      <c r="BW28" s="385"/>
      <c r="BX28" s="385"/>
      <c r="BY28" s="385"/>
      <c r="BZ28" s="385"/>
      <c r="CA28" s="385"/>
      <c r="CB28" s="385"/>
      <c r="CC28" s="385"/>
      <c r="CD28" s="387"/>
      <c r="CE28" s="388" t="s">
        <v>24</v>
      </c>
      <c r="CF28" s="389"/>
      <c r="CG28" s="389"/>
      <c r="CH28" s="389"/>
      <c r="CI28" s="389"/>
      <c r="CJ28" s="389"/>
      <c r="CK28" s="389"/>
      <c r="CL28" s="389"/>
      <c r="CM28" s="389"/>
      <c r="CN28" s="390"/>
      <c r="CO28" s="384" t="s">
        <v>18</v>
      </c>
      <c r="CP28" s="385"/>
      <c r="CQ28" s="385"/>
      <c r="CR28" s="385"/>
      <c r="CS28" s="385"/>
      <c r="CT28" s="385"/>
      <c r="CU28" s="385"/>
      <c r="CV28" s="385"/>
      <c r="CW28" s="385"/>
      <c r="CX28" s="387"/>
      <c r="CY28" s="384" t="s">
        <v>19</v>
      </c>
      <c r="CZ28" s="385"/>
      <c r="DA28" s="385"/>
      <c r="DB28" s="385"/>
      <c r="DC28" s="385"/>
      <c r="DD28" s="385"/>
      <c r="DE28" s="180"/>
      <c r="DL28" s="181"/>
      <c r="DM28" s="181"/>
      <c r="DU28" s="181"/>
      <c r="DV28" s="181"/>
      <c r="EC28" s="181"/>
      <c r="ED28" s="181"/>
      <c r="EE28" s="182"/>
      <c r="EK28" s="181"/>
      <c r="EL28" s="181"/>
      <c r="EM28" s="182"/>
      <c r="EQ28" s="181"/>
      <c r="ER28" s="181"/>
    </row>
    <row r="29" spans="1:148" s="49" customFormat="1" ht="114" customHeight="1" x14ac:dyDescent="0.2">
      <c r="A29" s="7" t="s">
        <v>73</v>
      </c>
      <c r="B29" s="287"/>
      <c r="C29" s="279" t="s">
        <v>56</v>
      </c>
      <c r="D29" s="7" t="s">
        <v>55</v>
      </c>
      <c r="E29" s="7" t="s">
        <v>52</v>
      </c>
      <c r="F29" s="103" t="s">
        <v>53</v>
      </c>
      <c r="G29" s="104" t="s">
        <v>54</v>
      </c>
      <c r="H29" s="104" t="s">
        <v>57</v>
      </c>
      <c r="I29" s="103" t="s">
        <v>58</v>
      </c>
      <c r="J29" s="104" t="s">
        <v>59</v>
      </c>
      <c r="K29" s="65" t="s">
        <v>35</v>
      </c>
      <c r="L29" s="65" t="s">
        <v>60</v>
      </c>
      <c r="M29" s="7" t="s">
        <v>56</v>
      </c>
      <c r="N29" s="7" t="s">
        <v>55</v>
      </c>
      <c r="O29" s="7" t="s">
        <v>52</v>
      </c>
      <c r="P29" s="103" t="s">
        <v>53</v>
      </c>
      <c r="Q29" s="104" t="s">
        <v>54</v>
      </c>
      <c r="R29" s="104" t="s">
        <v>57</v>
      </c>
      <c r="S29" s="103" t="s">
        <v>58</v>
      </c>
      <c r="T29" s="104" t="s">
        <v>59</v>
      </c>
      <c r="U29" s="65" t="s">
        <v>35</v>
      </c>
      <c r="V29" s="65" t="s">
        <v>60</v>
      </c>
      <c r="W29" s="7" t="s">
        <v>56</v>
      </c>
      <c r="X29" s="7" t="s">
        <v>55</v>
      </c>
      <c r="Y29" s="7" t="s">
        <v>52</v>
      </c>
      <c r="Z29" s="103" t="s">
        <v>53</v>
      </c>
      <c r="AA29" s="104" t="s">
        <v>54</v>
      </c>
      <c r="AB29" s="104" t="s">
        <v>57</v>
      </c>
      <c r="AC29" s="103" t="s">
        <v>58</v>
      </c>
      <c r="AD29" s="104" t="s">
        <v>59</v>
      </c>
      <c r="AE29" s="65" t="s">
        <v>35</v>
      </c>
      <c r="AF29" s="65" t="s">
        <v>60</v>
      </c>
      <c r="AG29" s="7" t="s">
        <v>56</v>
      </c>
      <c r="AH29" s="7" t="s">
        <v>55</v>
      </c>
      <c r="AI29" s="7" t="s">
        <v>52</v>
      </c>
      <c r="AJ29" s="103" t="s">
        <v>53</v>
      </c>
      <c r="AK29" s="104" t="s">
        <v>54</v>
      </c>
      <c r="AL29" s="104" t="s">
        <v>57</v>
      </c>
      <c r="AM29" s="103" t="s">
        <v>58</v>
      </c>
      <c r="AN29" s="104" t="s">
        <v>59</v>
      </c>
      <c r="AO29" s="65" t="s">
        <v>35</v>
      </c>
      <c r="AP29" s="65" t="s">
        <v>60</v>
      </c>
      <c r="AQ29" s="7" t="s">
        <v>56</v>
      </c>
      <c r="AR29" s="7" t="s">
        <v>55</v>
      </c>
      <c r="AS29" s="7" t="s">
        <v>52</v>
      </c>
      <c r="AT29" s="103" t="s">
        <v>53</v>
      </c>
      <c r="AU29" s="104" t="s">
        <v>54</v>
      </c>
      <c r="AV29" s="104" t="s">
        <v>57</v>
      </c>
      <c r="AW29" s="103" t="s">
        <v>58</v>
      </c>
      <c r="AX29" s="104" t="s">
        <v>59</v>
      </c>
      <c r="AY29" s="65" t="s">
        <v>35</v>
      </c>
      <c r="AZ29" s="65" t="s">
        <v>60</v>
      </c>
      <c r="BA29" s="7" t="s">
        <v>56</v>
      </c>
      <c r="BB29" s="7" t="s">
        <v>55</v>
      </c>
      <c r="BC29" s="7" t="s">
        <v>52</v>
      </c>
      <c r="BD29" s="103" t="s">
        <v>53</v>
      </c>
      <c r="BE29" s="104" t="s">
        <v>54</v>
      </c>
      <c r="BF29" s="104" t="s">
        <v>57</v>
      </c>
      <c r="BG29" s="103" t="s">
        <v>58</v>
      </c>
      <c r="BH29" s="104" t="s">
        <v>59</v>
      </c>
      <c r="BI29" s="65" t="s">
        <v>35</v>
      </c>
      <c r="BJ29" s="65" t="s">
        <v>60</v>
      </c>
      <c r="BK29" s="7" t="s">
        <v>56</v>
      </c>
      <c r="BL29" s="7" t="s">
        <v>55</v>
      </c>
      <c r="BM29" s="7" t="s">
        <v>52</v>
      </c>
      <c r="BN29" s="103" t="s">
        <v>53</v>
      </c>
      <c r="BO29" s="104" t="s">
        <v>54</v>
      </c>
      <c r="BP29" s="104" t="s">
        <v>57</v>
      </c>
      <c r="BQ29" s="103" t="s">
        <v>58</v>
      </c>
      <c r="BR29" s="104" t="s">
        <v>59</v>
      </c>
      <c r="BS29" s="65" t="s">
        <v>35</v>
      </c>
      <c r="BT29" s="65" t="s">
        <v>60</v>
      </c>
      <c r="BU29" s="7" t="s">
        <v>56</v>
      </c>
      <c r="BV29" s="7" t="s">
        <v>55</v>
      </c>
      <c r="BW29" s="7" t="s">
        <v>52</v>
      </c>
      <c r="BX29" s="103" t="s">
        <v>53</v>
      </c>
      <c r="BY29" s="104" t="s">
        <v>54</v>
      </c>
      <c r="BZ29" s="104" t="s">
        <v>57</v>
      </c>
      <c r="CA29" s="103" t="s">
        <v>58</v>
      </c>
      <c r="CB29" s="104" t="s">
        <v>59</v>
      </c>
      <c r="CC29" s="65" t="s">
        <v>35</v>
      </c>
      <c r="CD29" s="65" t="s">
        <v>60</v>
      </c>
      <c r="CE29" s="7" t="s">
        <v>56</v>
      </c>
      <c r="CF29" s="7" t="s">
        <v>55</v>
      </c>
      <c r="CG29" s="7" t="s">
        <v>52</v>
      </c>
      <c r="CH29" s="103" t="s">
        <v>53</v>
      </c>
      <c r="CI29" s="104" t="s">
        <v>54</v>
      </c>
      <c r="CJ29" s="104" t="s">
        <v>57</v>
      </c>
      <c r="CK29" s="103" t="s">
        <v>58</v>
      </c>
      <c r="CL29" s="104" t="s">
        <v>59</v>
      </c>
      <c r="CM29" s="65" t="s">
        <v>35</v>
      </c>
      <c r="CN29" s="65" t="s">
        <v>60</v>
      </c>
      <c r="CO29" s="7" t="s">
        <v>56</v>
      </c>
      <c r="CP29" s="7" t="s">
        <v>55</v>
      </c>
      <c r="CQ29" s="7" t="s">
        <v>52</v>
      </c>
      <c r="CR29" s="103" t="s">
        <v>53</v>
      </c>
      <c r="CS29" s="104" t="s">
        <v>54</v>
      </c>
      <c r="CT29" s="104" t="s">
        <v>57</v>
      </c>
      <c r="CU29" s="103" t="s">
        <v>58</v>
      </c>
      <c r="CV29" s="104" t="s">
        <v>59</v>
      </c>
      <c r="CW29" s="65" t="s">
        <v>35</v>
      </c>
      <c r="CX29" s="65" t="s">
        <v>60</v>
      </c>
      <c r="CY29" s="7" t="s">
        <v>56</v>
      </c>
      <c r="CZ29" s="7" t="s">
        <v>55</v>
      </c>
      <c r="DA29" s="7" t="s">
        <v>52</v>
      </c>
      <c r="DB29" s="103" t="s">
        <v>53</v>
      </c>
      <c r="DC29" s="104" t="s">
        <v>54</v>
      </c>
      <c r="DD29" s="238" t="s">
        <v>35</v>
      </c>
      <c r="DE29" s="113"/>
      <c r="DL29" s="43"/>
      <c r="DM29" s="43"/>
      <c r="DU29" s="43"/>
      <c r="DV29" s="43"/>
      <c r="EC29" s="43"/>
      <c r="ED29" s="43"/>
      <c r="EE29" s="118"/>
      <c r="EK29" s="43"/>
      <c r="EL29" s="43"/>
      <c r="EM29" s="118"/>
      <c r="EQ29" s="43"/>
      <c r="ER29" s="43"/>
    </row>
    <row r="30" spans="1:148" s="117" customFormat="1" x14ac:dyDescent="0.2">
      <c r="A30" s="386" t="s">
        <v>2</v>
      </c>
      <c r="B30" s="281" t="s">
        <v>1</v>
      </c>
      <c r="C30" s="285">
        <v>4163</v>
      </c>
      <c r="D30" s="66">
        <v>4057</v>
      </c>
      <c r="E30" s="67">
        <v>354</v>
      </c>
      <c r="F30" s="68">
        <v>347</v>
      </c>
      <c r="G30" s="12">
        <f>F30/D30</f>
        <v>8.5531180675375892E-2</v>
      </c>
      <c r="H30" s="69">
        <f>D30-N30</f>
        <v>685</v>
      </c>
      <c r="I30" s="31">
        <f>F30-P30</f>
        <v>90</v>
      </c>
      <c r="J30" s="39">
        <f>I30/H30</f>
        <v>0.13138686131386862</v>
      </c>
      <c r="K30" s="79">
        <v>0.30878990000000001</v>
      </c>
      <c r="L30" s="40">
        <v>4.2891549999999998E-6</v>
      </c>
      <c r="M30" s="50">
        <v>3881</v>
      </c>
      <c r="N30" s="66">
        <v>3372</v>
      </c>
      <c r="O30" s="28">
        <v>267</v>
      </c>
      <c r="P30" s="68">
        <v>257</v>
      </c>
      <c r="Q30" s="12">
        <f>P30/N30</f>
        <v>7.6215895610913409E-2</v>
      </c>
      <c r="R30" s="70">
        <f>N30-X30</f>
        <v>806</v>
      </c>
      <c r="S30" s="71">
        <f>P30-Z30</f>
        <v>40</v>
      </c>
      <c r="T30" s="39">
        <f>S30/R30</f>
        <v>4.9627791563275438E-2</v>
      </c>
      <c r="U30" s="40">
        <v>8.207322E-8</v>
      </c>
      <c r="V30" s="47">
        <v>0.99498220000000004</v>
      </c>
      <c r="W30" s="50">
        <v>3302</v>
      </c>
      <c r="X30" s="66">
        <v>2566</v>
      </c>
      <c r="Y30" s="28">
        <v>231</v>
      </c>
      <c r="Z30" s="68">
        <v>217</v>
      </c>
      <c r="AA30" s="12">
        <f>Z30/X30</f>
        <v>8.4567420109119246E-2</v>
      </c>
      <c r="AB30" s="69">
        <f>X30-AH30</f>
        <v>735</v>
      </c>
      <c r="AC30" s="31">
        <f>Z30-AJ30</f>
        <v>29</v>
      </c>
      <c r="AD30" s="39">
        <f>AC30/AB30</f>
        <v>3.9455782312925167E-2</v>
      </c>
      <c r="AE30" s="40">
        <v>4.2041419999999998E-12</v>
      </c>
      <c r="AF30" s="47">
        <v>0.99996600000000002</v>
      </c>
      <c r="AG30" s="50">
        <v>2571</v>
      </c>
      <c r="AH30" s="66">
        <v>1831</v>
      </c>
      <c r="AI30" s="28">
        <v>200</v>
      </c>
      <c r="AJ30" s="68">
        <v>188</v>
      </c>
      <c r="AK30" s="12">
        <f>AJ30/AH30</f>
        <v>0.10267613326051338</v>
      </c>
      <c r="AL30" s="69">
        <f>AH30-AR30</f>
        <v>214</v>
      </c>
      <c r="AM30" s="31">
        <f>AJ30-AT30</f>
        <v>42</v>
      </c>
      <c r="AN30" s="39">
        <f>AM30/AL30</f>
        <v>0.19626168224299065</v>
      </c>
      <c r="AO30" s="73">
        <v>5.5122559999999998E-17</v>
      </c>
      <c r="AP30" s="73">
        <v>3.6064850000000001E-9</v>
      </c>
      <c r="AQ30" s="50">
        <v>2375</v>
      </c>
      <c r="AR30" s="66">
        <v>1617</v>
      </c>
      <c r="AS30" s="28">
        <v>155</v>
      </c>
      <c r="AT30" s="74">
        <v>146</v>
      </c>
      <c r="AU30" s="12">
        <f>AT30/AR30</f>
        <v>9.0290661719233153E-2</v>
      </c>
      <c r="AV30" s="69">
        <f>AR30-BB30</f>
        <v>562</v>
      </c>
      <c r="AW30" s="31">
        <f>AT30-BD30</f>
        <v>44</v>
      </c>
      <c r="AX30" s="39">
        <f>AW30/AV30</f>
        <v>7.8291814946619215E-2</v>
      </c>
      <c r="AY30" s="40">
        <v>3.5021319999999999E-16</v>
      </c>
      <c r="AZ30" s="37">
        <v>9.1999999999999998E-2</v>
      </c>
      <c r="BA30" s="50">
        <v>1634</v>
      </c>
      <c r="BB30" s="66">
        <v>1055</v>
      </c>
      <c r="BC30" s="28">
        <v>112</v>
      </c>
      <c r="BD30" s="68">
        <v>102</v>
      </c>
      <c r="BE30" s="12">
        <f>BD30/BB30</f>
        <v>9.6682464454976302E-2</v>
      </c>
      <c r="BF30" s="69">
        <f>BB30-BL30</f>
        <v>431</v>
      </c>
      <c r="BG30" s="31">
        <f>BD30-BN30</f>
        <v>41</v>
      </c>
      <c r="BH30" s="39">
        <f>BG30/BB30</f>
        <v>3.886255924170616E-2</v>
      </c>
      <c r="BI30" s="40">
        <v>2.555555E-11</v>
      </c>
      <c r="BJ30" s="79">
        <v>8.80534E-3</v>
      </c>
      <c r="BK30" s="50">
        <v>1126</v>
      </c>
      <c r="BL30" s="66">
        <v>624</v>
      </c>
      <c r="BM30" s="28">
        <v>71</v>
      </c>
      <c r="BN30" s="68">
        <v>61</v>
      </c>
      <c r="BO30" s="12">
        <f>BN30/BL30</f>
        <v>9.7756410256410256E-2</v>
      </c>
      <c r="BP30" s="69">
        <f>BL30-BV30</f>
        <v>292</v>
      </c>
      <c r="BQ30" s="31">
        <f>BN30-BX30</f>
        <v>18</v>
      </c>
      <c r="BR30" s="39">
        <f>BQ30/BP30</f>
        <v>6.1643835616438353E-2</v>
      </c>
      <c r="BS30" s="40">
        <v>1.6882910000000001E-8</v>
      </c>
      <c r="BT30" s="79">
        <v>0.59339299999999995</v>
      </c>
      <c r="BU30" s="50">
        <v>751</v>
      </c>
      <c r="BV30" s="66">
        <v>332</v>
      </c>
      <c r="BW30" s="28">
        <v>48</v>
      </c>
      <c r="BX30" s="68">
        <v>43</v>
      </c>
      <c r="BY30" s="12">
        <f>BX30/BV30</f>
        <v>0.12951807228915663</v>
      </c>
      <c r="BZ30" s="69">
        <f>BV30-CF30</f>
        <v>63</v>
      </c>
      <c r="CA30" s="31">
        <f>BX30-CH30</f>
        <v>6</v>
      </c>
      <c r="CB30" s="39">
        <f>CA30/BZ30</f>
        <v>9.5238095238095233E-2</v>
      </c>
      <c r="CC30" s="40">
        <v>1.5099939999999999E-11</v>
      </c>
      <c r="CD30" s="79">
        <v>0.2063449</v>
      </c>
      <c r="CE30" s="50">
        <v>669</v>
      </c>
      <c r="CF30" s="66">
        <v>269</v>
      </c>
      <c r="CG30" s="28">
        <v>42</v>
      </c>
      <c r="CH30" s="68">
        <v>37</v>
      </c>
      <c r="CI30" s="12">
        <f>CH30/CF30</f>
        <v>0.13754646840148699</v>
      </c>
      <c r="CJ30" s="69">
        <f>CF30-CP30</f>
        <v>141</v>
      </c>
      <c r="CK30" s="31">
        <f>CH30-CR30</f>
        <v>16</v>
      </c>
      <c r="CL30" s="39">
        <f>CK30/CJ30</f>
        <v>0.11347517730496454</v>
      </c>
      <c r="CM30" s="40">
        <v>4.3619359999999999E-11</v>
      </c>
      <c r="CN30" s="79">
        <v>6.9039180000000002E-3</v>
      </c>
      <c r="CO30" s="50">
        <v>391</v>
      </c>
      <c r="CP30" s="75">
        <v>128</v>
      </c>
      <c r="CQ30" s="28">
        <v>25</v>
      </c>
      <c r="CR30" s="68">
        <v>21</v>
      </c>
      <c r="CS30" s="12">
        <f>CR30/CP30</f>
        <v>0.1640625</v>
      </c>
      <c r="CT30" s="69">
        <f>CP30-CZ30</f>
        <v>69</v>
      </c>
      <c r="CU30" s="31">
        <f>CR30-DB30</f>
        <v>14</v>
      </c>
      <c r="CV30" s="39">
        <f>CU30/CT30</f>
        <v>0.20289855072463769</v>
      </c>
      <c r="CW30" s="40">
        <v>6.8932349999999997E-8</v>
      </c>
      <c r="CX30" s="40">
        <v>7.6691019999999996E-6</v>
      </c>
      <c r="CY30" s="50">
        <v>257</v>
      </c>
      <c r="CZ30" s="66">
        <v>59</v>
      </c>
      <c r="DA30" s="28">
        <v>7</v>
      </c>
      <c r="DB30" s="68">
        <v>7</v>
      </c>
      <c r="DC30" s="12">
        <f>DB30/CZ30</f>
        <v>0.11864406779661017</v>
      </c>
      <c r="DD30" s="40">
        <v>2.521352E-5</v>
      </c>
    </row>
    <row r="31" spans="1:148" s="117" customFormat="1" x14ac:dyDescent="0.2">
      <c r="A31" s="386"/>
      <c r="B31" s="281" t="s">
        <v>0</v>
      </c>
      <c r="C31" s="285">
        <v>13629</v>
      </c>
      <c r="D31" s="66">
        <v>13214</v>
      </c>
      <c r="E31" s="67">
        <v>585</v>
      </c>
      <c r="F31" s="68">
        <v>568</v>
      </c>
      <c r="G31" s="12">
        <f t="shared" ref="G31:G40" si="22">F31/D31</f>
        <v>4.2984713182987737E-2</v>
      </c>
      <c r="H31" s="69">
        <v>5507</v>
      </c>
      <c r="I31" s="31">
        <f>F31-P31</f>
        <v>134</v>
      </c>
      <c r="J31" s="39">
        <f>I31/H31</f>
        <v>2.4332667514072998E-2</v>
      </c>
      <c r="K31" s="79">
        <v>0.48338429999999999</v>
      </c>
      <c r="L31" s="37">
        <v>1</v>
      </c>
      <c r="M31" s="50">
        <v>11049</v>
      </c>
      <c r="N31" s="66">
        <v>8893</v>
      </c>
      <c r="O31" s="28">
        <v>469</v>
      </c>
      <c r="P31" s="68">
        <v>434</v>
      </c>
      <c r="Q31" s="12">
        <f t="shared" ref="Q31:Q40" si="23">P31/N31</f>
        <v>4.880242887664455E-2</v>
      </c>
      <c r="R31" s="70">
        <f>N31-X31</f>
        <v>3917</v>
      </c>
      <c r="S31" s="31">
        <f>P31-Z31</f>
        <v>145</v>
      </c>
      <c r="T31" s="39">
        <f>S31/R31</f>
        <v>3.7018126116926217E-2</v>
      </c>
      <c r="U31" s="40">
        <v>8.1941369999999995E-14</v>
      </c>
      <c r="V31" s="47">
        <v>0.98479559999999999</v>
      </c>
      <c r="W31" s="50">
        <v>7899</v>
      </c>
      <c r="X31" s="66">
        <v>4976</v>
      </c>
      <c r="Y31" s="28">
        <v>330</v>
      </c>
      <c r="Z31" s="68">
        <v>289</v>
      </c>
      <c r="AA31" s="12">
        <f t="shared" ref="AA31:AA40" si="24">Z31/X31</f>
        <v>5.8078778135048234E-2</v>
      </c>
      <c r="AB31" s="69">
        <f>X31-AH31</f>
        <v>2490</v>
      </c>
      <c r="AC31" s="31">
        <f>Z31-AJ31</f>
        <v>92</v>
      </c>
      <c r="AD31" s="39">
        <f>AC31/AB31</f>
        <v>3.6947791164658635E-2</v>
      </c>
      <c r="AE31" s="40">
        <v>1.6578660000000002E-24</v>
      </c>
      <c r="AF31" s="47">
        <v>0.93647400000000003</v>
      </c>
      <c r="AG31" s="50">
        <v>4814</v>
      </c>
      <c r="AH31" s="66">
        <v>2486</v>
      </c>
      <c r="AI31" s="28">
        <v>237</v>
      </c>
      <c r="AJ31" s="68">
        <v>197</v>
      </c>
      <c r="AK31" s="12">
        <f t="shared" ref="AK31:AK40" si="25">AJ31/AH31</f>
        <v>7.9243765084473047E-2</v>
      </c>
      <c r="AL31" s="69">
        <f>AH31-AR31</f>
        <v>9</v>
      </c>
      <c r="AM31" s="31">
        <f>AJ31-AT31</f>
        <v>20</v>
      </c>
      <c r="AN31" s="39">
        <f>AM31/AL31</f>
        <v>2.2222222222222223</v>
      </c>
      <c r="AO31" s="73">
        <v>2.832723E-25</v>
      </c>
      <c r="AP31" s="72">
        <v>0</v>
      </c>
      <c r="AQ31" s="50">
        <v>4786</v>
      </c>
      <c r="AR31" s="66">
        <v>2477</v>
      </c>
      <c r="AS31" s="28">
        <v>215</v>
      </c>
      <c r="AT31" s="74">
        <v>177</v>
      </c>
      <c r="AU31" s="12">
        <f t="shared" ref="AU31:AU40" si="26">AT31/AR31</f>
        <v>7.1457408155026242E-2</v>
      </c>
      <c r="AV31" s="69">
        <f>AR31-BB31</f>
        <v>1251</v>
      </c>
      <c r="AW31" s="31">
        <f t="shared" ref="AW31:AW40" si="27">AT31-BD31</f>
        <v>82</v>
      </c>
      <c r="AX31" s="39">
        <f>AW31/AV31</f>
        <v>6.5547561950439648E-2</v>
      </c>
      <c r="AY31" s="40">
        <v>1.089755E-21</v>
      </c>
      <c r="AZ31" s="40">
        <v>5.2216999999999998E-5</v>
      </c>
      <c r="BA31" s="50">
        <v>2947</v>
      </c>
      <c r="BB31" s="66">
        <v>1226</v>
      </c>
      <c r="BC31" s="28">
        <v>128</v>
      </c>
      <c r="BD31" s="68">
        <v>95</v>
      </c>
      <c r="BE31" s="12">
        <f t="shared" ref="BE31:BE40" si="28">BD31/BB31</f>
        <v>7.7487765089722674E-2</v>
      </c>
      <c r="BF31" s="69">
        <f>BB31-BL31</f>
        <v>745</v>
      </c>
      <c r="BG31" s="31">
        <f>BD31-BN31</f>
        <v>48</v>
      </c>
      <c r="BH31" s="39">
        <f>BG31/BB31</f>
        <v>3.9151712887438822E-2</v>
      </c>
      <c r="BI31" s="40">
        <v>2.0397050000000001E-14</v>
      </c>
      <c r="BJ31" s="40">
        <v>1.189769E-3</v>
      </c>
      <c r="BK31" s="50">
        <v>1125</v>
      </c>
      <c r="BL31" s="66">
        <v>481</v>
      </c>
      <c r="BM31" s="28">
        <v>59</v>
      </c>
      <c r="BN31" s="68">
        <v>47</v>
      </c>
      <c r="BO31" s="12">
        <f t="shared" ref="BO31:BO40" si="29">BN31/BL31</f>
        <v>9.7713097713097719E-2</v>
      </c>
      <c r="BP31" s="69">
        <f>BL31-BV31</f>
        <v>277</v>
      </c>
      <c r="BQ31" s="31">
        <f>BN31-BX31</f>
        <v>16</v>
      </c>
      <c r="BR31" s="39">
        <f>BQ31/BP31</f>
        <v>5.7761732851985562E-2</v>
      </c>
      <c r="BS31" s="40">
        <v>3.138141E-9</v>
      </c>
      <c r="BT31" s="79">
        <v>0.37330160000000001</v>
      </c>
      <c r="BU31" s="50">
        <v>779</v>
      </c>
      <c r="BV31" s="66">
        <v>204</v>
      </c>
      <c r="BW31" s="28">
        <v>42</v>
      </c>
      <c r="BX31" s="68">
        <v>31</v>
      </c>
      <c r="BY31" s="12">
        <f t="shared" ref="BY31:BY40" si="30">BX31/BV31</f>
        <v>0.15196078431372548</v>
      </c>
      <c r="BZ31" s="69">
        <f>BV31-CF31</f>
        <v>35</v>
      </c>
      <c r="CA31" s="31">
        <f>BX31-CH31</f>
        <v>3</v>
      </c>
      <c r="CB31" s="39">
        <f>CA31/BZ31</f>
        <v>8.5714285714285715E-2</v>
      </c>
      <c r="CC31" s="40">
        <v>3.9177119999999999E-11</v>
      </c>
      <c r="CD31" s="79">
        <v>0.29073120000000002</v>
      </c>
      <c r="CE31" s="50">
        <v>739</v>
      </c>
      <c r="CF31" s="66">
        <v>169</v>
      </c>
      <c r="CG31" s="28">
        <v>38</v>
      </c>
      <c r="CH31" s="68">
        <v>28</v>
      </c>
      <c r="CI31" s="12">
        <f t="shared" ref="CI31:CI40" si="31">CH31/CF31</f>
        <v>0.16568047337278108</v>
      </c>
      <c r="CJ31" s="69">
        <f>CF31-CP31</f>
        <v>144</v>
      </c>
      <c r="CK31" s="31">
        <f>CH31-CR31</f>
        <v>16</v>
      </c>
      <c r="CL31" s="39">
        <f>CK31/CJ31</f>
        <v>0.1111111111111111</v>
      </c>
      <c r="CM31" s="40">
        <v>1.0036030000000001E-11</v>
      </c>
      <c r="CN31" s="40">
        <v>8.4539130000000002E-4</v>
      </c>
      <c r="CO31" s="50">
        <v>110</v>
      </c>
      <c r="CP31" s="75">
        <v>25</v>
      </c>
      <c r="CQ31" s="28">
        <v>15</v>
      </c>
      <c r="CR31" s="68">
        <v>12</v>
      </c>
      <c r="CS31" s="12">
        <f t="shared" ref="CS31:CS40" si="32">CR31/CP31</f>
        <v>0.48</v>
      </c>
      <c r="CT31" s="69">
        <f>CP31-CZ31</f>
        <v>25</v>
      </c>
      <c r="CU31" s="31">
        <f>CR31-DB31</f>
        <v>12</v>
      </c>
      <c r="CV31" s="39">
        <f>CU31/CT31</f>
        <v>0.48</v>
      </c>
      <c r="CW31" s="40">
        <v>4.529674E-7</v>
      </c>
      <c r="CX31" s="40">
        <v>4.529674E-7</v>
      </c>
      <c r="CY31" s="50">
        <v>0</v>
      </c>
      <c r="CZ31" s="66">
        <v>0</v>
      </c>
      <c r="DA31" s="28">
        <v>0</v>
      </c>
      <c r="DB31" s="68">
        <v>0</v>
      </c>
      <c r="DC31" s="12" t="s">
        <v>25</v>
      </c>
      <c r="DD31" s="37" t="s">
        <v>9</v>
      </c>
    </row>
    <row r="32" spans="1:148" s="117" customFormat="1" x14ac:dyDescent="0.2">
      <c r="A32" s="288"/>
      <c r="B32" s="289"/>
      <c r="C32" s="286"/>
      <c r="D32" s="47"/>
      <c r="E32" s="47"/>
      <c r="F32" s="47"/>
      <c r="G32" s="46"/>
      <c r="H32" s="47"/>
      <c r="I32" s="47"/>
      <c r="J32" s="44"/>
      <c r="K32" s="79"/>
      <c r="L32" s="37"/>
      <c r="M32" s="45"/>
      <c r="N32" s="47"/>
      <c r="O32" s="45"/>
      <c r="P32" s="47"/>
      <c r="Q32" s="46"/>
      <c r="R32" s="76"/>
      <c r="S32" s="47"/>
      <c r="T32" s="44"/>
      <c r="U32" s="40"/>
      <c r="V32" s="47"/>
      <c r="W32" s="45"/>
      <c r="X32" s="47"/>
      <c r="Y32" s="45"/>
      <c r="Z32" s="47"/>
      <c r="AA32" s="46"/>
      <c r="AB32" s="47"/>
      <c r="AC32" s="47"/>
      <c r="AD32" s="44"/>
      <c r="AE32" s="40"/>
      <c r="AF32" s="47"/>
      <c r="AG32" s="45"/>
      <c r="AH32" s="47"/>
      <c r="AI32" s="45"/>
      <c r="AJ32" s="47"/>
      <c r="AK32" s="46"/>
      <c r="AL32" s="47"/>
      <c r="AM32" s="47"/>
      <c r="AN32" s="44"/>
      <c r="AO32" s="40"/>
      <c r="AP32" s="37"/>
      <c r="AQ32" s="45"/>
      <c r="AR32" s="47"/>
      <c r="AS32" s="45"/>
      <c r="AT32" s="77"/>
      <c r="AU32" s="46"/>
      <c r="AV32" s="47"/>
      <c r="AW32" s="47"/>
      <c r="AX32" s="44"/>
      <c r="AY32" s="40"/>
      <c r="AZ32" s="37"/>
      <c r="BA32" s="45"/>
      <c r="BB32" s="47"/>
      <c r="BC32" s="45"/>
      <c r="BD32" s="47"/>
      <c r="BE32" s="46"/>
      <c r="BF32" s="47"/>
      <c r="BG32" s="47"/>
      <c r="BH32" s="44"/>
      <c r="BI32" s="40"/>
      <c r="BJ32" s="37"/>
      <c r="BK32" s="45"/>
      <c r="BL32" s="47"/>
      <c r="BM32" s="45"/>
      <c r="BN32" s="47"/>
      <c r="BO32" s="46"/>
      <c r="BP32" s="47"/>
      <c r="BQ32" s="47"/>
      <c r="BR32" s="44"/>
      <c r="BS32" s="40"/>
      <c r="BT32" s="79"/>
      <c r="BU32" s="45"/>
      <c r="BV32" s="47"/>
      <c r="BW32" s="45"/>
      <c r="BX32" s="47"/>
      <c r="BY32" s="46"/>
      <c r="BZ32" s="47"/>
      <c r="CA32" s="78"/>
      <c r="CB32" s="44"/>
      <c r="CC32" s="40"/>
      <c r="CD32" s="79"/>
      <c r="CE32" s="45"/>
      <c r="CF32" s="47"/>
      <c r="CG32" s="45"/>
      <c r="CH32" s="47"/>
      <c r="CI32" s="46"/>
      <c r="CJ32" s="47"/>
      <c r="CK32" s="47"/>
      <c r="CL32" s="44"/>
      <c r="CM32" s="37"/>
      <c r="CN32" s="37"/>
      <c r="CO32" s="45"/>
      <c r="CP32" s="77"/>
      <c r="CQ32" s="45"/>
      <c r="CR32" s="47"/>
      <c r="CS32" s="46"/>
      <c r="CT32" s="47"/>
      <c r="CU32" s="47"/>
      <c r="CV32" s="44"/>
      <c r="CW32" s="40"/>
      <c r="CX32" s="40"/>
      <c r="CY32" s="45"/>
      <c r="CZ32" s="47"/>
      <c r="DA32" s="45"/>
      <c r="DB32" s="47"/>
      <c r="DC32" s="46"/>
      <c r="DD32" s="37"/>
    </row>
    <row r="33" spans="1:108" s="117" customFormat="1" x14ac:dyDescent="0.2">
      <c r="A33" s="393" t="s">
        <v>3</v>
      </c>
      <c r="B33" s="281" t="s">
        <v>1</v>
      </c>
      <c r="C33" s="285">
        <v>1934</v>
      </c>
      <c r="D33" s="66">
        <v>1839</v>
      </c>
      <c r="E33" s="67">
        <v>179</v>
      </c>
      <c r="F33" s="68">
        <v>165</v>
      </c>
      <c r="G33" s="12">
        <f t="shared" si="22"/>
        <v>8.9722675367047311E-2</v>
      </c>
      <c r="H33" s="69">
        <f>D33-N33</f>
        <v>483</v>
      </c>
      <c r="I33" s="31">
        <f>F33-P33</f>
        <v>59</v>
      </c>
      <c r="J33" s="39">
        <f>I33/H33</f>
        <v>0.12215320910973085</v>
      </c>
      <c r="K33" s="79">
        <v>0.97505869999999994</v>
      </c>
      <c r="L33" s="79">
        <v>7.2260359999999999E-3</v>
      </c>
      <c r="M33" s="50">
        <v>1603</v>
      </c>
      <c r="N33" s="66">
        <v>1356</v>
      </c>
      <c r="O33" s="28">
        <v>113</v>
      </c>
      <c r="P33" s="68">
        <v>106</v>
      </c>
      <c r="Q33" s="12">
        <f t="shared" si="23"/>
        <v>7.8171091445427734E-2</v>
      </c>
      <c r="R33" s="70">
        <f>N33-X33</f>
        <v>222</v>
      </c>
      <c r="S33" s="71">
        <f>P33-Z33</f>
        <v>7</v>
      </c>
      <c r="T33" s="39">
        <f>S33/R33</f>
        <v>3.1531531531531529E-2</v>
      </c>
      <c r="U33" s="303">
        <v>1.785254E-3</v>
      </c>
      <c r="V33" s="47">
        <v>0.99762269999999997</v>
      </c>
      <c r="W33" s="50">
        <v>1512</v>
      </c>
      <c r="X33" s="66">
        <v>1134</v>
      </c>
      <c r="Y33" s="28">
        <v>107</v>
      </c>
      <c r="Z33" s="68">
        <v>99</v>
      </c>
      <c r="AA33" s="12">
        <f t="shared" si="24"/>
        <v>8.7301587301587297E-2</v>
      </c>
      <c r="AB33" s="69">
        <f>X33-AH33</f>
        <v>386</v>
      </c>
      <c r="AC33" s="31">
        <f>Z33-AJ33</f>
        <v>25</v>
      </c>
      <c r="AD33" s="39">
        <f>AC33/AB33</f>
        <v>6.4766839378238336E-2</v>
      </c>
      <c r="AE33" s="40">
        <v>1.4291189999999999E-6</v>
      </c>
      <c r="AF33" s="47">
        <v>0.73825850000000004</v>
      </c>
      <c r="AG33" s="50">
        <v>1113</v>
      </c>
      <c r="AH33" s="66">
        <v>748</v>
      </c>
      <c r="AI33" s="28">
        <v>82</v>
      </c>
      <c r="AJ33" s="68">
        <v>74</v>
      </c>
      <c r="AK33" s="12">
        <f t="shared" si="25"/>
        <v>9.8930481283422467E-2</v>
      </c>
      <c r="AL33" s="69">
        <f>AH33-AR33</f>
        <v>169</v>
      </c>
      <c r="AM33" s="31">
        <f>AJ33-AT33</f>
        <v>18</v>
      </c>
      <c r="AN33" s="39">
        <f>AM33/AL33</f>
        <v>0.10650887573964497</v>
      </c>
      <c r="AO33" s="73">
        <v>4.711294E-7</v>
      </c>
      <c r="AP33" s="274">
        <v>5.7823180000000002E-2</v>
      </c>
      <c r="AQ33" s="50">
        <v>892</v>
      </c>
      <c r="AR33" s="66">
        <v>579</v>
      </c>
      <c r="AS33" s="28">
        <v>65</v>
      </c>
      <c r="AT33" s="74">
        <v>56</v>
      </c>
      <c r="AU33" s="12">
        <f t="shared" si="26"/>
        <v>9.6718480138169263E-2</v>
      </c>
      <c r="AV33" s="69">
        <f>AR33-BB33</f>
        <v>208</v>
      </c>
      <c r="AW33" s="31">
        <f t="shared" si="27"/>
        <v>16</v>
      </c>
      <c r="AX33" s="39">
        <f>AW33/AV33</f>
        <v>7.6923076923076927E-2</v>
      </c>
      <c r="AY33" s="40">
        <v>6.6814245802690703E-5</v>
      </c>
      <c r="AZ33" s="37">
        <v>0.44900000000000001</v>
      </c>
      <c r="BA33" s="50">
        <v>704</v>
      </c>
      <c r="BB33" s="66">
        <v>371</v>
      </c>
      <c r="BC33" s="28">
        <v>45</v>
      </c>
      <c r="BD33" s="68">
        <v>40</v>
      </c>
      <c r="BE33" s="12">
        <f t="shared" si="28"/>
        <v>0.1078167115902965</v>
      </c>
      <c r="BF33" s="69">
        <f>BB33-BL33</f>
        <v>149</v>
      </c>
      <c r="BG33" s="31">
        <f>BD33-BN33</f>
        <v>18</v>
      </c>
      <c r="BH33" s="39">
        <f>BG33/BB33</f>
        <v>4.8517520215633422E-2</v>
      </c>
      <c r="BI33" s="40">
        <v>1.127384E-7</v>
      </c>
      <c r="BJ33" s="40">
        <v>2.3208479999999999E-3</v>
      </c>
      <c r="BK33" s="50">
        <v>490</v>
      </c>
      <c r="BL33" s="66">
        <v>222</v>
      </c>
      <c r="BM33" s="28">
        <v>26</v>
      </c>
      <c r="BN33" s="68">
        <v>22</v>
      </c>
      <c r="BO33" s="12">
        <f t="shared" si="29"/>
        <v>9.90990990990991E-2</v>
      </c>
      <c r="BP33" s="69">
        <f>BL33-BV33</f>
        <v>70</v>
      </c>
      <c r="BQ33" s="31">
        <f>BN33-BX33</f>
        <v>6</v>
      </c>
      <c r="BR33" s="39">
        <f>BQ33/BP33</f>
        <v>8.5714285714285715E-2</v>
      </c>
      <c r="BS33" s="40">
        <v>2.732486E-5</v>
      </c>
      <c r="BT33" s="79">
        <v>0.151278</v>
      </c>
      <c r="BU33" s="50">
        <v>308</v>
      </c>
      <c r="BV33" s="66">
        <v>152</v>
      </c>
      <c r="BW33" s="28">
        <v>17</v>
      </c>
      <c r="BX33" s="74">
        <v>16</v>
      </c>
      <c r="BY33" s="12">
        <f t="shared" si="30"/>
        <v>0.10526315789473684</v>
      </c>
      <c r="BZ33" s="69">
        <f>BV33-CF33</f>
        <v>7</v>
      </c>
      <c r="CA33" s="31">
        <f>BX33-CH33</f>
        <v>1</v>
      </c>
      <c r="CB33" s="39">
        <f>CA33/BZ33</f>
        <v>0.14285714285714285</v>
      </c>
      <c r="CC33" s="40">
        <v>7.7546560000000005E-5</v>
      </c>
      <c r="CD33" s="79">
        <v>0.33066950000000001</v>
      </c>
      <c r="CE33" s="50">
        <v>313</v>
      </c>
      <c r="CF33" s="66">
        <f>161-16</f>
        <v>145</v>
      </c>
      <c r="CG33" s="28">
        <v>16</v>
      </c>
      <c r="CH33" s="68">
        <v>15</v>
      </c>
      <c r="CI33" s="12">
        <f t="shared" si="31"/>
        <v>0.10344827586206896</v>
      </c>
      <c r="CJ33" s="69">
        <f>CF33-CP33</f>
        <v>49</v>
      </c>
      <c r="CK33" s="31">
        <f>CH33-CR33</f>
        <v>5</v>
      </c>
      <c r="CL33" s="39">
        <f>CK33/CJ33</f>
        <v>0.10204081632653061</v>
      </c>
      <c r="CM33" s="40">
        <v>3.0899870000000002E-4</v>
      </c>
      <c r="CN33" s="79">
        <v>0.12683169999999999</v>
      </c>
      <c r="CO33" s="50">
        <v>208</v>
      </c>
      <c r="CP33" s="75">
        <v>96</v>
      </c>
      <c r="CQ33" s="28">
        <v>12</v>
      </c>
      <c r="CR33" s="68">
        <v>10</v>
      </c>
      <c r="CS33" s="12">
        <f t="shared" si="32"/>
        <v>0.10416666666666667</v>
      </c>
      <c r="CT33" s="69">
        <f>CP33-CZ33</f>
        <v>55</v>
      </c>
      <c r="CU33" s="31">
        <f>CR33-DB33</f>
        <v>6</v>
      </c>
      <c r="CV33" s="39">
        <f>CU33/CT33</f>
        <v>0.10909090909090909</v>
      </c>
      <c r="CW33" s="40">
        <v>8.1362640000000007E-3</v>
      </c>
      <c r="CX33" s="79">
        <v>6.3705349999999994E-2</v>
      </c>
      <c r="CY33" s="50">
        <v>90</v>
      </c>
      <c r="CZ33" s="66">
        <v>41</v>
      </c>
      <c r="DA33" s="28">
        <v>5</v>
      </c>
      <c r="DB33" s="68">
        <v>4</v>
      </c>
      <c r="DC33" s="12">
        <f t="shared" ref="DC33:DC40" si="33">DB33/CZ33</f>
        <v>9.7560975609756101E-2</v>
      </c>
      <c r="DD33" s="79">
        <v>0.12995960000000001</v>
      </c>
    </row>
    <row r="34" spans="1:108" s="117" customFormat="1" x14ac:dyDescent="0.2">
      <c r="A34" s="393"/>
      <c r="B34" s="281" t="s">
        <v>0</v>
      </c>
      <c r="C34" s="285">
        <v>16225</v>
      </c>
      <c r="D34" s="66">
        <v>15655</v>
      </c>
      <c r="E34" s="67">
        <v>1244</v>
      </c>
      <c r="F34" s="68">
        <v>1196</v>
      </c>
      <c r="G34" s="12">
        <f t="shared" si="22"/>
        <v>7.6397317151069941E-2</v>
      </c>
      <c r="H34" s="69">
        <f>D34-N34</f>
        <v>4644</v>
      </c>
      <c r="I34" s="31">
        <f>F34-P34</f>
        <v>256</v>
      </c>
      <c r="J34" s="39">
        <f>I34/H34</f>
        <v>5.512489233419466E-2</v>
      </c>
      <c r="K34" s="79">
        <v>0.78157849999999995</v>
      </c>
      <c r="L34" s="37">
        <v>1</v>
      </c>
      <c r="M34" s="50">
        <v>13252</v>
      </c>
      <c r="N34" s="66">
        <v>11011</v>
      </c>
      <c r="O34" s="28">
        <v>1049</v>
      </c>
      <c r="P34" s="68">
        <v>940</v>
      </c>
      <c r="Q34" s="12">
        <f t="shared" si="23"/>
        <v>8.5369176278267192E-2</v>
      </c>
      <c r="R34" s="70">
        <f>N34-X34</f>
        <v>3178</v>
      </c>
      <c r="S34" s="71">
        <f>P34-Z34</f>
        <v>178</v>
      </c>
      <c r="T34" s="39">
        <f>S34/R34</f>
        <v>5.6010069225928258E-2</v>
      </c>
      <c r="U34" s="40">
        <v>3.8375399999999998E-10</v>
      </c>
      <c r="V34" s="37">
        <v>1</v>
      </c>
      <c r="W34" s="50">
        <v>11029</v>
      </c>
      <c r="X34" s="66">
        <v>7833</v>
      </c>
      <c r="Y34" s="28">
        <v>977</v>
      </c>
      <c r="Z34" s="68">
        <v>762</v>
      </c>
      <c r="AA34" s="12">
        <f t="shared" si="24"/>
        <v>9.7280735350440448E-2</v>
      </c>
      <c r="AB34" s="69">
        <f>X34-AH34</f>
        <v>3241</v>
      </c>
      <c r="AC34" s="31">
        <f>Z34-AJ34</f>
        <v>256</v>
      </c>
      <c r="AD34" s="39">
        <f>AC34/AB34</f>
        <v>7.8987966676951557E-2</v>
      </c>
      <c r="AE34" s="40">
        <v>1.5794549999999999E-7</v>
      </c>
      <c r="AF34" s="47">
        <v>0.99047600000000002</v>
      </c>
      <c r="AG34" s="50">
        <v>8258</v>
      </c>
      <c r="AH34" s="66">
        <v>4592</v>
      </c>
      <c r="AI34" s="28">
        <v>778</v>
      </c>
      <c r="AJ34" s="68">
        <v>506</v>
      </c>
      <c r="AK34" s="12">
        <f t="shared" si="25"/>
        <v>0.11019163763066202</v>
      </c>
      <c r="AL34" s="69">
        <f>AH34-AR34</f>
        <v>335</v>
      </c>
      <c r="AM34" s="31">
        <f>AJ34-AT34</f>
        <v>35</v>
      </c>
      <c r="AN34" s="39">
        <f>AM34/AL34</f>
        <v>0.1044776119402985</v>
      </c>
      <c r="AO34" s="73">
        <v>1.2341320000000001E-8</v>
      </c>
      <c r="AP34" s="274">
        <v>0.28184710000000002</v>
      </c>
      <c r="AQ34" s="50">
        <v>7805</v>
      </c>
      <c r="AR34" s="66">
        <v>4257</v>
      </c>
      <c r="AS34" s="28">
        <v>739</v>
      </c>
      <c r="AT34" s="74">
        <v>471</v>
      </c>
      <c r="AU34" s="12">
        <f t="shared" si="26"/>
        <v>0.11064129668780831</v>
      </c>
      <c r="AV34" s="69">
        <f>AR34-BB34</f>
        <v>2311</v>
      </c>
      <c r="AW34" s="31">
        <f t="shared" si="27"/>
        <v>208</v>
      </c>
      <c r="AX34" s="39">
        <f>AW34/AV34</f>
        <v>9.0004327131112075E-2</v>
      </c>
      <c r="AY34" s="40">
        <v>6.6418719999999997E-8</v>
      </c>
      <c r="AZ34" s="37">
        <v>0.83</v>
      </c>
      <c r="BA34" s="50">
        <v>4368</v>
      </c>
      <c r="BB34" s="66">
        <v>1946</v>
      </c>
      <c r="BC34" s="28">
        <v>471</v>
      </c>
      <c r="BD34" s="68">
        <v>263</v>
      </c>
      <c r="BE34" s="12">
        <f t="shared" si="28"/>
        <v>0.13514902363823228</v>
      </c>
      <c r="BF34" s="69">
        <f>BB34-BL34</f>
        <v>1407</v>
      </c>
      <c r="BG34" s="31">
        <f>BD34-BN34</f>
        <v>154</v>
      </c>
      <c r="BH34" s="39">
        <f>BG34/BB34</f>
        <v>7.9136690647482008E-2</v>
      </c>
      <c r="BI34" s="40">
        <v>1.2896310000000001E-7</v>
      </c>
      <c r="BJ34" s="79">
        <v>0.424315</v>
      </c>
      <c r="BK34" s="50">
        <v>1655</v>
      </c>
      <c r="BL34" s="66">
        <v>539</v>
      </c>
      <c r="BM34" s="28">
        <v>219</v>
      </c>
      <c r="BN34" s="68">
        <v>109</v>
      </c>
      <c r="BO34" s="12">
        <f t="shared" si="29"/>
        <v>0.20222634508348794</v>
      </c>
      <c r="BP34" s="69">
        <f>BL34-BV34</f>
        <v>299</v>
      </c>
      <c r="BQ34" s="31">
        <f>BN34-BX34</f>
        <v>59</v>
      </c>
      <c r="BR34" s="39">
        <f>BQ34/BP34</f>
        <v>0.19732441471571907</v>
      </c>
      <c r="BS34" s="40">
        <v>1.0263550000000001E-8</v>
      </c>
      <c r="BT34" s="40">
        <v>3.0160650000000001E-4</v>
      </c>
      <c r="BU34" s="50">
        <v>797</v>
      </c>
      <c r="BV34" s="66">
        <v>240</v>
      </c>
      <c r="BW34" s="28">
        <v>107</v>
      </c>
      <c r="BX34" s="68">
        <v>50</v>
      </c>
      <c r="BY34" s="12">
        <f t="shared" si="30"/>
        <v>0.20833333333333334</v>
      </c>
      <c r="BZ34" s="69">
        <f>BV34-CF34</f>
        <v>86</v>
      </c>
      <c r="CA34" s="31">
        <f>BX34-CH34</f>
        <v>10</v>
      </c>
      <c r="CB34" s="39">
        <f>CA34/BZ34</f>
        <v>0.11627906976744186</v>
      </c>
      <c r="CC34" s="40">
        <v>7.2217410000000005E-5</v>
      </c>
      <c r="CD34" s="79">
        <v>0.7476952</v>
      </c>
      <c r="CE34" s="50">
        <v>632</v>
      </c>
      <c r="CF34" s="66">
        <v>154</v>
      </c>
      <c r="CG34" s="28">
        <v>85</v>
      </c>
      <c r="CH34" s="68">
        <v>40</v>
      </c>
      <c r="CI34" s="12">
        <f t="shared" si="31"/>
        <v>0.25974025974025972</v>
      </c>
      <c r="CJ34" s="69">
        <f>CF34-CP34</f>
        <v>126</v>
      </c>
      <c r="CK34" s="31">
        <f>CH34-CR34</f>
        <v>31</v>
      </c>
      <c r="CL34" s="39">
        <f>CK34/CJ34</f>
        <v>0.24603174603174602</v>
      </c>
      <c r="CM34" s="40">
        <v>6.9804629999999995E-7</v>
      </c>
      <c r="CN34" s="40">
        <v>9.4405519999999997E-5</v>
      </c>
      <c r="CO34" s="50">
        <v>124</v>
      </c>
      <c r="CP34" s="75">
        <v>28</v>
      </c>
      <c r="CQ34" s="28">
        <v>21</v>
      </c>
      <c r="CR34" s="68">
        <v>9</v>
      </c>
      <c r="CS34" s="12">
        <f t="shared" si="32"/>
        <v>0.32142857142857145</v>
      </c>
      <c r="CT34" s="69">
        <f>CP34-CZ34</f>
        <v>28</v>
      </c>
      <c r="CU34" s="31">
        <f>CR34-DB34</f>
        <v>9</v>
      </c>
      <c r="CV34" s="39">
        <f>CU34/CT34</f>
        <v>0.32142857142857145</v>
      </c>
      <c r="CW34" s="40">
        <v>1.934578E-2</v>
      </c>
      <c r="CX34" s="40">
        <v>1.934578E-2</v>
      </c>
      <c r="CY34" s="50">
        <v>0</v>
      </c>
      <c r="CZ34" s="66">
        <v>0</v>
      </c>
      <c r="DA34" s="28">
        <v>0</v>
      </c>
      <c r="DB34" s="68">
        <v>0</v>
      </c>
      <c r="DC34" s="12" t="s">
        <v>25</v>
      </c>
      <c r="DD34" s="37" t="s">
        <v>9</v>
      </c>
    </row>
    <row r="35" spans="1:108" s="117" customFormat="1" x14ac:dyDescent="0.2">
      <c r="A35" s="288"/>
      <c r="B35" s="289"/>
      <c r="C35" s="286"/>
      <c r="D35" s="47"/>
      <c r="E35" s="47"/>
      <c r="F35" s="47"/>
      <c r="G35" s="46"/>
      <c r="H35" s="47"/>
      <c r="I35" s="47"/>
      <c r="J35" s="44"/>
      <c r="K35" s="37"/>
      <c r="L35" s="37"/>
      <c r="M35" s="45"/>
      <c r="N35" s="47"/>
      <c r="O35" s="45"/>
      <c r="P35" s="47"/>
      <c r="Q35" s="46"/>
      <c r="R35" s="76"/>
      <c r="S35" s="76"/>
      <c r="T35" s="44"/>
      <c r="U35" s="40"/>
      <c r="V35" s="37"/>
      <c r="W35" s="45"/>
      <c r="X35" s="47"/>
      <c r="Y35" s="45"/>
      <c r="Z35" s="47"/>
      <c r="AA35" s="46"/>
      <c r="AB35" s="47"/>
      <c r="AC35" s="47"/>
      <c r="AD35" s="44"/>
      <c r="AE35" s="40"/>
      <c r="AF35" s="47"/>
      <c r="AG35" s="45"/>
      <c r="AH35" s="47"/>
      <c r="AI35" s="45"/>
      <c r="AJ35" s="47"/>
      <c r="AK35" s="46"/>
      <c r="AL35" s="47"/>
      <c r="AM35" s="47"/>
      <c r="AN35" s="44"/>
      <c r="AO35" s="40"/>
      <c r="AP35" s="37"/>
      <c r="AQ35" s="45"/>
      <c r="AR35" s="47"/>
      <c r="AS35" s="45"/>
      <c r="AT35" s="77"/>
      <c r="AU35" s="46"/>
      <c r="AV35" s="47"/>
      <c r="AW35" s="47"/>
      <c r="AX35" s="44"/>
      <c r="AY35" s="40"/>
      <c r="AZ35" s="37"/>
      <c r="BA35" s="45"/>
      <c r="BB35" s="47"/>
      <c r="BC35" s="45"/>
      <c r="BD35" s="47"/>
      <c r="BE35" s="46"/>
      <c r="BF35" s="47"/>
      <c r="BG35" s="47"/>
      <c r="BH35" s="44"/>
      <c r="BI35" s="40"/>
      <c r="BJ35" s="37"/>
      <c r="BK35" s="45"/>
      <c r="BL35" s="47"/>
      <c r="BM35" s="45"/>
      <c r="BN35" s="47"/>
      <c r="BO35" s="46"/>
      <c r="BP35" s="47"/>
      <c r="BQ35" s="47"/>
      <c r="BR35" s="44"/>
      <c r="BS35" s="40"/>
      <c r="BT35" s="37"/>
      <c r="BU35" s="45"/>
      <c r="BV35" s="47"/>
      <c r="BW35" s="45"/>
      <c r="BX35" s="47"/>
      <c r="BY35" s="46"/>
      <c r="BZ35" s="47"/>
      <c r="CA35" s="47"/>
      <c r="CB35" s="44"/>
      <c r="CC35" s="40"/>
      <c r="CD35" s="79"/>
      <c r="CE35" s="45"/>
      <c r="CF35" s="47"/>
      <c r="CG35" s="45"/>
      <c r="CH35" s="47"/>
      <c r="CI35" s="46"/>
      <c r="CJ35" s="47"/>
      <c r="CK35" s="47"/>
      <c r="CL35" s="44"/>
      <c r="CM35" s="37"/>
      <c r="CN35" s="37"/>
      <c r="CO35" s="45"/>
      <c r="CP35" s="77"/>
      <c r="CQ35" s="45"/>
      <c r="CR35" s="47"/>
      <c r="CS35" s="46"/>
      <c r="CT35" s="47"/>
      <c r="CU35" s="47"/>
      <c r="CV35" s="44"/>
      <c r="CW35" s="37"/>
      <c r="CX35" s="37"/>
      <c r="CY35" s="45"/>
      <c r="CZ35" s="47"/>
      <c r="DA35" s="45"/>
      <c r="DB35" s="47"/>
      <c r="DC35" s="46"/>
      <c r="DD35" s="37"/>
    </row>
    <row r="36" spans="1:108" s="117" customFormat="1" x14ac:dyDescent="0.2">
      <c r="A36" s="393" t="s">
        <v>4</v>
      </c>
      <c r="B36" s="281" t="s">
        <v>1</v>
      </c>
      <c r="C36" s="285">
        <v>34580</v>
      </c>
      <c r="D36" s="66">
        <v>33488</v>
      </c>
      <c r="E36" s="67">
        <v>4343</v>
      </c>
      <c r="F36" s="68">
        <v>4244</v>
      </c>
      <c r="G36" s="12">
        <f t="shared" si="22"/>
        <v>0.12673196368848544</v>
      </c>
      <c r="H36" s="69">
        <f>D36-N36</f>
        <v>7044</v>
      </c>
      <c r="I36" s="31">
        <f>F36-P36</f>
        <v>944</v>
      </c>
      <c r="J36" s="39">
        <f>I36/H36</f>
        <v>0.13401476433844406</v>
      </c>
      <c r="K36" s="40">
        <v>1.399238E-4</v>
      </c>
      <c r="L36" s="79">
        <v>9.2159300000000006E-3</v>
      </c>
      <c r="M36" s="50">
        <v>31797</v>
      </c>
      <c r="N36" s="66">
        <v>26444</v>
      </c>
      <c r="O36" s="28">
        <v>3781</v>
      </c>
      <c r="P36" s="68">
        <v>3300</v>
      </c>
      <c r="Q36" s="12">
        <f t="shared" si="23"/>
        <v>0.12479201331114809</v>
      </c>
      <c r="R36" s="70">
        <f>N36-X36</f>
        <v>8020</v>
      </c>
      <c r="S36" s="71">
        <f>P36-Z36</f>
        <v>737</v>
      </c>
      <c r="T36" s="39">
        <f>S36/R36</f>
        <v>9.1895261845386531E-2</v>
      </c>
      <c r="U36" s="40">
        <v>6.6920469999999998E-14</v>
      </c>
      <c r="V36" s="37">
        <v>1</v>
      </c>
      <c r="W36" s="50">
        <v>26546</v>
      </c>
      <c r="X36" s="66">
        <v>18424</v>
      </c>
      <c r="Y36" s="28">
        <v>3338</v>
      </c>
      <c r="Z36" s="68">
        <v>2563</v>
      </c>
      <c r="AA36" s="12">
        <f t="shared" si="24"/>
        <v>0.13911202778983933</v>
      </c>
      <c r="AB36" s="69">
        <f>X36-AH36</f>
        <v>7243</v>
      </c>
      <c r="AC36" s="31">
        <f>Z36-AJ36</f>
        <v>691</v>
      </c>
      <c r="AD36" s="39">
        <f>AC36/AB36</f>
        <v>9.5402457545216077E-2</v>
      </c>
      <c r="AE36" s="40">
        <v>2.9084420000000001E-24</v>
      </c>
      <c r="AF36" s="47">
        <v>1</v>
      </c>
      <c r="AG36" s="50">
        <v>19200</v>
      </c>
      <c r="AH36" s="66">
        <v>11181</v>
      </c>
      <c r="AI36" s="28">
        <v>2721</v>
      </c>
      <c r="AJ36" s="68">
        <v>1872</v>
      </c>
      <c r="AK36" s="12">
        <f t="shared" si="25"/>
        <v>0.16742688489401664</v>
      </c>
      <c r="AL36" s="69">
        <f>AH36-AR36</f>
        <v>1442</v>
      </c>
      <c r="AM36" s="31">
        <f>AJ36-AT36</f>
        <v>288</v>
      </c>
      <c r="AN36" s="39">
        <f>AM36/AL36</f>
        <v>0.19972260748959778</v>
      </c>
      <c r="AO36" s="73">
        <v>1.4486529999999999E-34</v>
      </c>
      <c r="AP36" s="73">
        <v>2.0901819999999999E-10</v>
      </c>
      <c r="AQ36" s="50">
        <v>17360</v>
      </c>
      <c r="AR36" s="66">
        <v>9739</v>
      </c>
      <c r="AS36" s="28">
        <v>2407</v>
      </c>
      <c r="AT36" s="74">
        <v>1584</v>
      </c>
      <c r="AU36" s="12">
        <f t="shared" si="26"/>
        <v>0.16264503542458159</v>
      </c>
      <c r="AV36" s="69">
        <f>AR36-BB36</f>
        <v>4055</v>
      </c>
      <c r="AW36" s="31">
        <f t="shared" si="27"/>
        <v>558</v>
      </c>
      <c r="AX36" s="39">
        <f>AW36/AV36</f>
        <v>0.13760789149198521</v>
      </c>
      <c r="AY36" s="40">
        <v>1.0168429999999999E-25</v>
      </c>
      <c r="AZ36" s="37">
        <v>0.59499999999999997</v>
      </c>
      <c r="BA36" s="50">
        <v>11817</v>
      </c>
      <c r="BB36" s="66">
        <v>5684</v>
      </c>
      <c r="BC36" s="28">
        <v>1743</v>
      </c>
      <c r="BD36" s="68">
        <v>1026</v>
      </c>
      <c r="BE36" s="12">
        <f t="shared" si="28"/>
        <v>0.1805066854327938</v>
      </c>
      <c r="BF36" s="69">
        <f>BB36-BL36</f>
        <v>2460</v>
      </c>
      <c r="BG36" s="31">
        <f>BD36-BN36</f>
        <v>394</v>
      </c>
      <c r="BH36" s="39">
        <f>BG36/BB36</f>
        <v>6.9317382125263893E-2</v>
      </c>
      <c r="BI36" s="40">
        <v>1.1747400000000001E-22</v>
      </c>
      <c r="BJ36" s="79">
        <v>2.578743E-2</v>
      </c>
      <c r="BK36" s="50">
        <v>8303</v>
      </c>
      <c r="BL36" s="66">
        <v>3224</v>
      </c>
      <c r="BM36" s="28">
        <v>1256</v>
      </c>
      <c r="BN36" s="68">
        <v>632</v>
      </c>
      <c r="BO36" s="12">
        <f t="shared" si="29"/>
        <v>0.19602977667493796</v>
      </c>
      <c r="BP36" s="69">
        <f>BL36-BV36</f>
        <v>1484</v>
      </c>
      <c r="BQ36" s="31">
        <f>BN36-BX36</f>
        <v>249</v>
      </c>
      <c r="BR36" s="39">
        <f>BQ36/BP36</f>
        <v>0.16778975741239893</v>
      </c>
      <c r="BS36" s="40">
        <v>1.881822E-19</v>
      </c>
      <c r="BT36" s="37">
        <v>2.8413330000000001E-2</v>
      </c>
      <c r="BU36" s="50">
        <v>5405</v>
      </c>
      <c r="BV36" s="66">
        <v>1740</v>
      </c>
      <c r="BW36" s="28">
        <v>818</v>
      </c>
      <c r="BX36" s="68">
        <v>383</v>
      </c>
      <c r="BY36" s="12">
        <f t="shared" si="30"/>
        <v>0.22011494252873562</v>
      </c>
      <c r="BZ36" s="69">
        <f>BV36-CF36</f>
        <v>312</v>
      </c>
      <c r="CA36" s="31">
        <f>BX36-CH36</f>
        <v>47</v>
      </c>
      <c r="CB36" s="39">
        <f>CA36/BZ36</f>
        <v>0.15064102564102563</v>
      </c>
      <c r="CC36" s="40">
        <v>1.6525669999999999E-21</v>
      </c>
      <c r="CD36" s="79">
        <v>0.53995040000000005</v>
      </c>
      <c r="CE36" s="50">
        <v>4776</v>
      </c>
      <c r="CF36" s="66">
        <v>1428</v>
      </c>
      <c r="CG36" s="28">
        <v>758</v>
      </c>
      <c r="CH36" s="68">
        <v>336</v>
      </c>
      <c r="CI36" s="12">
        <f t="shared" si="31"/>
        <v>0.23529411764705882</v>
      </c>
      <c r="CJ36" s="69">
        <f>CF36-CP36</f>
        <v>993</v>
      </c>
      <c r="CK36" s="31">
        <f>CH36-CR36</f>
        <v>187</v>
      </c>
      <c r="CL36" s="39">
        <f>CK36/CJ36</f>
        <v>0.18831822759315206</v>
      </c>
      <c r="CM36" s="40">
        <v>2.6299189999999999E-20</v>
      </c>
      <c r="CN36" s="79">
        <v>2.7250809999999999E-3</v>
      </c>
      <c r="CO36" s="50">
        <v>2012</v>
      </c>
      <c r="CP36" s="75">
        <v>435</v>
      </c>
      <c r="CQ36" s="28">
        <v>407</v>
      </c>
      <c r="CR36" s="68">
        <v>149</v>
      </c>
      <c r="CS36" s="12">
        <f t="shared" si="32"/>
        <v>0.34252873563218389</v>
      </c>
      <c r="CT36" s="69">
        <f>CP36-CZ36</f>
        <v>199</v>
      </c>
      <c r="CU36" s="31">
        <f>CR36-DB36</f>
        <v>69</v>
      </c>
      <c r="CV36" s="39">
        <f>CU36/CT36</f>
        <v>0.34673366834170855</v>
      </c>
      <c r="CW36" s="40">
        <v>3.0489400000000002E-15</v>
      </c>
      <c r="CX36" s="40">
        <v>3.5395589999999998E-7</v>
      </c>
      <c r="CY36" s="50">
        <v>1319</v>
      </c>
      <c r="CZ36" s="66">
        <v>236</v>
      </c>
      <c r="DA36" s="28">
        <v>263</v>
      </c>
      <c r="DB36" s="68">
        <v>80</v>
      </c>
      <c r="DC36" s="12">
        <f t="shared" si="33"/>
        <v>0.33898305084745761</v>
      </c>
      <c r="DD36" s="40">
        <v>1.391968E-8</v>
      </c>
    </row>
    <row r="37" spans="1:108" s="117" customFormat="1" x14ac:dyDescent="0.2">
      <c r="A37" s="393"/>
      <c r="B37" s="281" t="s">
        <v>0</v>
      </c>
      <c r="C37" s="285">
        <v>63629</v>
      </c>
      <c r="D37" s="66">
        <v>61649</v>
      </c>
      <c r="E37" s="67">
        <v>4877</v>
      </c>
      <c r="F37" s="68">
        <v>4769</v>
      </c>
      <c r="G37" s="12">
        <f t="shared" si="22"/>
        <v>7.7357296955343963E-2</v>
      </c>
      <c r="H37" s="69">
        <f>D37-N37</f>
        <v>18058</v>
      </c>
      <c r="I37" s="31">
        <f>F37-P37</f>
        <v>1061</v>
      </c>
      <c r="J37" s="39">
        <f>I37/H37</f>
        <v>5.8755122383431169E-2</v>
      </c>
      <c r="K37" s="40">
        <v>5.2188750000000001E-5</v>
      </c>
      <c r="L37" s="37">
        <v>1</v>
      </c>
      <c r="M37" s="50">
        <v>54322</v>
      </c>
      <c r="N37" s="66">
        <v>43591</v>
      </c>
      <c r="O37" s="28">
        <v>4232</v>
      </c>
      <c r="P37" s="68">
        <v>3708</v>
      </c>
      <c r="Q37" s="12">
        <f t="shared" si="23"/>
        <v>8.5063430524649583E-2</v>
      </c>
      <c r="R37" s="70">
        <f>N37-X37</f>
        <v>17545</v>
      </c>
      <c r="S37" s="71">
        <f>P37-Z37</f>
        <v>1104</v>
      </c>
      <c r="T37" s="39">
        <f>S37/R37</f>
        <v>6.2923909945853521E-2</v>
      </c>
      <c r="U37" s="40">
        <v>5.6391670000000004E-40</v>
      </c>
      <c r="V37" s="37">
        <v>1</v>
      </c>
      <c r="W37" s="50">
        <v>43650</v>
      </c>
      <c r="X37" s="66">
        <v>26046</v>
      </c>
      <c r="Y37" s="28">
        <v>3532</v>
      </c>
      <c r="Z37" s="68">
        <v>2604</v>
      </c>
      <c r="AA37" s="12">
        <f t="shared" si="24"/>
        <v>9.9976963833218149E-2</v>
      </c>
      <c r="AB37" s="69">
        <f>X37-AH37</f>
        <v>12181</v>
      </c>
      <c r="AC37" s="31">
        <f>Z37-AJ37</f>
        <v>965</v>
      </c>
      <c r="AD37" s="39">
        <f>AC37/AB37</f>
        <v>7.9221738773499709E-2</v>
      </c>
      <c r="AE37" s="40">
        <v>2.9031959999999999E-74</v>
      </c>
      <c r="AF37" s="47">
        <v>0.79575260000000003</v>
      </c>
      <c r="AG37" s="50">
        <v>28743</v>
      </c>
      <c r="AH37" s="66">
        <v>13865</v>
      </c>
      <c r="AI37" s="28">
        <v>2549</v>
      </c>
      <c r="AJ37" s="68">
        <v>1639</v>
      </c>
      <c r="AK37" s="12">
        <f t="shared" si="25"/>
        <v>0.11821132347637937</v>
      </c>
      <c r="AL37" s="69">
        <f>AH37-AR37</f>
        <v>1116</v>
      </c>
      <c r="AM37" s="31">
        <f>AJ37-AT37</f>
        <v>112</v>
      </c>
      <c r="AN37" s="39">
        <f>AM37/AL37</f>
        <v>0.1003584229390681</v>
      </c>
      <c r="AO37" s="73">
        <v>1.56277E-65</v>
      </c>
      <c r="AP37" s="72">
        <v>9.0824210000000002E-2</v>
      </c>
      <c r="AQ37" s="50">
        <v>27770</v>
      </c>
      <c r="AR37" s="75">
        <v>12749</v>
      </c>
      <c r="AS37" s="28">
        <v>2465</v>
      </c>
      <c r="AT37" s="74">
        <v>1527</v>
      </c>
      <c r="AU37" s="12">
        <f t="shared" si="26"/>
        <v>0.11977409992940623</v>
      </c>
      <c r="AV37" s="69">
        <f>AR37-BB37</f>
        <v>6706</v>
      </c>
      <c r="AW37" s="31">
        <f t="shared" si="27"/>
        <v>662</v>
      </c>
      <c r="AX37" s="39">
        <f>AW37/AV37</f>
        <v>9.8717566358484943E-2</v>
      </c>
      <c r="AY37" s="40">
        <v>4.9144600000000004E-63</v>
      </c>
      <c r="AZ37" s="40">
        <v>6.1039999999999998E-4</v>
      </c>
      <c r="BA37" s="50">
        <v>15651</v>
      </c>
      <c r="BB37" s="66">
        <v>6043</v>
      </c>
      <c r="BC37" s="28">
        <v>1498</v>
      </c>
      <c r="BD37" s="68">
        <v>865</v>
      </c>
      <c r="BE37" s="12">
        <f t="shared" si="28"/>
        <v>0.14314082409399306</v>
      </c>
      <c r="BF37" s="69">
        <f>BB37-BL37</f>
        <v>4220</v>
      </c>
      <c r="BG37" s="31">
        <f>BD37-BN37</f>
        <v>488</v>
      </c>
      <c r="BH37" s="39">
        <f>BG37/BB37</f>
        <v>8.0754592090021518E-2</v>
      </c>
      <c r="BI37" s="40">
        <v>5.0672050000000004E-56</v>
      </c>
      <c r="BJ37" s="40">
        <v>2.420098E-7</v>
      </c>
      <c r="BK37" s="50">
        <v>6924</v>
      </c>
      <c r="BL37" s="66">
        <v>1823</v>
      </c>
      <c r="BM37" s="28">
        <v>789</v>
      </c>
      <c r="BN37" s="68">
        <v>377</v>
      </c>
      <c r="BO37" s="12">
        <f t="shared" si="29"/>
        <v>0.20680197476686779</v>
      </c>
      <c r="BP37" s="69">
        <f>BL37-BV37</f>
        <v>1012</v>
      </c>
      <c r="BQ37" s="31">
        <f>BN37-BX37</f>
        <v>175</v>
      </c>
      <c r="BR37" s="39">
        <f>BQ37/BP37</f>
        <v>0.17292490118577075</v>
      </c>
      <c r="BS37" s="40">
        <v>2.1089389999999998E-43</v>
      </c>
      <c r="BT37" s="40">
        <v>8.3549080000000002E-10</v>
      </c>
      <c r="BU37" s="50">
        <v>3926</v>
      </c>
      <c r="BV37" s="66">
        <v>811</v>
      </c>
      <c r="BW37" s="28">
        <v>462</v>
      </c>
      <c r="BX37" s="68">
        <v>202</v>
      </c>
      <c r="BY37" s="12">
        <f t="shared" si="30"/>
        <v>0.24907521578298397</v>
      </c>
      <c r="BZ37" s="69">
        <f>BV37-CF37</f>
        <v>243</v>
      </c>
      <c r="CA37" s="31">
        <f>BX37-CH37</f>
        <v>61</v>
      </c>
      <c r="CB37" s="39">
        <f>CA37/BZ37</f>
        <v>0.25102880658436216</v>
      </c>
      <c r="CC37" s="40">
        <v>1.7966919999999999E-33</v>
      </c>
      <c r="CD37" s="40">
        <v>1.818357E-9</v>
      </c>
      <c r="CE37" s="50">
        <v>3212</v>
      </c>
      <c r="CF37" s="66">
        <v>568</v>
      </c>
      <c r="CG37" s="28">
        <v>361</v>
      </c>
      <c r="CH37" s="68">
        <v>141</v>
      </c>
      <c r="CI37" s="12">
        <f t="shared" si="31"/>
        <v>0.24823943661971831</v>
      </c>
      <c r="CJ37" s="69">
        <f>CF37-CP37</f>
        <v>530</v>
      </c>
      <c r="CK37" s="31">
        <f>CH37-CR37</f>
        <v>126</v>
      </c>
      <c r="CL37" s="39">
        <f>CK37/CJ37</f>
        <v>0.23773584905660378</v>
      </c>
      <c r="CM37" s="40">
        <v>5.9780500000000002E-25</v>
      </c>
      <c r="CN37" s="40">
        <v>5.3375260000000002E-20</v>
      </c>
      <c r="CO37" s="50">
        <v>178</v>
      </c>
      <c r="CP37" s="75">
        <v>38</v>
      </c>
      <c r="CQ37" s="28">
        <v>45</v>
      </c>
      <c r="CR37" s="68">
        <v>15</v>
      </c>
      <c r="CS37" s="12">
        <f t="shared" si="32"/>
        <v>0.39473684210526316</v>
      </c>
      <c r="CT37" s="69">
        <f>CP37-CZ37</f>
        <v>32</v>
      </c>
      <c r="CU37" s="31">
        <f>CR37-DB37</f>
        <v>10</v>
      </c>
      <c r="CV37" s="39">
        <f>CU37/CT37</f>
        <v>0.3125</v>
      </c>
      <c r="CW37" s="79">
        <v>2.2121169999999999E-2</v>
      </c>
      <c r="CX37" s="79">
        <v>0.2588278</v>
      </c>
      <c r="CY37" s="50">
        <v>56</v>
      </c>
      <c r="CZ37" s="66">
        <v>6</v>
      </c>
      <c r="DA37" s="28">
        <v>16</v>
      </c>
      <c r="DB37" s="68">
        <v>5</v>
      </c>
      <c r="DC37" s="12">
        <f t="shared" si="33"/>
        <v>0.83333333333333337</v>
      </c>
      <c r="DD37" s="79">
        <v>5.6278659999999996E-3</v>
      </c>
    </row>
    <row r="38" spans="1:108" s="117" customFormat="1" x14ac:dyDescent="0.2">
      <c r="A38" s="288"/>
      <c r="B38" s="289"/>
      <c r="C38" s="286"/>
      <c r="D38" s="47"/>
      <c r="E38" s="47"/>
      <c r="F38" s="47"/>
      <c r="G38" s="46"/>
      <c r="H38" s="47"/>
      <c r="I38" s="47"/>
      <c r="J38" s="44"/>
      <c r="K38" s="40"/>
      <c r="L38" s="37"/>
      <c r="M38" s="45"/>
      <c r="N38" s="47"/>
      <c r="O38" s="45"/>
      <c r="P38" s="47"/>
      <c r="Q38" s="46"/>
      <c r="R38" s="76"/>
      <c r="S38" s="76"/>
      <c r="T38" s="44"/>
      <c r="U38" s="40"/>
      <c r="V38" s="37"/>
      <c r="W38" s="45"/>
      <c r="X38" s="47"/>
      <c r="Y38" s="45"/>
      <c r="Z38" s="47"/>
      <c r="AA38" s="46"/>
      <c r="AB38" s="47"/>
      <c r="AC38" s="47"/>
      <c r="AD38" s="44"/>
      <c r="AE38" s="40"/>
      <c r="AF38" s="47"/>
      <c r="AG38" s="45"/>
      <c r="AH38" s="47"/>
      <c r="AI38" s="45"/>
      <c r="AJ38" s="47"/>
      <c r="AK38" s="46"/>
      <c r="AL38" s="47"/>
      <c r="AM38" s="47"/>
      <c r="AN38" s="44"/>
      <c r="AO38" s="40"/>
      <c r="AP38" s="37"/>
      <c r="AQ38" s="45"/>
      <c r="AR38" s="77"/>
      <c r="AS38" s="45"/>
      <c r="AT38" s="77"/>
      <c r="AU38" s="46"/>
      <c r="AV38" s="47"/>
      <c r="AW38" s="47"/>
      <c r="AX38" s="44"/>
      <c r="AY38" s="40"/>
      <c r="AZ38" s="37"/>
      <c r="BA38" s="45"/>
      <c r="BB38" s="47"/>
      <c r="BC38" s="45"/>
      <c r="BD38" s="47"/>
      <c r="BE38" s="46"/>
      <c r="BF38" s="47"/>
      <c r="BG38" s="47"/>
      <c r="BH38" s="44"/>
      <c r="BI38" s="40"/>
      <c r="BJ38" s="37"/>
      <c r="BK38" s="45"/>
      <c r="BL38" s="47"/>
      <c r="BM38" s="45"/>
      <c r="BN38" s="47"/>
      <c r="BO38" s="46"/>
      <c r="BP38" s="47"/>
      <c r="BQ38" s="47"/>
      <c r="BR38" s="44"/>
      <c r="BS38" s="40"/>
      <c r="BT38" s="37"/>
      <c r="BU38" s="45"/>
      <c r="BV38" s="47"/>
      <c r="BW38" s="45"/>
      <c r="BX38" s="47"/>
      <c r="BY38" s="46"/>
      <c r="BZ38" s="47"/>
      <c r="CA38" s="47"/>
      <c r="CB38" s="44"/>
      <c r="CC38" s="40"/>
      <c r="CD38" s="37"/>
      <c r="CE38" s="45"/>
      <c r="CF38" s="47"/>
      <c r="CG38" s="45"/>
      <c r="CH38" s="47"/>
      <c r="CI38" s="46"/>
      <c r="CJ38" s="47"/>
      <c r="CK38" s="47"/>
      <c r="CL38" s="44"/>
      <c r="CM38" s="37"/>
      <c r="CN38" s="37"/>
      <c r="CO38" s="45"/>
      <c r="CP38" s="77"/>
      <c r="CQ38" s="45"/>
      <c r="CR38" s="47"/>
      <c r="CS38" s="46"/>
      <c r="CT38" s="47"/>
      <c r="CU38" s="47"/>
      <c r="CV38" s="44"/>
      <c r="CW38" s="37"/>
      <c r="CX38" s="37"/>
      <c r="CY38" s="45"/>
      <c r="CZ38" s="47"/>
      <c r="DA38" s="45"/>
      <c r="DB38" s="47"/>
      <c r="DC38" s="46"/>
      <c r="DD38" s="37"/>
    </row>
    <row r="39" spans="1:108" s="117" customFormat="1" x14ac:dyDescent="0.2">
      <c r="A39" s="394" t="s">
        <v>5</v>
      </c>
      <c r="B39" s="281" t="s">
        <v>1</v>
      </c>
      <c r="C39" s="285">
        <v>43818</v>
      </c>
      <c r="D39" s="66">
        <v>42540</v>
      </c>
      <c r="E39" s="67">
        <v>7969</v>
      </c>
      <c r="F39" s="68">
        <v>7779</v>
      </c>
      <c r="G39" s="12">
        <f t="shared" si="22"/>
        <v>0.18286318758815231</v>
      </c>
      <c r="H39" s="69">
        <f>D39-N39</f>
        <v>8580</v>
      </c>
      <c r="I39" s="31">
        <f>F39-P39</f>
        <v>1555</v>
      </c>
      <c r="J39" s="39">
        <f>I39/H39</f>
        <v>0.18123543123543123</v>
      </c>
      <c r="K39" s="40">
        <v>8.0405739999999998E-4</v>
      </c>
      <c r="L39" s="79">
        <v>0.57239819999999997</v>
      </c>
      <c r="M39" s="50">
        <v>40376</v>
      </c>
      <c r="N39" s="66">
        <v>33960</v>
      </c>
      <c r="O39" s="28">
        <v>7106</v>
      </c>
      <c r="P39" s="68">
        <v>6224</v>
      </c>
      <c r="Q39" s="12">
        <f t="shared" si="23"/>
        <v>0.18327444051825678</v>
      </c>
      <c r="R39" s="70">
        <f>N39-X39</f>
        <v>9002</v>
      </c>
      <c r="S39" s="71">
        <f>P39-Z39</f>
        <v>1205</v>
      </c>
      <c r="T39" s="39">
        <f>S39/R39</f>
        <v>0.13385914241279714</v>
      </c>
      <c r="U39" s="40">
        <v>7.4465529999999995E-20</v>
      </c>
      <c r="V39" s="37">
        <v>1</v>
      </c>
      <c r="W39" s="50">
        <v>35380</v>
      </c>
      <c r="X39" s="66">
        <v>24958</v>
      </c>
      <c r="Y39" s="28">
        <v>6592</v>
      </c>
      <c r="Z39" s="68">
        <v>5019</v>
      </c>
      <c r="AA39" s="12">
        <f t="shared" si="24"/>
        <v>0.20109784437855596</v>
      </c>
      <c r="AB39" s="69">
        <f>X39-AH39</f>
        <v>8779</v>
      </c>
      <c r="AC39" s="31">
        <f>Z39-AJ39</f>
        <v>1377</v>
      </c>
      <c r="AD39" s="39">
        <f>AC39/AB39</f>
        <v>0.15685157762843149</v>
      </c>
      <c r="AE39" s="40">
        <v>1.8354090000000001E-29</v>
      </c>
      <c r="AF39" s="47">
        <v>1</v>
      </c>
      <c r="AG39" s="50">
        <v>27308</v>
      </c>
      <c r="AH39" s="66">
        <v>16179</v>
      </c>
      <c r="AI39" s="28">
        <v>5438</v>
      </c>
      <c r="AJ39" s="68">
        <v>3642</v>
      </c>
      <c r="AK39" s="12">
        <f t="shared" si="25"/>
        <v>0.22510661969219359</v>
      </c>
      <c r="AL39" s="69">
        <f>AH39-AR39</f>
        <v>1473</v>
      </c>
      <c r="AM39" s="31">
        <f>AJ39-AT39</f>
        <v>374</v>
      </c>
      <c r="AN39" s="39">
        <f>AM39/AL39</f>
        <v>0.25390359809911744</v>
      </c>
      <c r="AO39" s="73">
        <v>2.6668190000000001E-39</v>
      </c>
      <c r="AP39" s="73">
        <v>8.4782060000000004E-8</v>
      </c>
      <c r="AQ39" s="50">
        <v>25669</v>
      </c>
      <c r="AR39" s="66">
        <v>14706</v>
      </c>
      <c r="AS39" s="28">
        <v>5100</v>
      </c>
      <c r="AT39" s="74">
        <v>3268</v>
      </c>
      <c r="AU39" s="12">
        <f t="shared" si="26"/>
        <v>0.22222222222222221</v>
      </c>
      <c r="AV39" s="69">
        <f>AR39-BB39</f>
        <v>5567</v>
      </c>
      <c r="AW39" s="31">
        <f t="shared" si="27"/>
        <v>1066</v>
      </c>
      <c r="AX39" s="39">
        <f>AW39/AV39</f>
        <v>0.19148553978803665</v>
      </c>
      <c r="AY39" s="40">
        <v>1.8773119999999999E-28</v>
      </c>
      <c r="AZ39" s="37">
        <v>0.93799999999999994</v>
      </c>
      <c r="BA39" s="50">
        <v>18925</v>
      </c>
      <c r="BB39" s="66">
        <v>9139</v>
      </c>
      <c r="BC39" s="28">
        <v>3976</v>
      </c>
      <c r="BD39" s="68">
        <v>2202</v>
      </c>
      <c r="BE39" s="12">
        <f t="shared" si="28"/>
        <v>0.24094539884013569</v>
      </c>
      <c r="BF39" s="69">
        <f>BB39-BL39</f>
        <v>3848</v>
      </c>
      <c r="BG39" s="31">
        <f>BD39-BN39</f>
        <v>760</v>
      </c>
      <c r="BH39" s="39">
        <f>BG39/BB39</f>
        <v>8.3160083160083165E-2</v>
      </c>
      <c r="BI39" s="40">
        <v>4.4863079999999997E-24</v>
      </c>
      <c r="BJ39" s="79">
        <v>0.98534730000000004</v>
      </c>
      <c r="BK39" s="50">
        <v>13817</v>
      </c>
      <c r="BL39" s="66">
        <v>5291</v>
      </c>
      <c r="BM39" s="28">
        <v>3103</v>
      </c>
      <c r="BN39" s="68">
        <v>1442</v>
      </c>
      <c r="BO39" s="12">
        <f t="shared" si="29"/>
        <v>0.27253827253827256</v>
      </c>
      <c r="BP39" s="69">
        <f>BL39-BV39</f>
        <v>2346</v>
      </c>
      <c r="BQ39" s="31">
        <f>BN39-BX39</f>
        <v>597</v>
      </c>
      <c r="BR39" s="39">
        <f>BQ39/BP39</f>
        <v>0.25447570332480818</v>
      </c>
      <c r="BS39" s="40">
        <v>2.7495660000000001E-26</v>
      </c>
      <c r="BT39" s="40">
        <v>9.1822849999999994E-5</v>
      </c>
      <c r="BU39" s="50">
        <v>9356</v>
      </c>
      <c r="BV39" s="66">
        <v>2945</v>
      </c>
      <c r="BW39" s="28">
        <v>2055</v>
      </c>
      <c r="BX39" s="68">
        <v>845</v>
      </c>
      <c r="BY39" s="12">
        <f t="shared" si="30"/>
        <v>0.28692699490662138</v>
      </c>
      <c r="BZ39" s="69">
        <f>BV39-CF39</f>
        <v>522</v>
      </c>
      <c r="CA39" s="31">
        <f>BX39-CH39</f>
        <v>101</v>
      </c>
      <c r="CB39" s="39">
        <f>CA39/BZ39</f>
        <v>0.19348659003831417</v>
      </c>
      <c r="CC39" s="40">
        <v>6.5623920000000001E-26</v>
      </c>
      <c r="CD39" s="79">
        <v>0.93983969999999994</v>
      </c>
      <c r="CE39" s="50">
        <v>8133</v>
      </c>
      <c r="CF39" s="66">
        <v>2423</v>
      </c>
      <c r="CG39" s="28">
        <v>1881</v>
      </c>
      <c r="CH39" s="68">
        <v>744</v>
      </c>
      <c r="CI39" s="12">
        <f t="shared" si="31"/>
        <v>0.30705736690053653</v>
      </c>
      <c r="CJ39" s="69">
        <f>CF39-CP39</f>
        <v>1663</v>
      </c>
      <c r="CK39" s="31">
        <f>CH39-CR39</f>
        <v>395</v>
      </c>
      <c r="CL39" s="39">
        <f>CK39/CJ39</f>
        <v>0.2375225496091401</v>
      </c>
      <c r="CM39" s="40">
        <v>2.170529E-25</v>
      </c>
      <c r="CN39" s="79">
        <v>0.25903949999999998</v>
      </c>
      <c r="CO39" s="50">
        <v>3622</v>
      </c>
      <c r="CP39" s="75">
        <v>760</v>
      </c>
      <c r="CQ39" s="28">
        <v>1114</v>
      </c>
      <c r="CR39" s="68">
        <v>349</v>
      </c>
      <c r="CS39" s="12">
        <f t="shared" si="32"/>
        <v>0.45921052631578946</v>
      </c>
      <c r="CT39" s="69">
        <f>CP39-CZ39</f>
        <v>319</v>
      </c>
      <c r="CU39" s="31">
        <f>CR39-DB39</f>
        <v>136</v>
      </c>
      <c r="CV39" s="39">
        <f>CU39/CT39</f>
        <v>0.42633228840125392</v>
      </c>
      <c r="CW39" s="40">
        <v>1.9246520000000001E-23</v>
      </c>
      <c r="CX39" s="40">
        <v>1.7788720000000001E-6</v>
      </c>
      <c r="CY39" s="50">
        <v>2720</v>
      </c>
      <c r="CZ39" s="66">
        <v>441</v>
      </c>
      <c r="DA39" s="28">
        <v>798</v>
      </c>
      <c r="DB39" s="68">
        <v>213</v>
      </c>
      <c r="DC39" s="12">
        <f t="shared" si="33"/>
        <v>0.48299319727891155</v>
      </c>
      <c r="DD39" s="40">
        <v>2.2685389999999999E-20</v>
      </c>
    </row>
    <row r="40" spans="1:108" s="117" customFormat="1" x14ac:dyDescent="0.2">
      <c r="A40" s="394"/>
      <c r="B40" s="281" t="s">
        <v>0</v>
      </c>
      <c r="C40" s="285">
        <v>50229</v>
      </c>
      <c r="D40" s="66">
        <v>48661</v>
      </c>
      <c r="E40" s="67">
        <v>5487</v>
      </c>
      <c r="F40" s="68">
        <v>5350</v>
      </c>
      <c r="G40" s="12">
        <f t="shared" si="22"/>
        <v>0.1099443085838762</v>
      </c>
      <c r="H40" s="69">
        <f>D40-N40</f>
        <v>14728</v>
      </c>
      <c r="I40" s="31">
        <f>F40-P40</f>
        <v>1342</v>
      </c>
      <c r="J40" s="39">
        <f>I40/H40</f>
        <v>9.1118957088538843E-2</v>
      </c>
      <c r="K40" s="40">
        <v>2.1608249999999999E-3</v>
      </c>
      <c r="L40" s="37">
        <v>1</v>
      </c>
      <c r="M40" s="50">
        <v>42320</v>
      </c>
      <c r="N40" s="66">
        <v>33933</v>
      </c>
      <c r="O40" s="28">
        <v>4620</v>
      </c>
      <c r="P40" s="68">
        <v>4008</v>
      </c>
      <c r="Q40" s="12">
        <f t="shared" si="23"/>
        <v>0.11811510918574838</v>
      </c>
      <c r="R40" s="70">
        <f>N40-X40</f>
        <v>14823</v>
      </c>
      <c r="S40" s="71">
        <f>P40-Z40</f>
        <v>1311</v>
      </c>
      <c r="T40" s="39">
        <f>S40/R40</f>
        <v>8.8443634891722328E-2</v>
      </c>
      <c r="U40" s="40">
        <v>1.9602860000000001E-35</v>
      </c>
      <c r="V40" s="37">
        <v>1</v>
      </c>
      <c r="W40" s="50">
        <v>31308</v>
      </c>
      <c r="X40" s="66">
        <v>19110</v>
      </c>
      <c r="Y40" s="28">
        <v>3740</v>
      </c>
      <c r="Z40" s="68">
        <v>2697</v>
      </c>
      <c r="AA40" s="12">
        <f t="shared" si="24"/>
        <v>0.1411302982731554</v>
      </c>
      <c r="AB40" s="69">
        <f>X40-AH40</f>
        <v>8781</v>
      </c>
      <c r="AC40" s="31">
        <f>Z40-AJ40</f>
        <v>960</v>
      </c>
      <c r="AD40" s="39">
        <f>AC40/AB40</f>
        <v>0.1093269559275709</v>
      </c>
      <c r="AE40" s="40">
        <v>1.223283E-51</v>
      </c>
      <c r="AF40" s="47">
        <v>0.99976339999999997</v>
      </c>
      <c r="AG40" s="50">
        <v>20977</v>
      </c>
      <c r="AH40" s="66">
        <v>10329</v>
      </c>
      <c r="AI40" s="28">
        <v>2730</v>
      </c>
      <c r="AJ40" s="68">
        <v>1737</v>
      </c>
      <c r="AK40" s="12">
        <f t="shared" si="25"/>
        <v>0.16816729596282312</v>
      </c>
      <c r="AL40" s="69">
        <f>AH40-AR40</f>
        <v>1035</v>
      </c>
      <c r="AM40" s="31">
        <f>AJ40-AT40</f>
        <v>161</v>
      </c>
      <c r="AN40" s="39">
        <f>AM40/AL40</f>
        <v>0.15555555555555556</v>
      </c>
      <c r="AO40" s="73">
        <v>3.5239939999999999E-59</v>
      </c>
      <c r="AP40" s="274">
        <v>8.2686229999999993E-3</v>
      </c>
      <c r="AQ40" s="50">
        <v>20416</v>
      </c>
      <c r="AR40" s="66">
        <v>9294</v>
      </c>
      <c r="AS40" s="28">
        <v>2614</v>
      </c>
      <c r="AT40" s="74">
        <v>1576</v>
      </c>
      <c r="AU40" s="12">
        <f t="shared" si="26"/>
        <v>0.16957176673122445</v>
      </c>
      <c r="AV40" s="69">
        <f>AR40-BB40</f>
        <v>4970</v>
      </c>
      <c r="AW40" s="31">
        <f t="shared" si="27"/>
        <v>718</v>
      </c>
      <c r="AX40" s="39">
        <f>AW40/AV40</f>
        <v>0.14446680080482899</v>
      </c>
      <c r="AY40" s="40">
        <v>2.6561430000000001E-59</v>
      </c>
      <c r="AZ40" s="40">
        <v>4.456E-5</v>
      </c>
      <c r="BA40" s="50">
        <v>11244</v>
      </c>
      <c r="BB40" s="66">
        <v>4324</v>
      </c>
      <c r="BC40" s="28">
        <v>1619</v>
      </c>
      <c r="BD40" s="68">
        <v>858</v>
      </c>
      <c r="BE40" s="12">
        <f t="shared" si="28"/>
        <v>0.19842738205365401</v>
      </c>
      <c r="BF40" s="69">
        <f>BB40-BL40</f>
        <v>2956</v>
      </c>
      <c r="BG40" s="31">
        <f>BD40-BN40</f>
        <v>434</v>
      </c>
      <c r="BH40" s="39">
        <f>BG40/BB40</f>
        <v>0.10037002775208141</v>
      </c>
      <c r="BI40" s="40">
        <v>7.6534019999999998E-38</v>
      </c>
      <c r="BJ40" s="79">
        <v>0.31455959999999999</v>
      </c>
      <c r="BK40" s="50">
        <v>5015</v>
      </c>
      <c r="BL40" s="66">
        <v>1368</v>
      </c>
      <c r="BM40" s="28">
        <v>930</v>
      </c>
      <c r="BN40" s="68">
        <v>424</v>
      </c>
      <c r="BO40" s="12">
        <f t="shared" si="29"/>
        <v>0.30994152046783624</v>
      </c>
      <c r="BP40" s="69">
        <f>BL40-BV40</f>
        <v>654</v>
      </c>
      <c r="BQ40" s="31">
        <f>BN40-BX40</f>
        <v>199</v>
      </c>
      <c r="BR40" s="39">
        <f>BQ40/BP40</f>
        <v>0.30428134556574926</v>
      </c>
      <c r="BS40" s="40">
        <v>6.4188950000000002E-41</v>
      </c>
      <c r="BT40" s="40">
        <v>1.452599E-15</v>
      </c>
      <c r="BU40" s="50">
        <v>3258</v>
      </c>
      <c r="BV40" s="66">
        <v>714</v>
      </c>
      <c r="BW40" s="28">
        <v>540</v>
      </c>
      <c r="BX40" s="68">
        <v>225</v>
      </c>
      <c r="BY40" s="12">
        <f t="shared" si="30"/>
        <v>0.31512605042016806</v>
      </c>
      <c r="BZ40" s="69">
        <f>BV40-CF40</f>
        <v>173</v>
      </c>
      <c r="CA40" s="31">
        <f>BX40-CH40</f>
        <v>44</v>
      </c>
      <c r="CB40" s="39">
        <f>CA40/BZ40</f>
        <v>0.25433526011560692</v>
      </c>
      <c r="CC40" s="40">
        <v>2.0728149999999998E-30</v>
      </c>
      <c r="CD40" s="40">
        <v>1.494881E-3</v>
      </c>
      <c r="CE40" s="50">
        <v>2673</v>
      </c>
      <c r="CF40" s="66">
        <v>541</v>
      </c>
      <c r="CG40" s="28">
        <v>453</v>
      </c>
      <c r="CH40" s="68">
        <v>181</v>
      </c>
      <c r="CI40" s="12">
        <f t="shared" si="31"/>
        <v>0.3345656192236599</v>
      </c>
      <c r="CJ40" s="69">
        <f>CF40-CP40</f>
        <v>463</v>
      </c>
      <c r="CK40" s="31">
        <f>CH40-CR40</f>
        <v>135</v>
      </c>
      <c r="CL40" s="39">
        <f>CK40/CJ40</f>
        <v>0.29157667386609071</v>
      </c>
      <c r="CM40" s="40">
        <v>6.0812669999999997E-27</v>
      </c>
      <c r="CN40" s="40">
        <v>2.5936919999999998E-13</v>
      </c>
      <c r="CO40" s="50">
        <v>382</v>
      </c>
      <c r="CP40" s="75">
        <v>78</v>
      </c>
      <c r="CQ40" s="28">
        <v>107</v>
      </c>
      <c r="CR40" s="68">
        <v>46</v>
      </c>
      <c r="CS40" s="12">
        <f t="shared" si="32"/>
        <v>0.58974358974358976</v>
      </c>
      <c r="CT40" s="69">
        <f>CP40-CZ40</f>
        <v>55</v>
      </c>
      <c r="CU40" s="31">
        <f>CR40-DB40</f>
        <v>28</v>
      </c>
      <c r="CV40" s="39">
        <f>CU40/CT40</f>
        <v>0.50909090909090904</v>
      </c>
      <c r="CW40" s="40">
        <v>7.4231589999999999E-11</v>
      </c>
      <c r="CX40" s="40">
        <v>8.2457470000000006E-5</v>
      </c>
      <c r="CY40" s="50">
        <v>153</v>
      </c>
      <c r="CZ40" s="66">
        <v>23</v>
      </c>
      <c r="DA40" s="28">
        <v>40</v>
      </c>
      <c r="DB40" s="68">
        <v>18</v>
      </c>
      <c r="DC40" s="12">
        <f t="shared" si="33"/>
        <v>0.78260869565217395</v>
      </c>
      <c r="DD40" s="40">
        <v>1.399297E-8</v>
      </c>
    </row>
    <row r="41" spans="1:108" s="117" customFormat="1" x14ac:dyDescent="0.2">
      <c r="A41" s="223"/>
      <c r="B41" s="224"/>
      <c r="C41" s="64"/>
      <c r="D41" s="64"/>
      <c r="E41" s="64"/>
      <c r="F41" s="64"/>
      <c r="G41" s="58"/>
      <c r="H41" s="64"/>
      <c r="I41" s="64"/>
      <c r="J41" s="58"/>
      <c r="K41" s="57"/>
      <c r="L41" s="57"/>
      <c r="M41" s="55"/>
      <c r="N41" s="64"/>
      <c r="O41" s="55"/>
      <c r="P41" s="64"/>
      <c r="Q41" s="58"/>
      <c r="R41" s="225"/>
      <c r="S41" s="225"/>
      <c r="T41" s="58"/>
      <c r="U41" s="57"/>
      <c r="V41" s="57"/>
      <c r="W41" s="55"/>
      <c r="X41" s="64"/>
      <c r="Y41" s="55"/>
      <c r="Z41" s="64"/>
      <c r="AA41" s="58"/>
      <c r="AB41" s="64"/>
      <c r="AC41" s="64"/>
      <c r="AD41" s="58"/>
      <c r="AE41" s="208"/>
      <c r="AF41" s="208"/>
      <c r="AG41" s="55"/>
      <c r="AH41" s="64"/>
      <c r="AI41" s="55"/>
      <c r="AJ41" s="64"/>
      <c r="AK41" s="58"/>
      <c r="AL41" s="64"/>
      <c r="AM41" s="64"/>
      <c r="AN41" s="58"/>
      <c r="AO41" s="226"/>
      <c r="AP41" s="226"/>
      <c r="AQ41" s="55"/>
      <c r="AR41" s="64"/>
      <c r="AS41" s="55"/>
      <c r="AT41" s="227"/>
      <c r="AU41" s="58"/>
      <c r="AV41" s="64"/>
      <c r="AW41" s="64"/>
      <c r="AX41" s="58"/>
      <c r="AY41" s="57"/>
      <c r="AZ41" s="57"/>
      <c r="BA41" s="55"/>
      <c r="BB41" s="64"/>
      <c r="BC41" s="55"/>
      <c r="BD41" s="64"/>
      <c r="BE41" s="58"/>
      <c r="BF41" s="64"/>
      <c r="BG41" s="64"/>
      <c r="BH41" s="58"/>
      <c r="BI41" s="57"/>
      <c r="BJ41" s="57"/>
      <c r="BK41" s="55"/>
      <c r="BL41" s="64"/>
      <c r="BM41" s="55"/>
      <c r="BN41" s="64"/>
      <c r="BO41" s="58"/>
      <c r="BP41" s="64"/>
      <c r="BQ41" s="64"/>
      <c r="BR41" s="58"/>
      <c r="BS41" s="57"/>
      <c r="BT41" s="208"/>
      <c r="BU41" s="55"/>
      <c r="BV41" s="64"/>
      <c r="BW41" s="55"/>
      <c r="BX41" s="64"/>
      <c r="BY41" s="58"/>
      <c r="BZ41" s="64"/>
      <c r="CA41" s="64"/>
      <c r="CB41" s="58"/>
      <c r="CC41" s="57"/>
      <c r="CD41" s="208"/>
      <c r="CE41" s="55"/>
      <c r="CF41" s="64"/>
      <c r="CG41" s="55"/>
      <c r="CH41" s="64"/>
      <c r="CI41" s="58"/>
      <c r="CJ41" s="64"/>
      <c r="CK41" s="64"/>
      <c r="CL41" s="58"/>
      <c r="CM41" s="57"/>
      <c r="CN41" s="208"/>
      <c r="CO41" s="55"/>
      <c r="CP41" s="227"/>
      <c r="CQ41" s="55"/>
      <c r="CR41" s="64"/>
      <c r="CS41" s="58"/>
      <c r="CT41" s="64"/>
      <c r="CU41" s="64"/>
      <c r="CV41" s="58"/>
      <c r="CW41" s="57"/>
      <c r="CX41" s="208"/>
      <c r="CY41" s="55"/>
      <c r="CZ41" s="64"/>
      <c r="DA41" s="55"/>
      <c r="DB41" s="64"/>
      <c r="DC41" s="58"/>
      <c r="DD41" s="57"/>
    </row>
    <row r="42" spans="1:108" x14ac:dyDescent="0.2">
      <c r="A42" s="116"/>
      <c r="C42" s="112"/>
      <c r="G42" s="90"/>
      <c r="H42" s="112"/>
      <c r="K42" s="93"/>
      <c r="L42" s="93"/>
      <c r="M42" s="93"/>
      <c r="N42" s="93"/>
      <c r="O42" s="93"/>
      <c r="P42" s="93"/>
      <c r="Q42" s="93"/>
      <c r="R42" s="121"/>
      <c r="S42" s="93"/>
      <c r="V42" s="90"/>
      <c r="W42" s="90"/>
      <c r="X42" s="60"/>
      <c r="Y42" s="60"/>
      <c r="Z42" s="90"/>
      <c r="AC42" s="115"/>
      <c r="AD42" s="90"/>
      <c r="AE42" s="90"/>
      <c r="AG42" s="60"/>
      <c r="AH42" s="60"/>
      <c r="AL42" s="115"/>
      <c r="AM42" s="90"/>
      <c r="AP42" s="60"/>
      <c r="AQ42" s="60"/>
      <c r="AT42" s="90"/>
      <c r="AU42" s="90"/>
      <c r="AY42" s="60"/>
      <c r="AZ42" s="60"/>
      <c r="BB42" s="122"/>
      <c r="BC42" s="122"/>
      <c r="BD42" s="122"/>
      <c r="BE42" s="122"/>
      <c r="BF42" s="122"/>
      <c r="BG42" s="122"/>
      <c r="BH42" s="123"/>
      <c r="BI42" s="123"/>
      <c r="BJ42" s="122"/>
      <c r="BK42" s="49"/>
      <c r="BQ42" s="60"/>
      <c r="BS42" s="90"/>
      <c r="BY42" s="90"/>
      <c r="BZ42" s="43"/>
      <c r="CA42" s="43"/>
      <c r="CG42" s="115"/>
      <c r="CJ42" s="60"/>
      <c r="CK42" s="94"/>
      <c r="CN42" s="90"/>
      <c r="CO42" s="90"/>
      <c r="CQ42" s="60"/>
      <c r="CR42" s="60"/>
      <c r="CS42" s="60"/>
      <c r="CT42" s="94"/>
      <c r="CX42" s="43"/>
      <c r="CY42" s="43"/>
    </row>
    <row r="43" spans="1:108" x14ac:dyDescent="0.2">
      <c r="C43" s="384" t="s">
        <v>33</v>
      </c>
      <c r="D43" s="385"/>
      <c r="E43" s="385"/>
      <c r="F43" s="385"/>
      <c r="G43" s="385"/>
      <c r="H43" s="385"/>
      <c r="I43" s="385"/>
      <c r="J43" s="385"/>
      <c r="K43" s="385"/>
      <c r="L43" s="387"/>
      <c r="M43" s="384" t="s">
        <v>10</v>
      </c>
      <c r="N43" s="385"/>
      <c r="O43" s="385"/>
      <c r="P43" s="385"/>
      <c r="Q43" s="385"/>
      <c r="R43" s="385"/>
      <c r="S43" s="385"/>
      <c r="T43" s="385"/>
      <c r="U43" s="385"/>
      <c r="V43" s="387"/>
      <c r="W43" s="384" t="s">
        <v>22</v>
      </c>
      <c r="X43" s="385"/>
      <c r="Y43" s="385"/>
      <c r="Z43" s="385"/>
      <c r="AA43" s="385"/>
      <c r="AB43" s="385"/>
      <c r="AC43" s="385"/>
      <c r="AD43" s="385"/>
      <c r="AE43" s="385"/>
      <c r="AF43" s="387"/>
      <c r="AG43" s="384" t="s">
        <v>12</v>
      </c>
      <c r="AH43" s="385"/>
      <c r="AI43" s="385"/>
      <c r="AJ43" s="385"/>
      <c r="AK43" s="385"/>
      <c r="AL43" s="385"/>
      <c r="AM43" s="385"/>
      <c r="AN43" s="385"/>
      <c r="AO43" s="385"/>
      <c r="AP43" s="387"/>
      <c r="AQ43" s="384" t="s">
        <v>13</v>
      </c>
      <c r="AR43" s="385"/>
      <c r="AS43" s="385"/>
      <c r="AT43" s="385"/>
      <c r="AU43" s="385"/>
      <c r="AV43" s="385"/>
      <c r="AW43" s="385"/>
      <c r="AX43" s="385"/>
      <c r="AY43" s="385"/>
      <c r="AZ43" s="387"/>
      <c r="BA43" s="384" t="s">
        <v>14</v>
      </c>
      <c r="BB43" s="385"/>
      <c r="BC43" s="385"/>
      <c r="BD43" s="385"/>
      <c r="BE43" s="385"/>
      <c r="BF43" s="385"/>
      <c r="BG43" s="385"/>
      <c r="BH43" s="385"/>
      <c r="BI43" s="385"/>
      <c r="BJ43" s="387"/>
      <c r="BK43" s="384" t="s">
        <v>15</v>
      </c>
      <c r="BL43" s="385"/>
      <c r="BM43" s="385"/>
      <c r="BN43" s="385"/>
      <c r="BO43" s="385"/>
      <c r="BP43" s="385"/>
      <c r="BQ43" s="385"/>
      <c r="BR43" s="385"/>
      <c r="BS43" s="385"/>
      <c r="BT43" s="387"/>
      <c r="BU43" s="384" t="s">
        <v>23</v>
      </c>
      <c r="BV43" s="385"/>
      <c r="BW43" s="385"/>
      <c r="BX43" s="385"/>
      <c r="BY43" s="385"/>
      <c r="BZ43" s="385"/>
      <c r="CA43" s="385"/>
      <c r="CB43" s="385"/>
      <c r="CC43" s="385"/>
      <c r="CD43" s="387"/>
      <c r="CE43" s="388" t="s">
        <v>24</v>
      </c>
      <c r="CF43" s="389"/>
      <c r="CG43" s="389"/>
      <c r="CH43" s="389"/>
      <c r="CI43" s="389"/>
      <c r="CJ43" s="389"/>
      <c r="CK43" s="389"/>
      <c r="CL43" s="389"/>
      <c r="CM43" s="389"/>
      <c r="CN43" s="390"/>
      <c r="CO43" s="384" t="s">
        <v>18</v>
      </c>
      <c r="CP43" s="385"/>
      <c r="CQ43" s="385"/>
      <c r="CR43" s="385"/>
      <c r="CS43" s="385"/>
      <c r="CT43" s="385"/>
      <c r="CU43" s="385"/>
      <c r="CV43" s="385"/>
      <c r="CW43" s="385"/>
      <c r="CX43" s="387"/>
      <c r="CY43" s="384" t="s">
        <v>19</v>
      </c>
      <c r="CZ43" s="385"/>
      <c r="DA43" s="385"/>
      <c r="DB43" s="385"/>
      <c r="DC43" s="385"/>
      <c r="DD43" s="385"/>
    </row>
    <row r="44" spans="1:108" s="91" customFormat="1" ht="94" customHeight="1" x14ac:dyDescent="0.2">
      <c r="A44" s="280" t="s">
        <v>74</v>
      </c>
      <c r="B44" s="7"/>
      <c r="C44" s="279" t="s">
        <v>56</v>
      </c>
      <c r="D44" s="7" t="s">
        <v>55</v>
      </c>
      <c r="E44" s="7" t="s">
        <v>52</v>
      </c>
      <c r="F44" s="103" t="s">
        <v>53</v>
      </c>
      <c r="G44" s="104" t="s">
        <v>54</v>
      </c>
      <c r="H44" s="104" t="s">
        <v>57</v>
      </c>
      <c r="I44" s="103" t="s">
        <v>58</v>
      </c>
      <c r="J44" s="104" t="s">
        <v>59</v>
      </c>
      <c r="K44" s="65" t="s">
        <v>35</v>
      </c>
      <c r="L44" s="65" t="s">
        <v>60</v>
      </c>
      <c r="M44" s="7" t="s">
        <v>56</v>
      </c>
      <c r="N44" s="7" t="s">
        <v>55</v>
      </c>
      <c r="O44" s="7" t="s">
        <v>52</v>
      </c>
      <c r="P44" s="103" t="s">
        <v>53</v>
      </c>
      <c r="Q44" s="104" t="s">
        <v>54</v>
      </c>
      <c r="R44" s="104" t="s">
        <v>57</v>
      </c>
      <c r="S44" s="103" t="s">
        <v>58</v>
      </c>
      <c r="T44" s="104" t="s">
        <v>59</v>
      </c>
      <c r="U44" s="65" t="s">
        <v>35</v>
      </c>
      <c r="V44" s="65" t="s">
        <v>60</v>
      </c>
      <c r="W44" s="7" t="s">
        <v>56</v>
      </c>
      <c r="X44" s="7" t="s">
        <v>55</v>
      </c>
      <c r="Y44" s="7" t="s">
        <v>52</v>
      </c>
      <c r="Z44" s="103" t="s">
        <v>53</v>
      </c>
      <c r="AA44" s="104" t="s">
        <v>54</v>
      </c>
      <c r="AB44" s="104" t="s">
        <v>57</v>
      </c>
      <c r="AC44" s="103" t="s">
        <v>58</v>
      </c>
      <c r="AD44" s="104" t="s">
        <v>59</v>
      </c>
      <c r="AE44" s="65" t="s">
        <v>35</v>
      </c>
      <c r="AF44" s="65" t="s">
        <v>60</v>
      </c>
      <c r="AG44" s="7" t="s">
        <v>56</v>
      </c>
      <c r="AH44" s="7" t="s">
        <v>55</v>
      </c>
      <c r="AI44" s="7" t="s">
        <v>52</v>
      </c>
      <c r="AJ44" s="103" t="s">
        <v>53</v>
      </c>
      <c r="AK44" s="104" t="s">
        <v>54</v>
      </c>
      <c r="AL44" s="104" t="s">
        <v>57</v>
      </c>
      <c r="AM44" s="103" t="s">
        <v>58</v>
      </c>
      <c r="AN44" s="104" t="s">
        <v>59</v>
      </c>
      <c r="AO44" s="65" t="s">
        <v>35</v>
      </c>
      <c r="AP44" s="65" t="s">
        <v>60</v>
      </c>
      <c r="AQ44" s="7" t="s">
        <v>56</v>
      </c>
      <c r="AR44" s="7" t="s">
        <v>55</v>
      </c>
      <c r="AS44" s="7" t="s">
        <v>52</v>
      </c>
      <c r="AT44" s="103" t="s">
        <v>53</v>
      </c>
      <c r="AU44" s="104" t="s">
        <v>54</v>
      </c>
      <c r="AV44" s="104" t="s">
        <v>57</v>
      </c>
      <c r="AW44" s="103" t="s">
        <v>58</v>
      </c>
      <c r="AX44" s="104" t="s">
        <v>59</v>
      </c>
      <c r="AY44" s="65" t="s">
        <v>35</v>
      </c>
      <c r="AZ44" s="65" t="s">
        <v>60</v>
      </c>
      <c r="BA44" s="7" t="s">
        <v>56</v>
      </c>
      <c r="BB44" s="7" t="s">
        <v>55</v>
      </c>
      <c r="BC44" s="7" t="s">
        <v>52</v>
      </c>
      <c r="BD44" s="103" t="s">
        <v>53</v>
      </c>
      <c r="BE44" s="104" t="s">
        <v>54</v>
      </c>
      <c r="BF44" s="104" t="s">
        <v>57</v>
      </c>
      <c r="BG44" s="103" t="s">
        <v>58</v>
      </c>
      <c r="BH44" s="104" t="s">
        <v>59</v>
      </c>
      <c r="BI44" s="65" t="s">
        <v>35</v>
      </c>
      <c r="BJ44" s="65" t="s">
        <v>60</v>
      </c>
      <c r="BK44" s="7" t="s">
        <v>56</v>
      </c>
      <c r="BL44" s="7" t="s">
        <v>55</v>
      </c>
      <c r="BM44" s="7" t="s">
        <v>52</v>
      </c>
      <c r="BN44" s="103" t="s">
        <v>53</v>
      </c>
      <c r="BO44" s="104" t="s">
        <v>54</v>
      </c>
      <c r="BP44" s="104" t="s">
        <v>57</v>
      </c>
      <c r="BQ44" s="103" t="s">
        <v>58</v>
      </c>
      <c r="BR44" s="104" t="s">
        <v>59</v>
      </c>
      <c r="BS44" s="65" t="s">
        <v>35</v>
      </c>
      <c r="BT44" s="65" t="s">
        <v>60</v>
      </c>
      <c r="BU44" s="7" t="s">
        <v>56</v>
      </c>
      <c r="BV44" s="7" t="s">
        <v>55</v>
      </c>
      <c r="BW44" s="7" t="s">
        <v>52</v>
      </c>
      <c r="BX44" s="103" t="s">
        <v>53</v>
      </c>
      <c r="BY44" s="104" t="s">
        <v>54</v>
      </c>
      <c r="BZ44" s="104" t="s">
        <v>57</v>
      </c>
      <c r="CA44" s="103" t="s">
        <v>58</v>
      </c>
      <c r="CB44" s="104" t="s">
        <v>59</v>
      </c>
      <c r="CC44" s="65" t="s">
        <v>35</v>
      </c>
      <c r="CD44" s="65" t="s">
        <v>60</v>
      </c>
      <c r="CE44" s="7" t="s">
        <v>56</v>
      </c>
      <c r="CF44" s="7" t="s">
        <v>55</v>
      </c>
      <c r="CG44" s="7" t="s">
        <v>52</v>
      </c>
      <c r="CH44" s="103" t="s">
        <v>53</v>
      </c>
      <c r="CI44" s="104" t="s">
        <v>54</v>
      </c>
      <c r="CJ44" s="104" t="s">
        <v>57</v>
      </c>
      <c r="CK44" s="103" t="s">
        <v>58</v>
      </c>
      <c r="CL44" s="104" t="s">
        <v>59</v>
      </c>
      <c r="CM44" s="65" t="s">
        <v>35</v>
      </c>
      <c r="CN44" s="65" t="s">
        <v>60</v>
      </c>
      <c r="CO44" s="7" t="s">
        <v>56</v>
      </c>
      <c r="CP44" s="7" t="s">
        <v>55</v>
      </c>
      <c r="CQ44" s="7" t="s">
        <v>52</v>
      </c>
      <c r="CR44" s="103" t="s">
        <v>53</v>
      </c>
      <c r="CS44" s="104" t="s">
        <v>54</v>
      </c>
      <c r="CT44" s="104" t="s">
        <v>57</v>
      </c>
      <c r="CU44" s="103" t="s">
        <v>58</v>
      </c>
      <c r="CV44" s="104" t="s">
        <v>59</v>
      </c>
      <c r="CW44" s="65" t="s">
        <v>35</v>
      </c>
      <c r="CX44" s="65" t="s">
        <v>60</v>
      </c>
      <c r="CY44" s="7" t="s">
        <v>56</v>
      </c>
      <c r="CZ44" s="7" t="s">
        <v>55</v>
      </c>
      <c r="DA44" s="7" t="s">
        <v>52</v>
      </c>
      <c r="DB44" s="103" t="s">
        <v>53</v>
      </c>
      <c r="DC44" s="104" t="s">
        <v>54</v>
      </c>
      <c r="DD44" s="238" t="s">
        <v>35</v>
      </c>
    </row>
    <row r="45" spans="1:108" x14ac:dyDescent="0.2">
      <c r="A45" s="382" t="s">
        <v>2</v>
      </c>
      <c r="B45" s="281" t="s">
        <v>1</v>
      </c>
      <c r="C45" s="283">
        <v>4586</v>
      </c>
      <c r="D45" s="210">
        <v>4343</v>
      </c>
      <c r="E45" s="211">
        <v>262</v>
      </c>
      <c r="F45" s="212">
        <v>248</v>
      </c>
      <c r="G45" s="213">
        <v>5.7103384757080357E-2</v>
      </c>
      <c r="H45" s="192">
        <v>1015</v>
      </c>
      <c r="I45" s="214">
        <v>43</v>
      </c>
      <c r="J45" s="213">
        <v>4.2364532019704436E-2</v>
      </c>
      <c r="K45" s="301">
        <v>0.58381939999999999</v>
      </c>
      <c r="L45" s="302">
        <v>0.99269507999999995</v>
      </c>
      <c r="M45" s="216">
        <v>3855</v>
      </c>
      <c r="N45" s="217">
        <v>3328</v>
      </c>
      <c r="O45" s="218">
        <v>249</v>
      </c>
      <c r="P45" s="212">
        <v>205</v>
      </c>
      <c r="Q45" s="213">
        <v>6.1598557692307696E-2</v>
      </c>
      <c r="R45" s="192">
        <v>919</v>
      </c>
      <c r="S45" s="214">
        <v>41</v>
      </c>
      <c r="T45" s="213">
        <v>4.461371055495103E-2</v>
      </c>
      <c r="U45" s="215">
        <v>0.97401000000000004</v>
      </c>
      <c r="V45" s="219">
        <v>0.99860000000000004</v>
      </c>
      <c r="W45" s="216">
        <v>3157</v>
      </c>
      <c r="X45" s="210">
        <v>2409</v>
      </c>
      <c r="Y45" s="211">
        <v>209</v>
      </c>
      <c r="Z45" s="220">
        <v>164</v>
      </c>
      <c r="AA45" s="213">
        <v>6.8078040680780411E-2</v>
      </c>
      <c r="AB45" s="192">
        <v>783</v>
      </c>
      <c r="AC45" s="214">
        <v>44</v>
      </c>
      <c r="AD45" s="213">
        <v>5.6194125159642401E-2</v>
      </c>
      <c r="AE45" s="219">
        <v>0.25158900000000001</v>
      </c>
      <c r="AF45" s="302">
        <v>0.91834830170000004</v>
      </c>
      <c r="AG45" s="209">
        <v>2386</v>
      </c>
      <c r="AH45" s="221">
        <v>1626</v>
      </c>
      <c r="AI45" s="211">
        <v>169</v>
      </c>
      <c r="AJ45" s="212">
        <v>120</v>
      </c>
      <c r="AK45" s="213">
        <v>7.3800738007380073E-2</v>
      </c>
      <c r="AL45" s="305">
        <v>113</v>
      </c>
      <c r="AM45" s="313">
        <v>10</v>
      </c>
      <c r="AN45" s="213">
        <v>8.8495575221238937E-2</v>
      </c>
      <c r="AO45" s="301">
        <v>0.23037644099999999</v>
      </c>
      <c r="AP45" s="301">
        <v>0.27580016200000002</v>
      </c>
      <c r="AQ45" s="209">
        <v>2288</v>
      </c>
      <c r="AR45" s="210">
        <v>1513</v>
      </c>
      <c r="AS45" s="211">
        <v>125</v>
      </c>
      <c r="AT45" s="311">
        <v>110</v>
      </c>
      <c r="AU45" s="213">
        <v>7.270323859881031E-2</v>
      </c>
      <c r="AV45" s="192">
        <v>410</v>
      </c>
      <c r="AW45" s="214">
        <v>24</v>
      </c>
      <c r="AX45" s="213">
        <v>5.8536585365853662E-2</v>
      </c>
      <c r="AY45" s="235">
        <v>8.7814229165745903E-9</v>
      </c>
      <c r="AZ45" s="301">
        <v>0.38778899999999999</v>
      </c>
      <c r="BA45" s="209">
        <v>1761</v>
      </c>
      <c r="BB45" s="310">
        <v>1103</v>
      </c>
      <c r="BC45" s="312">
        <v>116</v>
      </c>
      <c r="BD45" s="212">
        <v>86</v>
      </c>
      <c r="BE45" s="213">
        <v>7.7969174977334549E-2</v>
      </c>
      <c r="BF45" s="192">
        <v>486</v>
      </c>
      <c r="BG45" s="214">
        <v>34</v>
      </c>
      <c r="BH45" s="213">
        <v>6.9958847736625515E-2</v>
      </c>
      <c r="BI45" s="301">
        <v>4.6192000000000004E-3</v>
      </c>
      <c r="BJ45" s="301">
        <v>0.370029</v>
      </c>
      <c r="BK45" s="216">
        <v>1194</v>
      </c>
      <c r="BL45" s="210">
        <v>617</v>
      </c>
      <c r="BM45" s="211">
        <v>80</v>
      </c>
      <c r="BN45" s="212">
        <v>52</v>
      </c>
      <c r="BO45" s="213">
        <v>8.4278768233387355E-2</v>
      </c>
      <c r="BP45" s="192">
        <v>269</v>
      </c>
      <c r="BQ45" s="214">
        <v>14</v>
      </c>
      <c r="BR45" s="213">
        <v>5.204460966542751E-2</v>
      </c>
      <c r="BS45" s="219">
        <v>8.9294000000000005E-3</v>
      </c>
      <c r="BT45" s="229">
        <v>0.89769200000000005</v>
      </c>
      <c r="BU45" s="209">
        <v>794</v>
      </c>
      <c r="BV45" s="210">
        <v>348</v>
      </c>
      <c r="BW45" s="211">
        <v>52</v>
      </c>
      <c r="BX45" s="212">
        <v>38</v>
      </c>
      <c r="BY45" s="213">
        <v>0.10919540229885058</v>
      </c>
      <c r="BZ45" s="305">
        <v>73</v>
      </c>
      <c r="CA45" s="313">
        <v>7</v>
      </c>
      <c r="CB45" s="213">
        <v>9.5890410958904104E-2</v>
      </c>
      <c r="CC45" s="235">
        <v>9.8494700090000003E-6</v>
      </c>
      <c r="CD45" s="301">
        <v>0.19163679</v>
      </c>
      <c r="CE45" s="209">
        <v>689</v>
      </c>
      <c r="CF45" s="210">
        <v>275</v>
      </c>
      <c r="CG45" s="211">
        <v>39</v>
      </c>
      <c r="CH45" s="311">
        <v>31</v>
      </c>
      <c r="CI45" s="213">
        <v>0.11272727272727273</v>
      </c>
      <c r="CJ45" s="222">
        <v>147</v>
      </c>
      <c r="CK45" s="214">
        <v>13</v>
      </c>
      <c r="CL45" s="213">
        <v>8.8435374149659865E-2</v>
      </c>
      <c r="CM45" s="235">
        <v>2.5451321849345799E-7</v>
      </c>
      <c r="CN45" s="219">
        <v>5.11E-2</v>
      </c>
      <c r="CO45" s="216">
        <v>399</v>
      </c>
      <c r="CP45" s="210">
        <v>128</v>
      </c>
      <c r="CQ45" s="211">
        <v>32</v>
      </c>
      <c r="CR45" s="212">
        <v>18</v>
      </c>
      <c r="CS45" s="213">
        <v>0.140625</v>
      </c>
      <c r="CT45" s="192">
        <v>52</v>
      </c>
      <c r="CU45" s="214">
        <v>10</v>
      </c>
      <c r="CV45" s="213">
        <v>0.19230769230769232</v>
      </c>
      <c r="CW45" s="215">
        <v>2.8E-3</v>
      </c>
      <c r="CX45" s="215">
        <v>4.0000000000000001E-3</v>
      </c>
      <c r="CY45" s="209">
        <v>288</v>
      </c>
      <c r="CZ45" s="210">
        <v>76</v>
      </c>
      <c r="DA45" s="211">
        <v>16</v>
      </c>
      <c r="DB45" s="212">
        <v>8</v>
      </c>
      <c r="DC45" s="213">
        <v>0.10526315789473684</v>
      </c>
      <c r="DD45" s="215">
        <v>3.27E-2</v>
      </c>
    </row>
    <row r="46" spans="1:108" x14ac:dyDescent="0.2">
      <c r="A46" s="383"/>
      <c r="B46" s="281" t="s">
        <v>0</v>
      </c>
      <c r="C46" s="283">
        <v>16053</v>
      </c>
      <c r="D46" s="210">
        <v>14865</v>
      </c>
      <c r="E46" s="211">
        <v>569</v>
      </c>
      <c r="F46" s="212">
        <v>526</v>
      </c>
      <c r="G46" s="213">
        <v>3.5385132862428524E-2</v>
      </c>
      <c r="H46" s="192">
        <v>5882</v>
      </c>
      <c r="I46" s="214">
        <v>110</v>
      </c>
      <c r="J46" s="213">
        <v>1.8701122067324039E-2</v>
      </c>
      <c r="K46" s="301">
        <v>0.59762019</v>
      </c>
      <c r="L46" s="215">
        <v>1</v>
      </c>
      <c r="M46" s="216">
        <v>12008</v>
      </c>
      <c r="N46" s="217">
        <v>8983</v>
      </c>
      <c r="O46" s="218">
        <v>539</v>
      </c>
      <c r="P46" s="212">
        <v>416</v>
      </c>
      <c r="Q46" s="213">
        <v>4.6309696092619389E-2</v>
      </c>
      <c r="R46" s="192">
        <v>3937</v>
      </c>
      <c r="S46" s="214">
        <v>151</v>
      </c>
      <c r="T46" s="213">
        <v>3.8354076708153419E-2</v>
      </c>
      <c r="U46" s="215">
        <v>0.10536</v>
      </c>
      <c r="V46" s="219">
        <v>0.99350000000000005</v>
      </c>
      <c r="W46" s="216">
        <v>8688</v>
      </c>
      <c r="X46" s="210">
        <v>5046</v>
      </c>
      <c r="Y46" s="211">
        <v>440</v>
      </c>
      <c r="Z46" s="220">
        <v>265</v>
      </c>
      <c r="AA46" s="213">
        <v>5.2516845025762982E-2</v>
      </c>
      <c r="AB46" s="192">
        <v>2027</v>
      </c>
      <c r="AC46" s="214">
        <v>82</v>
      </c>
      <c r="AD46" s="213">
        <v>4.0453872718302912E-2</v>
      </c>
      <c r="AE46" s="219">
        <v>0.18762227000000001</v>
      </c>
      <c r="AF46" s="302">
        <v>0.99378100000000003</v>
      </c>
      <c r="AG46" s="209">
        <v>6411</v>
      </c>
      <c r="AH46" s="221">
        <v>3019</v>
      </c>
      <c r="AI46" s="211">
        <v>303</v>
      </c>
      <c r="AJ46" s="212">
        <v>183</v>
      </c>
      <c r="AK46" s="213">
        <v>6.0616098045710498E-2</v>
      </c>
      <c r="AL46" s="305">
        <v>525</v>
      </c>
      <c r="AM46" s="313">
        <v>28</v>
      </c>
      <c r="AN46" s="213">
        <v>5.3333333333333337E-2</v>
      </c>
      <c r="AO46" s="235">
        <v>1.3162199999999999E-6</v>
      </c>
      <c r="AP46" s="301">
        <v>0.27599232299999998</v>
      </c>
      <c r="AQ46" s="209">
        <v>5281</v>
      </c>
      <c r="AR46" s="210">
        <v>2494</v>
      </c>
      <c r="AS46" s="211">
        <v>208</v>
      </c>
      <c r="AT46" s="311">
        <v>155</v>
      </c>
      <c r="AU46" s="213">
        <v>6.2149157979149959E-2</v>
      </c>
      <c r="AV46" s="192">
        <v>1167</v>
      </c>
      <c r="AW46" s="214">
        <v>60</v>
      </c>
      <c r="AX46" s="213">
        <v>5.1413881748071981E-2</v>
      </c>
      <c r="AY46" s="235">
        <v>2.8833482051405999E-16</v>
      </c>
      <c r="AZ46" s="301">
        <v>1.21151E-2</v>
      </c>
      <c r="BA46" s="209">
        <v>3557</v>
      </c>
      <c r="BB46" s="310">
        <v>1327</v>
      </c>
      <c r="BC46" s="312">
        <v>187</v>
      </c>
      <c r="BD46" s="212">
        <v>95</v>
      </c>
      <c r="BE46" s="213">
        <v>7.1590052750565181E-2</v>
      </c>
      <c r="BF46" s="192">
        <v>832</v>
      </c>
      <c r="BG46" s="214">
        <v>45</v>
      </c>
      <c r="BH46" s="213">
        <v>5.4086538461538464E-2</v>
      </c>
      <c r="BI46" s="235">
        <v>7.6780659999999999E-5</v>
      </c>
      <c r="BJ46" s="219">
        <v>0.44091939400000002</v>
      </c>
      <c r="BK46" s="216">
        <v>1525</v>
      </c>
      <c r="BL46" s="210">
        <v>495</v>
      </c>
      <c r="BM46" s="211">
        <v>122</v>
      </c>
      <c r="BN46" s="212">
        <v>50</v>
      </c>
      <c r="BO46" s="213">
        <v>0.10101010101010101</v>
      </c>
      <c r="BP46" s="192">
        <v>235</v>
      </c>
      <c r="BQ46" s="214">
        <v>20</v>
      </c>
      <c r="BR46" s="213">
        <v>8.5106382978723402E-2</v>
      </c>
      <c r="BS46" s="219">
        <v>2.4358642999999999E-2</v>
      </c>
      <c r="BT46" s="229">
        <v>0.41784080899999998</v>
      </c>
      <c r="BU46" s="209">
        <v>1102</v>
      </c>
      <c r="BV46" s="210">
        <v>260</v>
      </c>
      <c r="BW46" s="211">
        <v>64</v>
      </c>
      <c r="BX46" s="212">
        <v>30</v>
      </c>
      <c r="BY46" s="213">
        <v>0.11538461538461539</v>
      </c>
      <c r="BZ46" s="305">
        <v>95</v>
      </c>
      <c r="CA46" s="313">
        <v>6</v>
      </c>
      <c r="CB46" s="213">
        <v>6.3157894736842107E-2</v>
      </c>
      <c r="CC46" s="235">
        <v>2.17791E-5</v>
      </c>
      <c r="CD46" s="301">
        <v>0.48030818400000003</v>
      </c>
      <c r="CE46" s="209">
        <v>854</v>
      </c>
      <c r="CF46" s="210">
        <v>165</v>
      </c>
      <c r="CG46" s="211">
        <v>41</v>
      </c>
      <c r="CH46" s="311">
        <v>24</v>
      </c>
      <c r="CI46" s="213">
        <v>0.14545454545454545</v>
      </c>
      <c r="CJ46" s="222">
        <v>145</v>
      </c>
      <c r="CK46" s="214">
        <v>17</v>
      </c>
      <c r="CL46" s="213">
        <v>0.11724137931034483</v>
      </c>
      <c r="CM46" s="235">
        <v>1.2575053340763301E-8</v>
      </c>
      <c r="CN46" s="235">
        <v>1.255041E-4</v>
      </c>
      <c r="CO46" s="216">
        <v>236</v>
      </c>
      <c r="CP46" s="210">
        <v>20</v>
      </c>
      <c r="CQ46" s="211">
        <v>31</v>
      </c>
      <c r="CR46" s="212">
        <v>7</v>
      </c>
      <c r="CS46" s="213">
        <v>0.35</v>
      </c>
      <c r="CT46" s="192">
        <v>20</v>
      </c>
      <c r="CU46" s="214">
        <v>7</v>
      </c>
      <c r="CV46" s="213">
        <v>0.35</v>
      </c>
      <c r="CW46" s="301">
        <v>7.7648600000000002E-3</v>
      </c>
      <c r="CX46" s="301">
        <v>7.7648600000000002E-3</v>
      </c>
      <c r="CY46" s="209">
        <v>0</v>
      </c>
      <c r="CZ46" s="210">
        <v>0</v>
      </c>
      <c r="DA46" s="211">
        <v>0</v>
      </c>
      <c r="DB46" s="212">
        <v>0</v>
      </c>
      <c r="DC46" s="213" t="s">
        <v>9</v>
      </c>
      <c r="DD46" s="215">
        <v>1</v>
      </c>
    </row>
    <row r="47" spans="1:108" s="49" customFormat="1" x14ac:dyDescent="0.2">
      <c r="A47" s="6"/>
      <c r="B47" s="51"/>
      <c r="C47" s="110"/>
      <c r="D47" s="110"/>
      <c r="E47" s="110"/>
      <c r="F47" s="110"/>
      <c r="G47" s="276"/>
      <c r="H47" s="110"/>
      <c r="I47" s="110"/>
      <c r="J47" s="276"/>
      <c r="K47" s="229"/>
      <c r="L47" s="110"/>
      <c r="M47" s="276"/>
      <c r="N47" s="276"/>
      <c r="O47" s="276"/>
      <c r="P47" s="110"/>
      <c r="Q47" s="276"/>
      <c r="R47" s="110"/>
      <c r="S47" s="110"/>
      <c r="T47" s="276"/>
      <c r="U47" s="110"/>
      <c r="V47" s="276"/>
      <c r="W47" s="276"/>
      <c r="X47" s="110"/>
      <c r="Y47" s="110"/>
      <c r="Z47" s="52"/>
      <c r="AA47" s="276"/>
      <c r="AB47" s="110"/>
      <c r="AC47" s="110"/>
      <c r="AD47" s="276"/>
      <c r="AE47" s="276"/>
      <c r="AF47" s="304"/>
      <c r="AG47" s="110"/>
      <c r="AH47" s="52"/>
      <c r="AI47" s="110"/>
      <c r="AJ47" s="110"/>
      <c r="AK47" s="276"/>
      <c r="AL47" s="304"/>
      <c r="AM47" s="304"/>
      <c r="AN47" s="276"/>
      <c r="AO47" s="110"/>
      <c r="AP47" s="110"/>
      <c r="AQ47" s="110"/>
      <c r="AR47" s="110"/>
      <c r="AS47" s="110"/>
      <c r="AT47" s="304"/>
      <c r="AU47" s="276"/>
      <c r="AV47" s="110"/>
      <c r="AW47" s="110"/>
      <c r="AX47" s="276"/>
      <c r="AY47" s="110"/>
      <c r="AZ47" s="229"/>
      <c r="BA47" s="110"/>
      <c r="BB47" s="304"/>
      <c r="BC47" s="304"/>
      <c r="BD47" s="110"/>
      <c r="BE47" s="276"/>
      <c r="BF47" s="110"/>
      <c r="BG47" s="110"/>
      <c r="BH47" s="276"/>
      <c r="BI47" s="110"/>
      <c r="BJ47" s="276"/>
      <c r="BK47" s="276"/>
      <c r="BL47" s="110"/>
      <c r="BM47" s="110"/>
      <c r="BN47" s="110"/>
      <c r="BO47" s="276"/>
      <c r="BP47" s="110"/>
      <c r="BQ47" s="110"/>
      <c r="BR47" s="276"/>
      <c r="BS47" s="276"/>
      <c r="BT47" s="229"/>
      <c r="BU47" s="110"/>
      <c r="BV47" s="110"/>
      <c r="BW47" s="110"/>
      <c r="BX47" s="110"/>
      <c r="BY47" s="276"/>
      <c r="BZ47" s="304"/>
      <c r="CA47" s="304"/>
      <c r="CB47" s="276"/>
      <c r="CC47" s="110"/>
      <c r="CD47" s="229"/>
      <c r="CE47" s="110"/>
      <c r="CF47" s="110"/>
      <c r="CG47" s="110"/>
      <c r="CH47" s="304"/>
      <c r="CI47" s="276"/>
      <c r="CJ47" s="229"/>
      <c r="CK47" s="110"/>
      <c r="CL47" s="276"/>
      <c r="CM47" s="306"/>
      <c r="CN47" s="276"/>
      <c r="CO47" s="276"/>
      <c r="CP47" s="110"/>
      <c r="CQ47" s="110"/>
      <c r="CR47" s="110"/>
      <c r="CS47" s="276"/>
      <c r="CT47" s="110"/>
      <c r="CU47" s="110"/>
      <c r="CV47" s="276"/>
      <c r="CW47" s="110"/>
      <c r="CX47" s="110"/>
      <c r="CY47" s="110"/>
      <c r="CZ47" s="110"/>
      <c r="DA47" s="110"/>
      <c r="DB47" s="110"/>
      <c r="DC47" s="276"/>
      <c r="DD47" s="110"/>
    </row>
    <row r="48" spans="1:108" x14ac:dyDescent="0.2">
      <c r="A48" s="382" t="s">
        <v>3</v>
      </c>
      <c r="B48" s="281" t="s">
        <v>1</v>
      </c>
      <c r="C48" s="283">
        <v>2280</v>
      </c>
      <c r="D48" s="210">
        <v>2088</v>
      </c>
      <c r="E48" s="211">
        <v>162</v>
      </c>
      <c r="F48" s="212">
        <v>144</v>
      </c>
      <c r="G48" s="213">
        <v>6.8965517241379309E-2</v>
      </c>
      <c r="H48" s="192">
        <v>758</v>
      </c>
      <c r="I48" s="214">
        <v>39</v>
      </c>
      <c r="J48" s="213">
        <v>5.1451187335092345E-2</v>
      </c>
      <c r="K48" s="301">
        <v>0.91878258000000002</v>
      </c>
      <c r="L48" s="302">
        <v>0.99673560999999999</v>
      </c>
      <c r="M48" s="216">
        <v>1595</v>
      </c>
      <c r="N48" s="217">
        <v>1330</v>
      </c>
      <c r="O48" s="218">
        <v>138</v>
      </c>
      <c r="P48" s="212">
        <v>105</v>
      </c>
      <c r="Q48" s="213">
        <v>7.8947368421052627E-2</v>
      </c>
      <c r="R48" s="192">
        <v>299</v>
      </c>
      <c r="S48" s="214">
        <v>21</v>
      </c>
      <c r="T48" s="213">
        <v>7.0234113712374577E-2</v>
      </c>
      <c r="U48" s="215">
        <v>0.99250000000000005</v>
      </c>
      <c r="V48" s="219">
        <v>0.89190000000000003</v>
      </c>
      <c r="W48" s="216">
        <v>1436</v>
      </c>
      <c r="X48" s="210">
        <v>1031</v>
      </c>
      <c r="Y48" s="211">
        <v>105</v>
      </c>
      <c r="Z48" s="220">
        <v>84</v>
      </c>
      <c r="AA48" s="213">
        <v>8.147429679922405E-2</v>
      </c>
      <c r="AB48" s="192">
        <v>441</v>
      </c>
      <c r="AC48" s="214">
        <v>30</v>
      </c>
      <c r="AD48" s="213">
        <v>6.8027210884353748E-2</v>
      </c>
      <c r="AE48" s="219">
        <v>3.0943882999999998E-2</v>
      </c>
      <c r="AF48" s="302">
        <v>0.72419199999999995</v>
      </c>
      <c r="AG48" s="209">
        <v>976</v>
      </c>
      <c r="AH48" s="221">
        <v>590</v>
      </c>
      <c r="AI48" s="211">
        <v>88</v>
      </c>
      <c r="AJ48" s="212">
        <v>54</v>
      </c>
      <c r="AK48" s="213">
        <v>9.152542372881356E-2</v>
      </c>
      <c r="AL48" s="305">
        <v>93</v>
      </c>
      <c r="AM48" s="313">
        <v>9</v>
      </c>
      <c r="AN48" s="213">
        <v>9.6774193548387094E-2</v>
      </c>
      <c r="AO48" s="301">
        <v>0.47499200000000003</v>
      </c>
      <c r="AP48" s="301">
        <v>0.46564749999999999</v>
      </c>
      <c r="AQ48" s="209">
        <v>831</v>
      </c>
      <c r="AR48" s="210">
        <v>497</v>
      </c>
      <c r="AS48" s="211">
        <v>61</v>
      </c>
      <c r="AT48" s="311">
        <v>45</v>
      </c>
      <c r="AU48" s="213">
        <v>9.0543259557344061E-2</v>
      </c>
      <c r="AV48" s="192">
        <v>162</v>
      </c>
      <c r="AW48" s="214">
        <v>11</v>
      </c>
      <c r="AX48" s="213">
        <v>6.7901234567901231E-2</v>
      </c>
      <c r="AY48" s="301">
        <v>1.3348E-2</v>
      </c>
      <c r="AZ48" s="301">
        <v>0.67123949999999999</v>
      </c>
      <c r="BA48" s="209">
        <v>679</v>
      </c>
      <c r="BB48" s="310">
        <v>335</v>
      </c>
      <c r="BC48" s="312">
        <v>51</v>
      </c>
      <c r="BD48" s="212">
        <v>34</v>
      </c>
      <c r="BE48" s="213">
        <v>0.10149253731343283</v>
      </c>
      <c r="BF48" s="192">
        <v>125</v>
      </c>
      <c r="BG48" s="214">
        <v>14</v>
      </c>
      <c r="BH48" s="213">
        <v>0.112</v>
      </c>
      <c r="BI48" s="301">
        <v>7.2892060000000003E-3</v>
      </c>
      <c r="BJ48" s="219">
        <v>6.5770200000000001E-2</v>
      </c>
      <c r="BK48" s="216">
        <v>482</v>
      </c>
      <c r="BL48" s="210">
        <v>210</v>
      </c>
      <c r="BM48" s="211">
        <v>31</v>
      </c>
      <c r="BN48" s="212">
        <v>20</v>
      </c>
      <c r="BO48" s="213">
        <v>9.5238095238095233E-2</v>
      </c>
      <c r="BP48" s="192">
        <v>59</v>
      </c>
      <c r="BQ48" s="214">
        <v>8</v>
      </c>
      <c r="BR48" s="213">
        <v>0.13559322033898305</v>
      </c>
      <c r="BS48" s="219">
        <v>1.2626739999999999E-2</v>
      </c>
      <c r="BT48" s="229">
        <v>2.52E-2</v>
      </c>
      <c r="BU48" s="209">
        <v>315</v>
      </c>
      <c r="BV48" s="210">
        <v>151</v>
      </c>
      <c r="BW48" s="211">
        <v>16</v>
      </c>
      <c r="BX48" s="212">
        <v>12</v>
      </c>
      <c r="BY48" s="213">
        <v>7.9470198675496692E-2</v>
      </c>
      <c r="BZ48" s="305">
        <v>5</v>
      </c>
      <c r="CA48" s="313">
        <v>1</v>
      </c>
      <c r="CB48" s="213">
        <v>0.2</v>
      </c>
      <c r="CC48" s="215">
        <v>2.35E-2</v>
      </c>
      <c r="CD48" s="301">
        <v>0.23076659999999999</v>
      </c>
      <c r="CE48" s="209">
        <v>301</v>
      </c>
      <c r="CF48" s="210">
        <v>146</v>
      </c>
      <c r="CG48" s="211">
        <v>11</v>
      </c>
      <c r="CH48" s="311">
        <v>11</v>
      </c>
      <c r="CI48" s="213">
        <v>7.5342465753424653E-2</v>
      </c>
      <c r="CJ48" s="222">
        <v>65</v>
      </c>
      <c r="CK48" s="214">
        <v>5</v>
      </c>
      <c r="CL48" s="213">
        <v>7.6923076923076927E-2</v>
      </c>
      <c r="CM48" s="235">
        <v>2.8593812973136802E-4</v>
      </c>
      <c r="CN48" s="219">
        <v>6.3799999999999996E-2</v>
      </c>
      <c r="CO48" s="216">
        <v>192</v>
      </c>
      <c r="CP48" s="210">
        <v>81</v>
      </c>
      <c r="CQ48" s="211">
        <v>11</v>
      </c>
      <c r="CR48" s="212">
        <v>6</v>
      </c>
      <c r="CS48" s="213">
        <v>7.407407407407407E-2</v>
      </c>
      <c r="CT48" s="192">
        <v>28</v>
      </c>
      <c r="CU48" s="214">
        <v>1</v>
      </c>
      <c r="CV48" s="213">
        <v>3.5714285714285712E-2</v>
      </c>
      <c r="CW48" s="301">
        <v>0.29170000000000001</v>
      </c>
      <c r="CX48" s="301">
        <v>0.83209999999999995</v>
      </c>
      <c r="CY48" s="209">
        <v>172</v>
      </c>
      <c r="CZ48" s="210">
        <v>53</v>
      </c>
      <c r="DA48" s="211">
        <v>5</v>
      </c>
      <c r="DB48" s="212">
        <v>5</v>
      </c>
      <c r="DC48" s="213">
        <v>9.4339622641509441E-2</v>
      </c>
      <c r="DD48" s="215">
        <v>2.3999999999999998E-3</v>
      </c>
    </row>
    <row r="49" spans="1:108" x14ac:dyDescent="0.2">
      <c r="A49" s="383"/>
      <c r="B49" s="281" t="s">
        <v>0</v>
      </c>
      <c r="C49" s="283">
        <v>20257</v>
      </c>
      <c r="D49" s="210">
        <v>17876</v>
      </c>
      <c r="E49" s="211">
        <v>1460</v>
      </c>
      <c r="F49" s="212">
        <v>1266</v>
      </c>
      <c r="G49" s="213">
        <v>7.0821212799283953E-2</v>
      </c>
      <c r="H49" s="192">
        <v>6345</v>
      </c>
      <c r="I49" s="214">
        <v>239</v>
      </c>
      <c r="J49" s="213">
        <v>3.7667454688731283E-2</v>
      </c>
      <c r="K49" s="301">
        <v>0.97178142000000001</v>
      </c>
      <c r="L49" s="215">
        <v>1</v>
      </c>
      <c r="M49" s="216">
        <v>14538</v>
      </c>
      <c r="N49" s="217">
        <v>11531</v>
      </c>
      <c r="O49" s="218">
        <v>1346</v>
      </c>
      <c r="P49" s="212">
        <v>1027</v>
      </c>
      <c r="Q49" s="213">
        <v>8.9064261555806087E-2</v>
      </c>
      <c r="R49" s="192">
        <v>3614</v>
      </c>
      <c r="S49" s="214">
        <v>254</v>
      </c>
      <c r="T49" s="213">
        <v>7.0282235749861643E-2</v>
      </c>
      <c r="U49" s="215">
        <v>0.99780000000000002</v>
      </c>
      <c r="V49" s="219">
        <v>1</v>
      </c>
      <c r="W49" s="216">
        <v>11737</v>
      </c>
      <c r="X49" s="210">
        <v>7917</v>
      </c>
      <c r="Y49" s="211">
        <v>1155</v>
      </c>
      <c r="Z49" s="220">
        <v>773</v>
      </c>
      <c r="AA49" s="213">
        <v>9.763799418971833E-2</v>
      </c>
      <c r="AB49" s="192">
        <v>2985</v>
      </c>
      <c r="AC49" s="214">
        <v>241</v>
      </c>
      <c r="AD49" s="213">
        <v>8.0737018425460633E-2</v>
      </c>
      <c r="AE49" s="219">
        <v>0.66933529999999997</v>
      </c>
      <c r="AF49" s="302">
        <v>0.99994292600000001</v>
      </c>
      <c r="AG49" s="209">
        <v>9134</v>
      </c>
      <c r="AH49" s="221">
        <v>4932</v>
      </c>
      <c r="AI49" s="211">
        <v>999</v>
      </c>
      <c r="AJ49" s="212">
        <v>532</v>
      </c>
      <c r="AK49" s="213">
        <v>0.10786699107866991</v>
      </c>
      <c r="AL49" s="305">
        <v>577</v>
      </c>
      <c r="AM49" s="313">
        <v>61</v>
      </c>
      <c r="AN49" s="213">
        <v>0.10571923743500866</v>
      </c>
      <c r="AO49" s="301">
        <v>0.70307269999999999</v>
      </c>
      <c r="AP49" s="301">
        <v>0.63514760000000003</v>
      </c>
      <c r="AQ49" s="209">
        <v>8534</v>
      </c>
      <c r="AR49" s="210">
        <v>4355</v>
      </c>
      <c r="AS49" s="211">
        <v>820</v>
      </c>
      <c r="AT49" s="311">
        <v>471</v>
      </c>
      <c r="AU49" s="213">
        <v>0.10815154994259472</v>
      </c>
      <c r="AV49" s="192">
        <v>2285</v>
      </c>
      <c r="AW49" s="214">
        <v>190</v>
      </c>
      <c r="AX49" s="213">
        <v>8.3150984682713341E-2</v>
      </c>
      <c r="AY49" s="235">
        <v>6.3749732099999996E-5</v>
      </c>
      <c r="AZ49" s="301">
        <v>0.99417820000000001</v>
      </c>
      <c r="BA49" s="209">
        <v>5435</v>
      </c>
      <c r="BB49" s="310">
        <v>2070</v>
      </c>
      <c r="BC49" s="312">
        <v>765</v>
      </c>
      <c r="BD49" s="212">
        <v>281</v>
      </c>
      <c r="BE49" s="213">
        <v>0.13574879227053141</v>
      </c>
      <c r="BF49" s="192">
        <v>1423</v>
      </c>
      <c r="BG49" s="214">
        <v>163</v>
      </c>
      <c r="BH49" s="213">
        <v>0.11454673225579762</v>
      </c>
      <c r="BI49" s="301">
        <v>0.80835610000000002</v>
      </c>
      <c r="BJ49" s="219">
        <v>0.99967669999999997</v>
      </c>
      <c r="BK49" s="216">
        <v>2556</v>
      </c>
      <c r="BL49" s="210">
        <v>647</v>
      </c>
      <c r="BM49" s="211">
        <v>543</v>
      </c>
      <c r="BN49" s="212">
        <v>118</v>
      </c>
      <c r="BO49" s="213">
        <v>0.18238021638330756</v>
      </c>
      <c r="BP49" s="192">
        <v>387</v>
      </c>
      <c r="BQ49" s="214">
        <v>67</v>
      </c>
      <c r="BR49" s="213">
        <v>0.1731266149870801</v>
      </c>
      <c r="BS49" s="219">
        <v>0.98749989999999999</v>
      </c>
      <c r="BT49" s="229">
        <v>0.98440000000000005</v>
      </c>
      <c r="BU49" s="209">
        <v>1086</v>
      </c>
      <c r="BV49" s="210">
        <v>260</v>
      </c>
      <c r="BW49" s="211">
        <v>225</v>
      </c>
      <c r="BX49" s="212">
        <v>51</v>
      </c>
      <c r="BY49" s="213">
        <v>0.19615384615384615</v>
      </c>
      <c r="BZ49" s="305">
        <v>99</v>
      </c>
      <c r="CA49" s="313">
        <v>11</v>
      </c>
      <c r="CB49" s="213">
        <v>0.1111111111111111</v>
      </c>
      <c r="CC49" s="215">
        <v>0.72060000000000002</v>
      </c>
      <c r="CD49" s="301">
        <v>0.99709999999999999</v>
      </c>
      <c r="CE49" s="209">
        <v>822</v>
      </c>
      <c r="CF49" s="210">
        <v>161</v>
      </c>
      <c r="CG49" s="211">
        <v>168</v>
      </c>
      <c r="CH49" s="311">
        <v>40</v>
      </c>
      <c r="CI49" s="213">
        <v>0.2484472049689441</v>
      </c>
      <c r="CJ49" s="222">
        <v>124</v>
      </c>
      <c r="CK49" s="214">
        <v>29</v>
      </c>
      <c r="CL49" s="213">
        <v>0.23387096774193547</v>
      </c>
      <c r="CM49" s="215">
        <v>7.6999999999999999E-2</v>
      </c>
      <c r="CN49" s="219">
        <v>0.220696</v>
      </c>
      <c r="CO49" s="216">
        <v>354</v>
      </c>
      <c r="CP49" s="210">
        <v>37</v>
      </c>
      <c r="CQ49" s="211">
        <v>117</v>
      </c>
      <c r="CR49" s="212">
        <v>11</v>
      </c>
      <c r="CS49" s="213">
        <v>0.29729729729729731</v>
      </c>
      <c r="CT49" s="192">
        <v>37</v>
      </c>
      <c r="CU49" s="214">
        <v>11</v>
      </c>
      <c r="CV49" s="213">
        <v>0.29729729729729731</v>
      </c>
      <c r="CW49" s="301">
        <v>0.73480000000000001</v>
      </c>
      <c r="CX49" s="301">
        <v>0.73480000000000001</v>
      </c>
      <c r="CY49" s="209">
        <v>0</v>
      </c>
      <c r="CZ49" s="210">
        <v>0</v>
      </c>
      <c r="DA49" s="211">
        <v>0</v>
      </c>
      <c r="DB49" s="212">
        <v>0</v>
      </c>
      <c r="DC49" s="213" t="s">
        <v>9</v>
      </c>
      <c r="DD49" s="215">
        <v>1</v>
      </c>
    </row>
    <row r="50" spans="1:108" s="49" customFormat="1" x14ac:dyDescent="0.2">
      <c r="A50" s="6"/>
      <c r="B50" s="51"/>
      <c r="C50" s="110"/>
      <c r="D50" s="110"/>
      <c r="E50" s="110"/>
      <c r="F50" s="110"/>
      <c r="G50" s="276"/>
      <c r="H50" s="110"/>
      <c r="I50" s="110"/>
      <c r="J50" s="276"/>
      <c r="K50" s="229"/>
      <c r="L50" s="110"/>
      <c r="M50" s="276"/>
      <c r="N50" s="276"/>
      <c r="O50" s="276"/>
      <c r="P50" s="110"/>
      <c r="Q50" s="276"/>
      <c r="R50" s="110"/>
      <c r="S50" s="110"/>
      <c r="T50" s="276"/>
      <c r="U50" s="110"/>
      <c r="V50" s="276"/>
      <c r="W50" s="276"/>
      <c r="X50" s="110"/>
      <c r="Y50" s="110"/>
      <c r="Z50" s="52"/>
      <c r="AA50" s="276"/>
      <c r="AB50" s="110"/>
      <c r="AC50" s="110"/>
      <c r="AD50" s="276"/>
      <c r="AE50" s="276"/>
      <c r="AF50" s="304"/>
      <c r="AG50" s="110"/>
      <c r="AH50" s="52"/>
      <c r="AI50" s="110"/>
      <c r="AJ50" s="110"/>
      <c r="AK50" s="276"/>
      <c r="AL50" s="304"/>
      <c r="AM50" s="304"/>
      <c r="AN50" s="276"/>
      <c r="AO50" s="110"/>
      <c r="AP50" s="110"/>
      <c r="AQ50" s="110"/>
      <c r="AR50" s="110"/>
      <c r="AS50" s="110"/>
      <c r="AT50" s="304"/>
      <c r="AU50" s="276"/>
      <c r="AV50" s="276"/>
      <c r="AW50" s="110"/>
      <c r="AX50" s="276"/>
      <c r="AY50" s="306"/>
      <c r="AZ50" s="229"/>
      <c r="BA50" s="110"/>
      <c r="BB50" s="304"/>
      <c r="BC50" s="304"/>
      <c r="BD50" s="110"/>
      <c r="BE50" s="276"/>
      <c r="BF50" s="110"/>
      <c r="BG50" s="110"/>
      <c r="BH50" s="276"/>
      <c r="BI50" s="110"/>
      <c r="BJ50" s="276"/>
      <c r="BK50" s="276"/>
      <c r="BL50" s="110"/>
      <c r="BM50" s="110"/>
      <c r="BN50" s="110"/>
      <c r="BO50" s="276"/>
      <c r="BP50" s="110"/>
      <c r="BQ50" s="110"/>
      <c r="BR50" s="276"/>
      <c r="BS50" s="276"/>
      <c r="BT50" s="229"/>
      <c r="BU50" s="110"/>
      <c r="BV50" s="110"/>
      <c r="BW50" s="110"/>
      <c r="BX50" s="110"/>
      <c r="BY50" s="276"/>
      <c r="BZ50" s="304"/>
      <c r="CA50" s="304"/>
      <c r="CB50" s="276"/>
      <c r="CC50" s="110"/>
      <c r="CD50" s="229"/>
      <c r="CE50" s="110"/>
      <c r="CF50" s="110"/>
      <c r="CG50" s="110"/>
      <c r="CH50" s="304"/>
      <c r="CI50" s="276"/>
      <c r="CJ50" s="229"/>
      <c r="CK50" s="110"/>
      <c r="CL50" s="276"/>
      <c r="CM50" s="110"/>
      <c r="CN50" s="276"/>
      <c r="CO50" s="276"/>
      <c r="CP50" s="110"/>
      <c r="CQ50" s="110"/>
      <c r="CR50" s="110"/>
      <c r="CS50" s="276"/>
      <c r="CT50" s="110"/>
      <c r="CU50" s="110"/>
      <c r="CV50" s="276"/>
      <c r="CW50" s="110"/>
      <c r="CX50" s="110"/>
      <c r="CY50" s="110"/>
      <c r="CZ50" s="110"/>
      <c r="DA50" s="110"/>
      <c r="DB50" s="110"/>
      <c r="DC50" s="276"/>
      <c r="DD50" s="110"/>
    </row>
    <row r="51" spans="1:108" x14ac:dyDescent="0.2">
      <c r="A51" s="382" t="s">
        <v>4</v>
      </c>
      <c r="B51" s="281" t="s">
        <v>1</v>
      </c>
      <c r="C51" s="283">
        <v>38785</v>
      </c>
      <c r="D51" s="210">
        <v>36607</v>
      </c>
      <c r="E51" s="211">
        <v>4217</v>
      </c>
      <c r="F51" s="212">
        <v>3979</v>
      </c>
      <c r="G51" s="213">
        <v>0.10869505832217882</v>
      </c>
      <c r="H51" s="192">
        <v>9756</v>
      </c>
      <c r="I51" s="214">
        <v>707</v>
      </c>
      <c r="J51" s="213">
        <v>7.2468224682246826E-2</v>
      </c>
      <c r="K51" s="301">
        <v>0.55088809999999999</v>
      </c>
      <c r="L51" s="215">
        <v>1</v>
      </c>
      <c r="M51" s="216">
        <v>32797</v>
      </c>
      <c r="N51" s="217">
        <v>26851</v>
      </c>
      <c r="O51" s="218">
        <v>4118</v>
      </c>
      <c r="P51" s="212">
        <v>3272</v>
      </c>
      <c r="Q51" s="213">
        <v>0.1218576589326282</v>
      </c>
      <c r="R51" s="192">
        <v>8607</v>
      </c>
      <c r="S51" s="214">
        <v>883</v>
      </c>
      <c r="T51" s="213">
        <v>0.10259091437202278</v>
      </c>
      <c r="U51" s="215">
        <v>0.99999000000000005</v>
      </c>
      <c r="V51" s="219">
        <v>1</v>
      </c>
      <c r="W51" s="216">
        <v>26677</v>
      </c>
      <c r="X51" s="210">
        <v>18244</v>
      </c>
      <c r="Y51" s="211">
        <v>3591</v>
      </c>
      <c r="Z51" s="220">
        <v>2389</v>
      </c>
      <c r="AA51" s="213">
        <v>0.13094716071037052</v>
      </c>
      <c r="AB51" s="192">
        <v>7035</v>
      </c>
      <c r="AC51" s="214">
        <v>714</v>
      </c>
      <c r="AD51" s="213">
        <v>0.10149253731343283</v>
      </c>
      <c r="AE51" s="219">
        <v>0.99517540000000004</v>
      </c>
      <c r="AF51" s="302">
        <v>0.99999990000000005</v>
      </c>
      <c r="AG51" s="209">
        <v>19689</v>
      </c>
      <c r="AH51" s="221">
        <v>11209</v>
      </c>
      <c r="AI51" s="211">
        <v>2983</v>
      </c>
      <c r="AJ51" s="212">
        <v>1675</v>
      </c>
      <c r="AK51" s="213">
        <v>0.14943349094477651</v>
      </c>
      <c r="AL51" s="305">
        <v>1605</v>
      </c>
      <c r="AM51" s="313">
        <v>183</v>
      </c>
      <c r="AN51" s="213">
        <v>0.11401869158878504</v>
      </c>
      <c r="AO51" s="301">
        <v>0.82960400000000001</v>
      </c>
      <c r="AP51" s="302">
        <v>0.99999729999999998</v>
      </c>
      <c r="AQ51" s="209">
        <v>17481</v>
      </c>
      <c r="AR51" s="210">
        <v>9604</v>
      </c>
      <c r="AS51" s="211">
        <v>2406</v>
      </c>
      <c r="AT51" s="311">
        <v>1492</v>
      </c>
      <c r="AU51" s="213">
        <v>0.15535193669304456</v>
      </c>
      <c r="AV51" s="192">
        <v>3698</v>
      </c>
      <c r="AW51" s="214">
        <v>404</v>
      </c>
      <c r="AX51" s="213">
        <v>0.10924824229313142</v>
      </c>
      <c r="AY51" s="235">
        <v>2.61602586868314E-14</v>
      </c>
      <c r="AZ51" s="302">
        <v>0.99990000000000001</v>
      </c>
      <c r="BA51" s="209">
        <v>12726</v>
      </c>
      <c r="BB51" s="310">
        <v>5906</v>
      </c>
      <c r="BC51" s="312">
        <v>2381</v>
      </c>
      <c r="BD51" s="212">
        <v>1088</v>
      </c>
      <c r="BE51" s="213">
        <v>0.1842194378598036</v>
      </c>
      <c r="BF51" s="192">
        <v>2546</v>
      </c>
      <c r="BG51" s="214">
        <v>463</v>
      </c>
      <c r="BH51" s="213">
        <v>0.18185388845247447</v>
      </c>
      <c r="BI51" s="301">
        <v>0.78736799999999996</v>
      </c>
      <c r="BJ51" s="219">
        <v>0.78393650000000004</v>
      </c>
      <c r="BK51" s="216">
        <v>8887</v>
      </c>
      <c r="BL51" s="210">
        <v>3360</v>
      </c>
      <c r="BM51" s="211">
        <v>1573</v>
      </c>
      <c r="BN51" s="212">
        <v>625</v>
      </c>
      <c r="BO51" s="213">
        <v>0.18601190476190477</v>
      </c>
      <c r="BP51" s="192">
        <v>1516</v>
      </c>
      <c r="BQ51" s="214">
        <v>223</v>
      </c>
      <c r="BR51" s="213">
        <v>0.1470976253298153</v>
      </c>
      <c r="BS51" s="219">
        <v>4.41E-2</v>
      </c>
      <c r="BT51" s="229">
        <v>0.99687440000000005</v>
      </c>
      <c r="BU51" s="209">
        <v>5905</v>
      </c>
      <c r="BV51" s="210">
        <v>1844</v>
      </c>
      <c r="BW51" s="211">
        <v>990</v>
      </c>
      <c r="BX51" s="212">
        <v>402</v>
      </c>
      <c r="BY51" s="213">
        <v>0.21800433839479394</v>
      </c>
      <c r="BZ51" s="305">
        <v>316</v>
      </c>
      <c r="CA51" s="313">
        <v>51</v>
      </c>
      <c r="CB51" s="213">
        <v>0.16139240506329114</v>
      </c>
      <c r="CC51" s="235">
        <v>4.5204389089624299E-12</v>
      </c>
      <c r="CD51" s="301">
        <v>0.64447330999999997</v>
      </c>
      <c r="CE51" s="209">
        <v>5242</v>
      </c>
      <c r="CF51" s="210">
        <v>1528</v>
      </c>
      <c r="CG51" s="211">
        <v>880</v>
      </c>
      <c r="CH51" s="311">
        <v>351</v>
      </c>
      <c r="CI51" s="213">
        <v>0.22971204188481675</v>
      </c>
      <c r="CJ51" s="222">
        <v>1033</v>
      </c>
      <c r="CK51" s="214">
        <v>190</v>
      </c>
      <c r="CL51" s="213">
        <v>0.18393030009680542</v>
      </c>
      <c r="CM51" s="235">
        <v>3.99972598678011E-14</v>
      </c>
      <c r="CN51" s="219">
        <v>6.8400000000000002E-2</v>
      </c>
      <c r="CO51" s="216">
        <v>2408</v>
      </c>
      <c r="CP51" s="210">
        <v>495</v>
      </c>
      <c r="CQ51" s="211">
        <v>770</v>
      </c>
      <c r="CR51" s="212">
        <v>161</v>
      </c>
      <c r="CS51" s="213">
        <v>0.32525252525252524</v>
      </c>
      <c r="CT51" s="192">
        <v>254</v>
      </c>
      <c r="CU51" s="214">
        <v>71</v>
      </c>
      <c r="CV51" s="213">
        <v>0.27952755905511811</v>
      </c>
      <c r="CW51" s="301">
        <v>0.40395999999999999</v>
      </c>
      <c r="CX51" s="302">
        <v>0.93759809999999999</v>
      </c>
      <c r="CY51" s="209">
        <v>1535</v>
      </c>
      <c r="CZ51" s="210">
        <v>241</v>
      </c>
      <c r="DA51" s="211">
        <v>353</v>
      </c>
      <c r="DB51" s="212">
        <v>90</v>
      </c>
      <c r="DC51" s="213">
        <v>0.37344398340248963</v>
      </c>
      <c r="DD51" s="235">
        <v>2.6354602104993501E-8</v>
      </c>
    </row>
    <row r="52" spans="1:108" x14ac:dyDescent="0.2">
      <c r="A52" s="383"/>
      <c r="B52" s="281" t="s">
        <v>0</v>
      </c>
      <c r="C52" s="283">
        <v>74366</v>
      </c>
      <c r="D52" s="210">
        <v>68269</v>
      </c>
      <c r="E52" s="211">
        <v>5351</v>
      </c>
      <c r="F52" s="212">
        <v>4932</v>
      </c>
      <c r="G52" s="213">
        <v>7.2243624485491223E-2</v>
      </c>
      <c r="H52" s="192">
        <v>23287</v>
      </c>
      <c r="I52" s="214">
        <v>994</v>
      </c>
      <c r="J52" s="213">
        <v>4.2684759737192428E-2</v>
      </c>
      <c r="K52" s="301">
        <v>0.16021469999999999</v>
      </c>
      <c r="L52" s="215">
        <v>1</v>
      </c>
      <c r="M52" s="216">
        <v>58548</v>
      </c>
      <c r="N52" s="217">
        <v>44982</v>
      </c>
      <c r="O52" s="218">
        <v>5148</v>
      </c>
      <c r="P52" s="212">
        <v>3938</v>
      </c>
      <c r="Q52" s="213">
        <v>8.7546129562936281E-2</v>
      </c>
      <c r="R52" s="192">
        <v>18628</v>
      </c>
      <c r="S52" s="214">
        <v>1312</v>
      </c>
      <c r="T52" s="213">
        <v>7.043160833154391E-2</v>
      </c>
      <c r="U52" s="215">
        <v>0.72999460000000005</v>
      </c>
      <c r="V52" s="219">
        <v>1</v>
      </c>
      <c r="W52" s="216">
        <v>46499</v>
      </c>
      <c r="X52" s="210">
        <v>26354</v>
      </c>
      <c r="Y52" s="211">
        <v>4415</v>
      </c>
      <c r="Z52" s="220">
        <v>2626</v>
      </c>
      <c r="AA52" s="213">
        <v>9.9643317902405701E-2</v>
      </c>
      <c r="AB52" s="192">
        <v>10849</v>
      </c>
      <c r="AC52" s="214">
        <v>851</v>
      </c>
      <c r="AD52" s="213">
        <v>7.844040925430916E-2</v>
      </c>
      <c r="AE52" s="235">
        <v>4.0144000000000001E-5</v>
      </c>
      <c r="AF52" s="302">
        <v>0.99999998999999995</v>
      </c>
      <c r="AG52" s="209">
        <v>34162</v>
      </c>
      <c r="AH52" s="221">
        <v>15505</v>
      </c>
      <c r="AI52" s="211">
        <v>3549</v>
      </c>
      <c r="AJ52" s="212">
        <v>1775</v>
      </c>
      <c r="AK52" s="213">
        <v>0.11447920025798129</v>
      </c>
      <c r="AL52" s="305">
        <v>2638</v>
      </c>
      <c r="AM52" s="313">
        <v>245</v>
      </c>
      <c r="AN52" s="213">
        <v>9.2873388931008341E-2</v>
      </c>
      <c r="AO52" s="235">
        <v>2.9293161079335099E-9</v>
      </c>
      <c r="AP52" s="302">
        <v>0.97646602999999998</v>
      </c>
      <c r="AQ52" s="209">
        <v>29856</v>
      </c>
      <c r="AR52" s="210">
        <v>12867</v>
      </c>
      <c r="AS52" s="211">
        <v>2712</v>
      </c>
      <c r="AT52" s="311">
        <v>1530</v>
      </c>
      <c r="AU52" s="213">
        <v>0.11890883655863838</v>
      </c>
      <c r="AV52" s="192">
        <v>6164</v>
      </c>
      <c r="AW52" s="214">
        <v>527</v>
      </c>
      <c r="AX52" s="213">
        <v>8.5496430889033095E-2</v>
      </c>
      <c r="AY52" s="235">
        <v>1.7215927462950499E-48</v>
      </c>
      <c r="AZ52" s="301">
        <v>0.95251487300000004</v>
      </c>
      <c r="BA52" s="209">
        <v>19761</v>
      </c>
      <c r="BB52" s="310">
        <v>6703</v>
      </c>
      <c r="BC52" s="312">
        <v>2580</v>
      </c>
      <c r="BD52" s="212">
        <v>1003</v>
      </c>
      <c r="BE52" s="213">
        <v>0.14963449201849918</v>
      </c>
      <c r="BF52" s="192">
        <v>4502</v>
      </c>
      <c r="BG52" s="214">
        <v>569</v>
      </c>
      <c r="BH52" s="213">
        <v>0.12638827187916482</v>
      </c>
      <c r="BI52" s="235">
        <v>9.0000368959311198E-9</v>
      </c>
      <c r="BJ52" s="219">
        <v>0.83409482000000001</v>
      </c>
      <c r="BK52" s="216">
        <v>10112</v>
      </c>
      <c r="BL52" s="210">
        <v>2201</v>
      </c>
      <c r="BM52" s="211">
        <v>1688</v>
      </c>
      <c r="BN52" s="212">
        <v>434</v>
      </c>
      <c r="BO52" s="213">
        <v>0.19718309859154928</v>
      </c>
      <c r="BP52" s="192">
        <v>1129</v>
      </c>
      <c r="BQ52" s="214">
        <v>198</v>
      </c>
      <c r="BR52" s="213">
        <v>0.17537643932683791</v>
      </c>
      <c r="BS52" s="235">
        <v>1.2936922E-5</v>
      </c>
      <c r="BT52" s="229">
        <v>0.22121109999999999</v>
      </c>
      <c r="BU52" s="209">
        <v>6371</v>
      </c>
      <c r="BV52" s="210">
        <v>1072</v>
      </c>
      <c r="BW52" s="211">
        <v>766</v>
      </c>
      <c r="BX52" s="212">
        <v>236</v>
      </c>
      <c r="BY52" s="213">
        <v>0.22014925373134328</v>
      </c>
      <c r="BZ52" s="305">
        <v>362</v>
      </c>
      <c r="CA52" s="313">
        <v>53</v>
      </c>
      <c r="CB52" s="213">
        <v>0.14640883977900551</v>
      </c>
      <c r="CC52" s="235">
        <v>7.1048620000000004E-25</v>
      </c>
      <c r="CD52" s="301">
        <v>7.0344169999999998E-2</v>
      </c>
      <c r="CE52" s="209">
        <v>5328</v>
      </c>
      <c r="CF52" s="210">
        <v>710</v>
      </c>
      <c r="CG52" s="211">
        <v>632</v>
      </c>
      <c r="CH52" s="311">
        <v>183</v>
      </c>
      <c r="CI52" s="213">
        <v>0.25774647887323943</v>
      </c>
      <c r="CJ52" s="222">
        <v>644</v>
      </c>
      <c r="CK52" s="214">
        <v>156</v>
      </c>
      <c r="CL52" s="213">
        <v>0.24223602484472051</v>
      </c>
      <c r="CM52" s="235">
        <v>5.8078104805484903E-29</v>
      </c>
      <c r="CN52" s="235">
        <v>3.3631285977043099E-21</v>
      </c>
      <c r="CO52" s="216">
        <v>743</v>
      </c>
      <c r="CP52" s="210">
        <v>66</v>
      </c>
      <c r="CQ52" s="211">
        <v>483</v>
      </c>
      <c r="CR52" s="212">
        <v>27</v>
      </c>
      <c r="CS52" s="213">
        <v>0.40909090909090912</v>
      </c>
      <c r="CT52" s="192">
        <v>44</v>
      </c>
      <c r="CU52" s="214">
        <v>18</v>
      </c>
      <c r="CV52" s="213">
        <v>0.40909090909090912</v>
      </c>
      <c r="CW52" s="302">
        <v>0.99999229999999995</v>
      </c>
      <c r="CX52" s="302">
        <v>0.99996580000000002</v>
      </c>
      <c r="CY52" s="209">
        <v>393</v>
      </c>
      <c r="CZ52" s="210">
        <v>22</v>
      </c>
      <c r="DA52" s="211">
        <v>113</v>
      </c>
      <c r="DB52" s="212">
        <v>9</v>
      </c>
      <c r="DC52" s="213">
        <v>0.40909090909090912</v>
      </c>
      <c r="DD52" s="215">
        <v>0.1462</v>
      </c>
    </row>
    <row r="53" spans="1:108" s="49" customFormat="1" x14ac:dyDescent="0.2">
      <c r="A53" s="6"/>
      <c r="B53" s="51"/>
      <c r="C53" s="110"/>
      <c r="D53" s="110"/>
      <c r="E53" s="110"/>
      <c r="F53" s="110"/>
      <c r="G53" s="276"/>
      <c r="H53" s="110"/>
      <c r="I53" s="110"/>
      <c r="J53" s="276"/>
      <c r="K53" s="229"/>
      <c r="L53" s="110"/>
      <c r="M53" s="276"/>
      <c r="N53" s="276"/>
      <c r="O53" s="276"/>
      <c r="P53" s="110"/>
      <c r="Q53" s="276"/>
      <c r="R53" s="277"/>
      <c r="S53" s="277"/>
      <c r="T53" s="278"/>
      <c r="U53" s="277"/>
      <c r="V53" s="278"/>
      <c r="W53" s="276"/>
      <c r="X53" s="110"/>
      <c r="Y53" s="110"/>
      <c r="Z53" s="52"/>
      <c r="AA53" s="276"/>
      <c r="AB53" s="110"/>
      <c r="AC53" s="110"/>
      <c r="AD53" s="276"/>
      <c r="AE53" s="276"/>
      <c r="AF53" s="110"/>
      <c r="AG53" s="110"/>
      <c r="AH53" s="52"/>
      <c r="AI53" s="110"/>
      <c r="AJ53" s="110"/>
      <c r="AK53" s="276"/>
      <c r="AL53" s="304"/>
      <c r="AM53" s="304"/>
      <c r="AN53" s="276"/>
      <c r="AO53" s="110"/>
      <c r="AP53" s="110"/>
      <c r="AQ53" s="110"/>
      <c r="AR53" s="110"/>
      <c r="AS53" s="110"/>
      <c r="AT53" s="304"/>
      <c r="AU53" s="276"/>
      <c r="AV53" s="110"/>
      <c r="AW53" s="110"/>
      <c r="AX53" s="276"/>
      <c r="AY53" s="306"/>
      <c r="AZ53" s="229"/>
      <c r="BA53" s="110"/>
      <c r="BB53" s="304"/>
      <c r="BC53" s="304"/>
      <c r="BD53" s="110"/>
      <c r="BE53" s="276"/>
      <c r="BF53" s="110"/>
      <c r="BG53" s="110"/>
      <c r="BH53" s="276"/>
      <c r="BI53" s="110"/>
      <c r="BJ53" s="276"/>
      <c r="BK53" s="276"/>
      <c r="BL53" s="110"/>
      <c r="BM53" s="110"/>
      <c r="BN53" s="110"/>
      <c r="BO53" s="276"/>
      <c r="BP53" s="110"/>
      <c r="BQ53" s="110"/>
      <c r="BR53" s="276"/>
      <c r="BS53" s="276"/>
      <c r="BT53" s="229"/>
      <c r="BU53" s="110"/>
      <c r="BV53" s="110"/>
      <c r="BW53" s="110"/>
      <c r="BX53" s="110"/>
      <c r="BY53" s="276"/>
      <c r="BZ53" s="304"/>
      <c r="CA53" s="304"/>
      <c r="CB53" s="276"/>
      <c r="CC53" s="306"/>
      <c r="CD53" s="229"/>
      <c r="CE53" s="110"/>
      <c r="CF53" s="110"/>
      <c r="CG53" s="110"/>
      <c r="CH53" s="304"/>
      <c r="CI53" s="276"/>
      <c r="CJ53" s="229"/>
      <c r="CK53" s="110"/>
      <c r="CL53" s="276"/>
      <c r="CM53" s="306"/>
      <c r="CN53" s="276"/>
      <c r="CO53" s="276"/>
      <c r="CP53" s="110"/>
      <c r="CQ53" s="110"/>
      <c r="CR53" s="110"/>
      <c r="CS53" s="276"/>
      <c r="CT53" s="110"/>
      <c r="CU53" s="110"/>
      <c r="CV53" s="276"/>
      <c r="CW53" s="110"/>
      <c r="CX53" s="110"/>
      <c r="CY53" s="110"/>
      <c r="CZ53" s="110"/>
      <c r="DA53" s="110"/>
      <c r="DB53" s="110"/>
      <c r="DC53" s="276"/>
      <c r="DD53" s="110"/>
    </row>
    <row r="54" spans="1:108" x14ac:dyDescent="0.2">
      <c r="A54" s="382" t="s">
        <v>5</v>
      </c>
      <c r="B54" s="281" t="s">
        <v>1</v>
      </c>
      <c r="C54" s="283">
        <v>49388</v>
      </c>
      <c r="D54" s="210">
        <v>46586</v>
      </c>
      <c r="E54" s="211">
        <v>8078</v>
      </c>
      <c r="F54" s="212">
        <v>7643</v>
      </c>
      <c r="G54" s="213">
        <v>0.16406216459880651</v>
      </c>
      <c r="H54" s="192">
        <v>12020</v>
      </c>
      <c r="I54" s="214">
        <v>1167</v>
      </c>
      <c r="J54" s="213">
        <v>9.7088186356073206E-2</v>
      </c>
      <c r="K54" s="301">
        <v>0.11478871</v>
      </c>
      <c r="L54" s="215">
        <v>1</v>
      </c>
      <c r="M54" s="216">
        <v>41774</v>
      </c>
      <c r="N54" s="217">
        <v>34566</v>
      </c>
      <c r="O54" s="218">
        <v>7902</v>
      </c>
      <c r="P54" s="212">
        <v>6476</v>
      </c>
      <c r="Q54" s="309">
        <v>0.18735173291673898</v>
      </c>
      <c r="R54" s="30">
        <v>9717</v>
      </c>
      <c r="S54" s="38">
        <v>1537</v>
      </c>
      <c r="T54" s="39">
        <v>0.15817639189050117</v>
      </c>
      <c r="U54" s="264">
        <v>0.98108145000000002</v>
      </c>
      <c r="V54" s="265">
        <v>1</v>
      </c>
      <c r="W54" s="263">
        <v>35748</v>
      </c>
      <c r="X54" s="210">
        <v>24849</v>
      </c>
      <c r="Y54" s="211">
        <v>7110</v>
      </c>
      <c r="Z54" s="220">
        <v>4939</v>
      </c>
      <c r="AA54" s="213">
        <v>0.19876051350154936</v>
      </c>
      <c r="AB54" s="192">
        <v>8668</v>
      </c>
      <c r="AC54" s="214">
        <v>1428</v>
      </c>
      <c r="AD54" s="213">
        <v>0.16474388555606831</v>
      </c>
      <c r="AE54" s="219">
        <v>0.54368430000000001</v>
      </c>
      <c r="AF54" s="215">
        <v>1</v>
      </c>
      <c r="AG54" s="209">
        <v>27943</v>
      </c>
      <c r="AH54" s="221">
        <v>16181</v>
      </c>
      <c r="AI54" s="211">
        <v>6128</v>
      </c>
      <c r="AJ54" s="212">
        <v>3511</v>
      </c>
      <c r="AK54" s="213">
        <v>0.21698288115691242</v>
      </c>
      <c r="AL54" s="305">
        <v>1619</v>
      </c>
      <c r="AM54" s="313">
        <v>315</v>
      </c>
      <c r="AN54" s="213">
        <v>0.1945645460160593</v>
      </c>
      <c r="AO54" s="215">
        <v>0.86740079999999997</v>
      </c>
      <c r="AP54" s="302">
        <v>0.99443099999999995</v>
      </c>
      <c r="AQ54" s="209">
        <v>25987</v>
      </c>
      <c r="AR54" s="210">
        <v>14562</v>
      </c>
      <c r="AS54" s="211">
        <v>5220</v>
      </c>
      <c r="AT54" s="311">
        <v>3196</v>
      </c>
      <c r="AU54" s="213">
        <v>0.21947534679302294</v>
      </c>
      <c r="AV54" s="192">
        <v>5234</v>
      </c>
      <c r="AW54" s="214">
        <v>996</v>
      </c>
      <c r="AX54" s="213">
        <v>0.19029423003439053</v>
      </c>
      <c r="AY54" s="235">
        <v>1.23731048644242E-17</v>
      </c>
      <c r="AZ54" s="301">
        <v>0.98480120000000004</v>
      </c>
      <c r="BA54" s="209">
        <v>20105</v>
      </c>
      <c r="BB54" s="310">
        <v>9328</v>
      </c>
      <c r="BC54" s="312">
        <v>4980</v>
      </c>
      <c r="BD54" s="212">
        <v>2200</v>
      </c>
      <c r="BE54" s="213">
        <v>0.23584905660377359</v>
      </c>
      <c r="BF54" s="192">
        <v>3819</v>
      </c>
      <c r="BG54" s="214">
        <v>751</v>
      </c>
      <c r="BH54" s="213">
        <v>0.19664833726106309</v>
      </c>
      <c r="BI54" s="215">
        <v>0.99986399999999998</v>
      </c>
      <c r="BJ54" s="219">
        <v>1</v>
      </c>
      <c r="BK54" s="216">
        <v>14896</v>
      </c>
      <c r="BL54" s="210">
        <v>5509</v>
      </c>
      <c r="BM54" s="211">
        <v>3841</v>
      </c>
      <c r="BN54" s="212">
        <v>1449</v>
      </c>
      <c r="BO54" s="213">
        <v>0.26302414231257942</v>
      </c>
      <c r="BP54" s="192">
        <v>2380</v>
      </c>
      <c r="BQ54" s="214">
        <v>550</v>
      </c>
      <c r="BR54" s="213">
        <v>0.23109243697478993</v>
      </c>
      <c r="BS54" s="219">
        <v>0.13887099999999999</v>
      </c>
      <c r="BT54" s="229">
        <v>0.99953000000000003</v>
      </c>
      <c r="BU54" s="209">
        <v>10102</v>
      </c>
      <c r="BV54" s="210">
        <v>3129</v>
      </c>
      <c r="BW54" s="211">
        <v>2585</v>
      </c>
      <c r="BX54" s="212">
        <v>899</v>
      </c>
      <c r="BY54" s="213">
        <v>0.28731224033237457</v>
      </c>
      <c r="BZ54" s="305">
        <v>567</v>
      </c>
      <c r="CA54" s="313">
        <v>115</v>
      </c>
      <c r="CB54" s="213">
        <v>0.20282186948853614</v>
      </c>
      <c r="CC54" s="235">
        <v>8.2268777685445401E-7</v>
      </c>
      <c r="CD54" s="301">
        <v>0.99902000000000002</v>
      </c>
      <c r="CE54" s="209">
        <v>8753</v>
      </c>
      <c r="CF54" s="210">
        <v>2562</v>
      </c>
      <c r="CG54" s="211">
        <v>2240</v>
      </c>
      <c r="CH54" s="311">
        <v>784</v>
      </c>
      <c r="CI54" s="213">
        <v>0.30601092896174864</v>
      </c>
      <c r="CJ54" s="222">
        <v>1617</v>
      </c>
      <c r="CK54" s="214">
        <v>384</v>
      </c>
      <c r="CL54" s="213">
        <v>0.23747680890538034</v>
      </c>
      <c r="CM54" s="235">
        <v>4.89447589977425E-12</v>
      </c>
      <c r="CN54" s="219">
        <v>0.97270000000000001</v>
      </c>
      <c r="CO54" s="216">
        <v>4744</v>
      </c>
      <c r="CP54" s="210">
        <v>945</v>
      </c>
      <c r="CQ54" s="211">
        <v>2000</v>
      </c>
      <c r="CR54" s="212">
        <v>400</v>
      </c>
      <c r="CS54" s="213">
        <v>0.42328042328042326</v>
      </c>
      <c r="CT54" s="192">
        <v>488</v>
      </c>
      <c r="CU54" s="214">
        <v>151</v>
      </c>
      <c r="CV54" s="213">
        <v>0.3094262295081967</v>
      </c>
      <c r="CW54" s="301">
        <v>0.46721600000000002</v>
      </c>
      <c r="CX54" s="215">
        <v>1</v>
      </c>
      <c r="CY54" s="209">
        <v>3402</v>
      </c>
      <c r="CZ54" s="210">
        <v>457</v>
      </c>
      <c r="DA54" s="211">
        <v>1191</v>
      </c>
      <c r="DB54" s="212">
        <v>249</v>
      </c>
      <c r="DC54" s="213">
        <v>0.5448577680525164</v>
      </c>
      <c r="DD54" s="235">
        <v>3.7059801193193899E-20</v>
      </c>
    </row>
    <row r="55" spans="1:108" x14ac:dyDescent="0.2">
      <c r="A55" s="383"/>
      <c r="B55" s="281" t="s">
        <v>0</v>
      </c>
      <c r="C55" s="284">
        <v>57903</v>
      </c>
      <c r="D55" s="253">
        <v>53178</v>
      </c>
      <c r="E55" s="254">
        <v>5809</v>
      </c>
      <c r="F55" s="255">
        <v>5409</v>
      </c>
      <c r="G55" s="256">
        <v>0.1017149949227124</v>
      </c>
      <c r="H55" s="192">
        <v>18467</v>
      </c>
      <c r="I55" s="214">
        <v>1196</v>
      </c>
      <c r="J55" s="213">
        <v>6.4764173931878485E-2</v>
      </c>
      <c r="K55" s="235">
        <v>7.4435695999999999E-5</v>
      </c>
      <c r="L55" s="215">
        <v>1</v>
      </c>
      <c r="M55" s="216">
        <v>45262</v>
      </c>
      <c r="N55" s="217">
        <v>34711</v>
      </c>
      <c r="O55" s="218">
        <v>5578</v>
      </c>
      <c r="P55" s="212">
        <v>4213</v>
      </c>
      <c r="Q55" s="309">
        <v>0.12137362795655555</v>
      </c>
      <c r="R55" s="30">
        <v>15473</v>
      </c>
      <c r="S55" s="38">
        <v>1533</v>
      </c>
      <c r="T55" s="39">
        <v>9.9075809474568607E-2</v>
      </c>
      <c r="U55" s="264">
        <v>0.98599210000000004</v>
      </c>
      <c r="V55" s="265">
        <v>1</v>
      </c>
      <c r="W55" s="262">
        <v>33287</v>
      </c>
      <c r="X55" s="260">
        <v>19238</v>
      </c>
      <c r="Y55" s="211">
        <v>4690</v>
      </c>
      <c r="Z55" s="220">
        <v>2680</v>
      </c>
      <c r="AA55" s="213">
        <v>0.13930762033475413</v>
      </c>
      <c r="AB55" s="192">
        <v>8210</v>
      </c>
      <c r="AC55" s="214">
        <v>905</v>
      </c>
      <c r="AD55" s="213">
        <v>0.110231425091352</v>
      </c>
      <c r="AE55" s="219">
        <v>0.83904999999999996</v>
      </c>
      <c r="AF55" s="215">
        <v>1</v>
      </c>
      <c r="AG55" s="209">
        <v>24174</v>
      </c>
      <c r="AH55" s="221">
        <v>11028</v>
      </c>
      <c r="AI55" s="211">
        <v>3668</v>
      </c>
      <c r="AJ55" s="212">
        <v>1775</v>
      </c>
      <c r="AK55" s="213">
        <v>0.16095393543706929</v>
      </c>
      <c r="AL55" s="305">
        <v>1747</v>
      </c>
      <c r="AM55" s="313">
        <v>230</v>
      </c>
      <c r="AN55" s="213">
        <v>0.1316542644533486</v>
      </c>
      <c r="AO55" s="235">
        <v>1.3724009999999999E-4</v>
      </c>
      <c r="AP55" s="302">
        <v>0.99380190000000002</v>
      </c>
      <c r="AQ55" s="209">
        <v>21567</v>
      </c>
      <c r="AR55" s="210">
        <v>9281</v>
      </c>
      <c r="AS55" s="211">
        <v>2842</v>
      </c>
      <c r="AT55" s="311">
        <v>1545</v>
      </c>
      <c r="AU55" s="213">
        <v>0.16646913048162915</v>
      </c>
      <c r="AV55" s="192">
        <v>4544</v>
      </c>
      <c r="AW55" s="214">
        <v>637</v>
      </c>
      <c r="AX55" s="213">
        <v>0.14018485915492956</v>
      </c>
      <c r="AY55" s="235">
        <v>5.8270348330030699E-39</v>
      </c>
      <c r="AZ55" s="301">
        <v>3.1915224999999998E-2</v>
      </c>
      <c r="BA55" s="209">
        <v>14027</v>
      </c>
      <c r="BB55" s="310">
        <v>4737</v>
      </c>
      <c r="BC55" s="312">
        <v>2561</v>
      </c>
      <c r="BD55" s="212">
        <v>908</v>
      </c>
      <c r="BE55" s="213">
        <v>0.19168249947223981</v>
      </c>
      <c r="BF55" s="192">
        <v>3141</v>
      </c>
      <c r="BG55" s="214">
        <v>455</v>
      </c>
      <c r="BH55" s="213">
        <v>0.14485832537408469</v>
      </c>
      <c r="BI55" s="301">
        <v>2.4649999999999998E-2</v>
      </c>
      <c r="BJ55" s="219">
        <v>1</v>
      </c>
      <c r="BK55" s="216">
        <v>7123</v>
      </c>
      <c r="BL55" s="210">
        <v>1596</v>
      </c>
      <c r="BM55" s="211">
        <v>1742</v>
      </c>
      <c r="BN55" s="212">
        <v>453</v>
      </c>
      <c r="BO55" s="213">
        <v>0.28383458646616544</v>
      </c>
      <c r="BP55" s="192">
        <v>821</v>
      </c>
      <c r="BQ55" s="214">
        <v>209</v>
      </c>
      <c r="BR55" s="213">
        <v>0.25456760048721072</v>
      </c>
      <c r="BS55" s="235">
        <v>2.3908801999999999E-5</v>
      </c>
      <c r="BT55" s="301">
        <v>0.25167</v>
      </c>
      <c r="BU55" s="209">
        <v>4499</v>
      </c>
      <c r="BV55" s="210">
        <v>775</v>
      </c>
      <c r="BW55" s="211">
        <v>853</v>
      </c>
      <c r="BX55" s="212">
        <v>244</v>
      </c>
      <c r="BY55" s="213">
        <v>0.31483870967741934</v>
      </c>
      <c r="BZ55" s="305">
        <v>204</v>
      </c>
      <c r="CA55" s="313">
        <v>52</v>
      </c>
      <c r="CB55" s="213">
        <v>0.25490196078431371</v>
      </c>
      <c r="CC55" s="235">
        <v>1.13212301544094E-20</v>
      </c>
      <c r="CD55" s="301">
        <v>1.1365800000000001E-2</v>
      </c>
      <c r="CE55" s="209">
        <v>3655</v>
      </c>
      <c r="CF55" s="210">
        <v>571</v>
      </c>
      <c r="CG55" s="211">
        <v>696</v>
      </c>
      <c r="CH55" s="311">
        <v>192</v>
      </c>
      <c r="CI55" s="213">
        <v>0.33625218914185639</v>
      </c>
      <c r="CJ55" s="222">
        <v>474</v>
      </c>
      <c r="CK55" s="214">
        <v>138</v>
      </c>
      <c r="CL55" s="213">
        <v>0.29113924050632911</v>
      </c>
      <c r="CM55" s="235">
        <v>6.3970374157721598E-20</v>
      </c>
      <c r="CN55" s="235">
        <v>7.3907303242249502E-9</v>
      </c>
      <c r="CO55" s="216">
        <v>887</v>
      </c>
      <c r="CP55" s="210">
        <v>97</v>
      </c>
      <c r="CQ55" s="211">
        <v>505</v>
      </c>
      <c r="CR55" s="212">
        <v>54</v>
      </c>
      <c r="CS55" s="213">
        <v>0.55670103092783507</v>
      </c>
      <c r="CT55" s="192">
        <v>86</v>
      </c>
      <c r="CU55" s="214">
        <v>44</v>
      </c>
      <c r="CV55" s="213">
        <v>0.51162790697674421</v>
      </c>
      <c r="CW55" s="301">
        <v>0.64729999999999999</v>
      </c>
      <c r="CX55" s="302">
        <v>0.89434999999999998</v>
      </c>
      <c r="CY55" s="209">
        <v>224</v>
      </c>
      <c r="CZ55" s="210">
        <v>11</v>
      </c>
      <c r="DA55" s="211">
        <v>100</v>
      </c>
      <c r="DB55" s="212">
        <v>10</v>
      </c>
      <c r="DC55" s="213">
        <v>0.90909090909090906</v>
      </c>
      <c r="DD55" s="235">
        <v>1.6452999999999999E-3</v>
      </c>
    </row>
    <row r="56" spans="1:108" x14ac:dyDescent="0.2">
      <c r="C56" s="257"/>
      <c r="D56" s="122"/>
      <c r="E56" s="122"/>
      <c r="F56" s="122"/>
      <c r="G56" s="122"/>
      <c r="H56" s="112"/>
      <c r="K56" s="93"/>
      <c r="L56" s="93"/>
      <c r="M56" s="93"/>
      <c r="N56" s="93"/>
      <c r="O56" s="93"/>
      <c r="P56" s="93"/>
      <c r="Q56" s="93"/>
      <c r="R56" s="121"/>
      <c r="S56" s="121"/>
      <c r="T56" s="122"/>
      <c r="U56" s="122"/>
      <c r="V56" s="122"/>
      <c r="W56" s="258"/>
      <c r="X56" s="60"/>
      <c r="Y56" s="60"/>
      <c r="Z56" s="90"/>
      <c r="AC56" s="115"/>
      <c r="AD56" s="90"/>
      <c r="AE56" s="90"/>
      <c r="AG56" s="60"/>
      <c r="AH56" s="60"/>
      <c r="AL56" s="115"/>
      <c r="AM56" s="90"/>
      <c r="AP56" s="60"/>
      <c r="AQ56" s="60"/>
      <c r="AT56" s="90"/>
      <c r="AU56" s="90"/>
      <c r="AY56" s="60"/>
      <c r="AZ56" s="60"/>
      <c r="BB56" s="122"/>
      <c r="BC56" s="122"/>
      <c r="BD56" s="122"/>
      <c r="BE56" s="122"/>
      <c r="BF56" s="122"/>
      <c r="BG56" s="122"/>
      <c r="BH56" s="123"/>
      <c r="BI56" s="123"/>
      <c r="BJ56" s="122"/>
      <c r="BK56" s="49"/>
      <c r="BQ56" s="60"/>
      <c r="BS56" s="90"/>
      <c r="BY56" s="90"/>
      <c r="BZ56" s="43"/>
      <c r="CA56" s="43"/>
      <c r="CG56" s="115"/>
      <c r="CJ56" s="60"/>
      <c r="CK56" s="94"/>
      <c r="CN56" s="90"/>
      <c r="CO56" s="90"/>
      <c r="CQ56" s="60"/>
      <c r="CR56" s="60"/>
      <c r="CS56" s="60"/>
      <c r="CT56" s="94"/>
      <c r="CX56" s="43"/>
      <c r="CY56" s="43"/>
    </row>
    <row r="57" spans="1:108" s="55" customFormat="1" x14ac:dyDescent="0.2">
      <c r="A57" s="129"/>
      <c r="G57" s="64"/>
      <c r="M57" s="58"/>
      <c r="N57" s="58"/>
      <c r="O57" s="58"/>
      <c r="V57" s="58"/>
      <c r="W57" s="259"/>
      <c r="Z57" s="57"/>
      <c r="AD57" s="58"/>
      <c r="AE57" s="58"/>
      <c r="AH57" s="57"/>
      <c r="AL57" s="58"/>
      <c r="AM57" s="58"/>
      <c r="AT57" s="58"/>
      <c r="AU57" s="58"/>
      <c r="BB57" s="58"/>
      <c r="BC57" s="58"/>
      <c r="BJ57" s="58"/>
      <c r="BK57" s="58"/>
      <c r="BR57" s="58"/>
      <c r="BS57" s="58"/>
      <c r="BY57" s="57"/>
      <c r="BZ57" s="58"/>
      <c r="CA57" s="58"/>
      <c r="CH57" s="58"/>
      <c r="CI57" s="58"/>
      <c r="CJ57" s="130"/>
      <c r="CN57" s="58"/>
      <c r="CO57" s="58"/>
    </row>
    <row r="58" spans="1:108" s="55" customFormat="1" x14ac:dyDescent="0.2">
      <c r="A58" s="261"/>
      <c r="B58" s="172"/>
      <c r="C58" s="386" t="s">
        <v>37</v>
      </c>
      <c r="D58" s="386"/>
      <c r="E58" s="386"/>
      <c r="F58" s="386"/>
      <c r="G58" s="386"/>
      <c r="H58" s="386" t="s">
        <v>38</v>
      </c>
      <c r="I58" s="386"/>
      <c r="J58" s="386"/>
      <c r="K58" s="386"/>
      <c r="L58" s="386"/>
      <c r="M58" s="386" t="s">
        <v>39</v>
      </c>
      <c r="N58" s="386"/>
      <c r="O58" s="386"/>
      <c r="P58" s="386"/>
      <c r="Q58" s="386"/>
      <c r="R58" s="386" t="s">
        <v>30</v>
      </c>
      <c r="S58" s="386"/>
      <c r="T58" s="386"/>
      <c r="U58" s="386"/>
      <c r="V58" s="386"/>
      <c r="W58" s="386" t="s">
        <v>40</v>
      </c>
      <c r="X58" s="386"/>
      <c r="Y58" s="386"/>
      <c r="Z58" s="386"/>
      <c r="AA58" s="386"/>
      <c r="AB58" s="386" t="s">
        <v>41</v>
      </c>
      <c r="AC58" s="386"/>
      <c r="AD58" s="386"/>
      <c r="AE58" s="386"/>
      <c r="AF58" s="386"/>
      <c r="AG58" s="386" t="s">
        <v>42</v>
      </c>
      <c r="AH58" s="386"/>
      <c r="AI58" s="386"/>
      <c r="AJ58" s="386"/>
      <c r="AK58" s="386"/>
      <c r="AL58" s="386" t="s">
        <v>43</v>
      </c>
      <c r="AM58" s="386"/>
      <c r="AN58" s="386"/>
      <c r="AO58" s="386"/>
      <c r="AP58" s="386"/>
      <c r="AQ58" s="386" t="s">
        <v>46</v>
      </c>
      <c r="AR58" s="386"/>
      <c r="AS58" s="386"/>
      <c r="AT58" s="386"/>
      <c r="AU58" s="386"/>
      <c r="AV58" s="386" t="s">
        <v>47</v>
      </c>
      <c r="AW58" s="386"/>
      <c r="AX58" s="386"/>
      <c r="AY58" s="386"/>
      <c r="AZ58" s="386"/>
      <c r="BA58" s="58"/>
      <c r="BG58" s="57"/>
      <c r="BH58" s="58"/>
      <c r="BI58" s="58"/>
      <c r="BP58" s="58"/>
      <c r="BQ58" s="58"/>
      <c r="BR58" s="130"/>
      <c r="BV58" s="58"/>
      <c r="BW58" s="58"/>
    </row>
    <row r="59" spans="1:108" s="55" customFormat="1" ht="128" x14ac:dyDescent="0.2">
      <c r="A59" s="7" t="s">
        <v>75</v>
      </c>
      <c r="B59" s="7"/>
      <c r="C59" s="279" t="s">
        <v>56</v>
      </c>
      <c r="D59" s="104" t="s">
        <v>57</v>
      </c>
      <c r="E59" s="7" t="s">
        <v>52</v>
      </c>
      <c r="F59" s="103" t="s">
        <v>58</v>
      </c>
      <c r="G59" s="7" t="s">
        <v>60</v>
      </c>
      <c r="H59" s="7" t="s">
        <v>34</v>
      </c>
      <c r="I59" s="7" t="s">
        <v>50</v>
      </c>
      <c r="J59" s="7" t="s">
        <v>48</v>
      </c>
      <c r="K59" s="7" t="s">
        <v>51</v>
      </c>
      <c r="L59" s="7" t="s">
        <v>49</v>
      </c>
      <c r="M59" s="7" t="s">
        <v>34</v>
      </c>
      <c r="N59" s="7" t="s">
        <v>50</v>
      </c>
      <c r="O59" s="7" t="s">
        <v>48</v>
      </c>
      <c r="P59" s="7" t="s">
        <v>51</v>
      </c>
      <c r="Q59" s="7" t="s">
        <v>49</v>
      </c>
      <c r="R59" s="7" t="s">
        <v>34</v>
      </c>
      <c r="S59" s="7" t="s">
        <v>50</v>
      </c>
      <c r="T59" s="7" t="s">
        <v>48</v>
      </c>
      <c r="U59" s="7" t="s">
        <v>51</v>
      </c>
      <c r="V59" s="7" t="s">
        <v>49</v>
      </c>
      <c r="W59" s="7" t="s">
        <v>34</v>
      </c>
      <c r="X59" s="7" t="s">
        <v>50</v>
      </c>
      <c r="Y59" s="7" t="s">
        <v>48</v>
      </c>
      <c r="Z59" s="7" t="s">
        <v>51</v>
      </c>
      <c r="AA59" s="7" t="s">
        <v>49</v>
      </c>
      <c r="AB59" s="7" t="s">
        <v>34</v>
      </c>
      <c r="AC59" s="7" t="s">
        <v>50</v>
      </c>
      <c r="AD59" s="7" t="s">
        <v>48</v>
      </c>
      <c r="AE59" s="7" t="s">
        <v>51</v>
      </c>
      <c r="AF59" s="7" t="s">
        <v>49</v>
      </c>
      <c r="AG59" s="7" t="s">
        <v>34</v>
      </c>
      <c r="AH59" s="7" t="s">
        <v>50</v>
      </c>
      <c r="AI59" s="7" t="s">
        <v>48</v>
      </c>
      <c r="AJ59" s="7" t="s">
        <v>51</v>
      </c>
      <c r="AK59" s="7" t="s">
        <v>49</v>
      </c>
      <c r="AL59" s="7" t="s">
        <v>34</v>
      </c>
      <c r="AM59" s="7" t="s">
        <v>50</v>
      </c>
      <c r="AN59" s="7" t="s">
        <v>48</v>
      </c>
      <c r="AO59" s="7" t="s">
        <v>51</v>
      </c>
      <c r="AP59" s="7" t="s">
        <v>49</v>
      </c>
      <c r="AQ59" s="7" t="s">
        <v>34</v>
      </c>
      <c r="AR59" s="7" t="s">
        <v>50</v>
      </c>
      <c r="AS59" s="7" t="s">
        <v>48</v>
      </c>
      <c r="AT59" s="7" t="s">
        <v>51</v>
      </c>
      <c r="AU59" s="7" t="s">
        <v>49</v>
      </c>
      <c r="AV59" s="7" t="s">
        <v>34</v>
      </c>
      <c r="AW59" s="7" t="s">
        <v>50</v>
      </c>
      <c r="AX59" s="7" t="s">
        <v>48</v>
      </c>
      <c r="AY59" s="7" t="s">
        <v>51</v>
      </c>
      <c r="AZ59" s="7" t="s">
        <v>49</v>
      </c>
      <c r="BA59" s="58"/>
      <c r="BG59" s="57"/>
      <c r="BH59" s="58"/>
      <c r="BI59" s="58"/>
      <c r="BP59" s="58"/>
      <c r="BQ59" s="58"/>
      <c r="BR59" s="130"/>
      <c r="BV59" s="58"/>
      <c r="BW59" s="58"/>
    </row>
    <row r="60" spans="1:108" s="55" customFormat="1" ht="16" customHeight="1" x14ac:dyDescent="0.2">
      <c r="A60" s="382" t="s">
        <v>2</v>
      </c>
      <c r="B60" s="281" t="s">
        <v>1</v>
      </c>
      <c r="C60" s="108">
        <v>4983</v>
      </c>
      <c r="D60" s="13">
        <v>1040</v>
      </c>
      <c r="E60" s="10">
        <v>371</v>
      </c>
      <c r="F60" s="20">
        <v>49</v>
      </c>
      <c r="G60" s="137">
        <v>0.99997199999999997</v>
      </c>
      <c r="H60" s="8">
        <v>4240</v>
      </c>
      <c r="I60" s="13">
        <v>1002</v>
      </c>
      <c r="J60" s="186">
        <v>358</v>
      </c>
      <c r="K60" s="80">
        <v>61</v>
      </c>
      <c r="L60" s="193">
        <v>0.99938700000000003</v>
      </c>
      <c r="M60" s="8">
        <v>3454</v>
      </c>
      <c r="N60" s="13">
        <v>842</v>
      </c>
      <c r="O60" s="186">
        <v>292</v>
      </c>
      <c r="P60" s="80">
        <v>61</v>
      </c>
      <c r="Q60" s="193">
        <v>0.937782</v>
      </c>
      <c r="R60" s="8">
        <v>2630</v>
      </c>
      <c r="S60" s="13">
        <v>257</v>
      </c>
      <c r="T60" s="186">
        <v>236</v>
      </c>
      <c r="U60" s="80">
        <v>38</v>
      </c>
      <c r="V60" s="81">
        <v>9.0510000000000005E-4</v>
      </c>
      <c r="W60" s="8">
        <v>2380</v>
      </c>
      <c r="X60" s="13">
        <v>458</v>
      </c>
      <c r="Y60" s="186">
        <v>158</v>
      </c>
      <c r="Z60" s="80">
        <v>40</v>
      </c>
      <c r="AA60" s="195">
        <v>3.1584599999999997E-2</v>
      </c>
      <c r="AB60" s="8">
        <v>1820</v>
      </c>
      <c r="AC60" s="13">
        <v>516</v>
      </c>
      <c r="AD60" s="186">
        <v>145</v>
      </c>
      <c r="AE60" s="80">
        <v>43</v>
      </c>
      <c r="AF60" s="267">
        <v>0.39062140000000001</v>
      </c>
      <c r="AG60" s="108">
        <v>1213</v>
      </c>
      <c r="AH60" s="13">
        <v>248</v>
      </c>
      <c r="AI60" s="186">
        <v>103</v>
      </c>
      <c r="AJ60" s="80">
        <v>11</v>
      </c>
      <c r="AK60" s="193">
        <v>0.99798500000000001</v>
      </c>
      <c r="AL60" s="8">
        <v>831</v>
      </c>
      <c r="AM60" s="13">
        <v>73</v>
      </c>
      <c r="AN60" s="186">
        <v>75</v>
      </c>
      <c r="AO60" s="80">
        <v>7</v>
      </c>
      <c r="AP60" s="195">
        <v>0.49545060000000002</v>
      </c>
      <c r="AQ60" s="82">
        <v>726</v>
      </c>
      <c r="AR60" s="187">
        <v>164</v>
      </c>
      <c r="AS60" s="185">
        <v>62</v>
      </c>
      <c r="AT60" s="84">
        <v>22</v>
      </c>
      <c r="AU60" s="184">
        <v>1.09116E-2</v>
      </c>
      <c r="AV60" s="82">
        <v>350</v>
      </c>
      <c r="AW60" s="187">
        <v>48</v>
      </c>
      <c r="AX60" s="83">
        <v>46</v>
      </c>
      <c r="AY60" s="84">
        <v>6</v>
      </c>
      <c r="AZ60" s="266">
        <v>0.63085961999999995</v>
      </c>
      <c r="BA60" s="58"/>
      <c r="BG60" s="57"/>
      <c r="BH60" s="58"/>
      <c r="BI60" s="58"/>
      <c r="BP60" s="58"/>
      <c r="BQ60" s="58"/>
      <c r="BR60" s="130"/>
      <c r="BV60" s="58"/>
      <c r="BW60" s="58"/>
    </row>
    <row r="61" spans="1:108" s="55" customFormat="1" x14ac:dyDescent="0.2">
      <c r="A61" s="383"/>
      <c r="B61" s="281" t="s">
        <v>0</v>
      </c>
      <c r="C61" s="196">
        <v>16541</v>
      </c>
      <c r="D61" s="30">
        <v>5951</v>
      </c>
      <c r="E61" s="28">
        <v>638</v>
      </c>
      <c r="F61" s="38">
        <v>112</v>
      </c>
      <c r="G61" s="47">
        <v>0.99999990000000005</v>
      </c>
      <c r="H61" s="26">
        <v>12447</v>
      </c>
      <c r="I61" s="30">
        <v>4143</v>
      </c>
      <c r="J61" s="186">
        <v>607</v>
      </c>
      <c r="K61" s="80">
        <v>172</v>
      </c>
      <c r="L61" s="193">
        <v>0.99681699999999995</v>
      </c>
      <c r="M61" s="26">
        <v>8950</v>
      </c>
      <c r="N61" s="30">
        <v>2093</v>
      </c>
      <c r="O61" s="186">
        <v>486</v>
      </c>
      <c r="P61" s="80">
        <v>92</v>
      </c>
      <c r="Q61" s="193">
        <v>0.99360000000000004</v>
      </c>
      <c r="R61" s="26">
        <v>6622</v>
      </c>
      <c r="S61" s="30">
        <v>587</v>
      </c>
      <c r="T61" s="186">
        <v>340</v>
      </c>
      <c r="U61" s="80">
        <v>39</v>
      </c>
      <c r="V61" s="195">
        <v>5.4475999999999997E-2</v>
      </c>
      <c r="W61" s="26">
        <v>5392</v>
      </c>
      <c r="X61" s="30">
        <v>1208</v>
      </c>
      <c r="Y61" s="186">
        <v>229</v>
      </c>
      <c r="Z61" s="80">
        <v>73</v>
      </c>
      <c r="AA61" s="81">
        <v>4.6319999999999998E-4</v>
      </c>
      <c r="AB61" s="26">
        <v>3611</v>
      </c>
      <c r="AC61" s="30">
        <v>920</v>
      </c>
      <c r="AD61" s="186">
        <v>209</v>
      </c>
      <c r="AE61" s="80">
        <v>47</v>
      </c>
      <c r="AF61" s="197">
        <v>0.86578500000000003</v>
      </c>
      <c r="AG61" s="196">
        <v>1411</v>
      </c>
      <c r="AH61" s="30">
        <v>197</v>
      </c>
      <c r="AI61" s="186">
        <v>138</v>
      </c>
      <c r="AJ61" s="80">
        <v>20</v>
      </c>
      <c r="AK61" s="195">
        <v>0.46605099999999999</v>
      </c>
      <c r="AL61" s="26">
        <v>990</v>
      </c>
      <c r="AM61" s="30">
        <v>95</v>
      </c>
      <c r="AN61" s="186">
        <v>79</v>
      </c>
      <c r="AO61" s="80">
        <v>6</v>
      </c>
      <c r="AP61" s="195">
        <v>0.79227599999999998</v>
      </c>
      <c r="AQ61" s="85">
        <v>742</v>
      </c>
      <c r="AR61" s="187">
        <v>110</v>
      </c>
      <c r="AS61" s="185">
        <v>56</v>
      </c>
      <c r="AT61" s="84">
        <v>18</v>
      </c>
      <c r="AU61" s="184">
        <v>5.0544999999999995E-4</v>
      </c>
      <c r="AV61" s="85">
        <v>261</v>
      </c>
      <c r="AW61" s="187">
        <v>26</v>
      </c>
      <c r="AX61" s="83">
        <v>47</v>
      </c>
      <c r="AY61" s="84">
        <v>10</v>
      </c>
      <c r="AZ61" s="202">
        <v>7.7885563999999996E-3</v>
      </c>
      <c r="BA61" s="58"/>
      <c r="BG61" s="57"/>
      <c r="BH61" s="58"/>
      <c r="BI61" s="58"/>
      <c r="BP61" s="58"/>
      <c r="BQ61" s="58"/>
      <c r="BR61" s="130"/>
      <c r="BV61" s="58"/>
      <c r="BW61" s="58"/>
    </row>
    <row r="62" spans="1:108" s="55" customFormat="1" x14ac:dyDescent="0.2">
      <c r="A62" s="125"/>
      <c r="B62" s="282"/>
      <c r="C62" s="45"/>
      <c r="D62" s="44"/>
      <c r="E62" s="45"/>
      <c r="F62" s="45"/>
      <c r="G62" s="47"/>
      <c r="H62" s="45"/>
      <c r="I62" s="44"/>
      <c r="J62" s="86"/>
      <c r="K62" s="86"/>
      <c r="L62" s="194"/>
      <c r="M62" s="45"/>
      <c r="N62" s="44"/>
      <c r="O62" s="86"/>
      <c r="P62" s="86"/>
      <c r="Q62" s="194"/>
      <c r="R62" s="45"/>
      <c r="S62" s="44"/>
      <c r="T62" s="86"/>
      <c r="U62" s="86"/>
      <c r="V62" s="46"/>
      <c r="W62" s="45"/>
      <c r="X62" s="44"/>
      <c r="Y62" s="86"/>
      <c r="Z62" s="86"/>
      <c r="AA62" s="86"/>
      <c r="AB62" s="45"/>
      <c r="AC62" s="44"/>
      <c r="AD62" s="86"/>
      <c r="AE62" s="86"/>
      <c r="AF62" s="198"/>
      <c r="AG62" s="45"/>
      <c r="AH62" s="44"/>
      <c r="AI62" s="86"/>
      <c r="AJ62" s="86"/>
      <c r="AK62" s="46"/>
      <c r="AL62" s="45"/>
      <c r="AM62" s="44"/>
      <c r="AN62" s="86"/>
      <c r="AO62" s="86"/>
      <c r="AP62" s="46"/>
      <c r="AQ62" s="126"/>
      <c r="AR62" s="87"/>
      <c r="AS62" s="89"/>
      <c r="AT62" s="89"/>
      <c r="AU62" s="89"/>
      <c r="AV62" s="126"/>
      <c r="AW62" s="87"/>
      <c r="AX62" s="88"/>
      <c r="AY62" s="89"/>
      <c r="AZ62" s="53"/>
      <c r="BA62" s="58"/>
      <c r="BG62" s="57"/>
      <c r="BH62" s="58"/>
      <c r="BI62" s="58"/>
      <c r="BP62" s="58"/>
      <c r="BQ62" s="58"/>
      <c r="BR62" s="130"/>
      <c r="BV62" s="58"/>
      <c r="BW62" s="58"/>
    </row>
    <row r="63" spans="1:108" s="55" customFormat="1" ht="16" customHeight="1" x14ac:dyDescent="0.2">
      <c r="A63" s="382" t="s">
        <v>3</v>
      </c>
      <c r="B63" s="281" t="s">
        <v>1</v>
      </c>
      <c r="C63" s="109">
        <v>2563</v>
      </c>
      <c r="D63" s="30">
        <v>782</v>
      </c>
      <c r="E63" s="28">
        <v>191</v>
      </c>
      <c r="F63" s="38">
        <v>25</v>
      </c>
      <c r="G63" s="47">
        <v>0.99999999839999998</v>
      </c>
      <c r="H63" s="50">
        <v>1878</v>
      </c>
      <c r="I63" s="30">
        <v>358</v>
      </c>
      <c r="J63" s="186">
        <v>166</v>
      </c>
      <c r="K63" s="80">
        <v>25</v>
      </c>
      <c r="L63" s="193">
        <v>0.93354214999999996</v>
      </c>
      <c r="M63" s="50">
        <v>1626</v>
      </c>
      <c r="N63" s="30">
        <v>459</v>
      </c>
      <c r="O63" s="186">
        <v>127</v>
      </c>
      <c r="P63" s="80">
        <v>31</v>
      </c>
      <c r="Q63" s="193">
        <v>0.86468999999999996</v>
      </c>
      <c r="R63" s="50">
        <v>1148</v>
      </c>
      <c r="S63" s="30">
        <v>181</v>
      </c>
      <c r="T63" s="186">
        <v>109</v>
      </c>
      <c r="U63" s="80">
        <v>19</v>
      </c>
      <c r="V63" s="195">
        <v>0.35008</v>
      </c>
      <c r="W63" s="50">
        <v>915</v>
      </c>
      <c r="X63" s="30">
        <v>227</v>
      </c>
      <c r="Y63" s="186">
        <v>72</v>
      </c>
      <c r="Z63" s="80">
        <v>17</v>
      </c>
      <c r="AA63" s="195">
        <v>0.64412069999999999</v>
      </c>
      <c r="AB63" s="50">
        <v>703</v>
      </c>
      <c r="AC63" s="30">
        <v>132</v>
      </c>
      <c r="AD63" s="186">
        <v>58</v>
      </c>
      <c r="AE63" s="80">
        <v>17</v>
      </c>
      <c r="AF63" s="197">
        <v>2.8680000000000001E-2</v>
      </c>
      <c r="AG63" s="109">
        <v>484</v>
      </c>
      <c r="AH63" s="30">
        <v>53</v>
      </c>
      <c r="AI63" s="186">
        <v>32</v>
      </c>
      <c r="AJ63" s="80">
        <v>6</v>
      </c>
      <c r="AK63" s="195">
        <v>0.12378</v>
      </c>
      <c r="AL63" s="50">
        <v>345</v>
      </c>
      <c r="AM63" s="30">
        <v>6</v>
      </c>
      <c r="AN63" s="186">
        <v>21</v>
      </c>
      <c r="AO63" s="80">
        <v>1</v>
      </c>
      <c r="AP63" s="195">
        <v>0.31590000000000001</v>
      </c>
      <c r="AQ63" s="82">
        <v>331</v>
      </c>
      <c r="AR63" s="187">
        <v>70</v>
      </c>
      <c r="AS63" s="185">
        <v>16</v>
      </c>
      <c r="AT63" s="84">
        <v>6</v>
      </c>
      <c r="AU63" s="200">
        <v>9.6655000000000005E-2</v>
      </c>
      <c r="AV63" s="82">
        <v>203</v>
      </c>
      <c r="AW63" s="187">
        <v>26</v>
      </c>
      <c r="AX63" s="83">
        <v>13</v>
      </c>
      <c r="AY63" s="84">
        <v>2</v>
      </c>
      <c r="AZ63" s="201">
        <v>0.51622979999999996</v>
      </c>
      <c r="BA63" s="58"/>
      <c r="BG63" s="57"/>
      <c r="BH63" s="58"/>
      <c r="BI63" s="58"/>
      <c r="BP63" s="58"/>
      <c r="BQ63" s="58"/>
      <c r="BR63" s="130"/>
      <c r="BV63" s="58"/>
      <c r="BW63" s="58"/>
    </row>
    <row r="64" spans="1:108" s="55" customFormat="1" x14ac:dyDescent="0.2">
      <c r="A64" s="383"/>
      <c r="B64" s="281" t="s">
        <v>0</v>
      </c>
      <c r="C64" s="109">
        <v>20364</v>
      </c>
      <c r="D64" s="30">
        <v>6379</v>
      </c>
      <c r="E64" s="28">
        <v>1485</v>
      </c>
      <c r="F64" s="38">
        <v>117</v>
      </c>
      <c r="G64" s="47">
        <v>0.99999899999999997</v>
      </c>
      <c r="H64" s="50">
        <v>14609</v>
      </c>
      <c r="I64" s="30">
        <v>3617</v>
      </c>
      <c r="J64" s="186">
        <v>1368</v>
      </c>
      <c r="K64" s="80">
        <v>256</v>
      </c>
      <c r="L64" s="193">
        <v>0.99999990000000005</v>
      </c>
      <c r="M64" s="50">
        <v>11797</v>
      </c>
      <c r="N64" s="30">
        <v>2991</v>
      </c>
      <c r="O64" s="186">
        <v>1172</v>
      </c>
      <c r="P64" s="80">
        <v>242</v>
      </c>
      <c r="Q64" s="193">
        <v>0.99995999999999996</v>
      </c>
      <c r="R64" s="50">
        <v>9188</v>
      </c>
      <c r="S64" s="30">
        <v>608</v>
      </c>
      <c r="T64" s="186">
        <v>1015</v>
      </c>
      <c r="U64" s="80">
        <v>70</v>
      </c>
      <c r="V64" s="195">
        <v>0.37219999999999998</v>
      </c>
      <c r="W64" s="50">
        <v>8552</v>
      </c>
      <c r="X64" s="30">
        <v>2310</v>
      </c>
      <c r="Y64" s="186">
        <v>827</v>
      </c>
      <c r="Z64" s="80">
        <v>197</v>
      </c>
      <c r="AA64" s="193">
        <v>0.987344</v>
      </c>
      <c r="AB64" s="50">
        <v>5434</v>
      </c>
      <c r="AC64" s="30">
        <v>1446</v>
      </c>
      <c r="AD64" s="186">
        <v>765</v>
      </c>
      <c r="AE64" s="80">
        <v>164</v>
      </c>
      <c r="AF64" s="203">
        <v>0.99984130000000004</v>
      </c>
      <c r="AG64" s="109">
        <v>2450</v>
      </c>
      <c r="AH64" s="30">
        <v>356</v>
      </c>
      <c r="AI64" s="186">
        <v>522</v>
      </c>
      <c r="AJ64" s="80">
        <v>63</v>
      </c>
      <c r="AK64" s="193">
        <v>0.97097999999999995</v>
      </c>
      <c r="AL64" s="50">
        <v>1096</v>
      </c>
      <c r="AM64" s="30">
        <v>100</v>
      </c>
      <c r="AN64" s="186">
        <v>229</v>
      </c>
      <c r="AO64" s="80">
        <v>11</v>
      </c>
      <c r="AP64" s="193">
        <v>0.99784899999999999</v>
      </c>
      <c r="AQ64" s="82">
        <v>832</v>
      </c>
      <c r="AR64" s="187">
        <v>138</v>
      </c>
      <c r="AS64" s="185">
        <v>172</v>
      </c>
      <c r="AT64" s="84">
        <v>32</v>
      </c>
      <c r="AU64" s="200">
        <v>0.2445582</v>
      </c>
      <c r="AV64" s="82">
        <v>298</v>
      </c>
      <c r="AW64" s="187">
        <v>25</v>
      </c>
      <c r="AX64" s="83">
        <v>93</v>
      </c>
      <c r="AY64" s="84">
        <v>9</v>
      </c>
      <c r="AZ64" s="201">
        <v>0.36865300000000001</v>
      </c>
      <c r="BA64" s="58"/>
      <c r="BG64" s="57"/>
      <c r="BH64" s="58"/>
      <c r="BI64" s="58"/>
      <c r="BP64" s="58"/>
      <c r="BQ64" s="58"/>
      <c r="BR64" s="130"/>
      <c r="BV64" s="58"/>
      <c r="BW64" s="58"/>
    </row>
    <row r="65" spans="1:93" s="55" customFormat="1" x14ac:dyDescent="0.2">
      <c r="A65" s="127"/>
      <c r="B65" s="282"/>
      <c r="C65" s="45"/>
      <c r="D65" s="45"/>
      <c r="E65" s="45"/>
      <c r="F65" s="45"/>
      <c r="G65" s="47"/>
      <c r="H65" s="45"/>
      <c r="I65" s="45"/>
      <c r="J65" s="86"/>
      <c r="K65" s="86"/>
      <c r="L65" s="194"/>
      <c r="M65" s="45"/>
      <c r="N65" s="45"/>
      <c r="O65" s="86"/>
      <c r="P65" s="86"/>
      <c r="Q65" s="194"/>
      <c r="R65" s="45"/>
      <c r="S65" s="45"/>
      <c r="T65" s="86"/>
      <c r="U65" s="86"/>
      <c r="V65" s="86"/>
      <c r="W65" s="45"/>
      <c r="X65" s="45"/>
      <c r="Y65" s="86"/>
      <c r="Z65" s="86"/>
      <c r="AA65" s="46"/>
      <c r="AB65" s="45"/>
      <c r="AC65" s="45"/>
      <c r="AD65" s="86"/>
      <c r="AE65" s="86"/>
      <c r="AF65" s="198"/>
      <c r="AG65" s="45"/>
      <c r="AH65" s="45"/>
      <c r="AI65" s="86"/>
      <c r="AJ65" s="86"/>
      <c r="AK65" s="46"/>
      <c r="AL65" s="45"/>
      <c r="AM65" s="45"/>
      <c r="AN65" s="86"/>
      <c r="AO65" s="86"/>
      <c r="AP65" s="46"/>
      <c r="AQ65" s="126"/>
      <c r="AR65" s="88"/>
      <c r="AS65" s="89"/>
      <c r="AT65" s="89"/>
      <c r="AU65" s="89"/>
      <c r="AV65" s="126"/>
      <c r="AW65" s="88"/>
      <c r="AX65" s="88"/>
      <c r="AY65" s="89"/>
      <c r="AZ65" s="53"/>
      <c r="BA65" s="58"/>
      <c r="BG65" s="57"/>
      <c r="BH65" s="58"/>
      <c r="BI65" s="58"/>
      <c r="BP65" s="58"/>
      <c r="BQ65" s="58"/>
      <c r="BR65" s="130"/>
      <c r="BV65" s="58"/>
      <c r="BW65" s="58"/>
    </row>
    <row r="66" spans="1:93" s="55" customFormat="1" x14ac:dyDescent="0.2">
      <c r="A66" s="382" t="s">
        <v>4</v>
      </c>
      <c r="B66" s="281" t="s">
        <v>1</v>
      </c>
      <c r="C66" s="109">
        <v>39416</v>
      </c>
      <c r="D66" s="30">
        <v>9807</v>
      </c>
      <c r="E66" s="28">
        <v>4610</v>
      </c>
      <c r="F66" s="38">
        <v>107</v>
      </c>
      <c r="G66" s="47">
        <v>0.99999899999999997</v>
      </c>
      <c r="H66" s="50">
        <v>33380</v>
      </c>
      <c r="I66" s="30">
        <v>8768</v>
      </c>
      <c r="J66" s="186">
        <v>4503</v>
      </c>
      <c r="K66" s="80">
        <v>986</v>
      </c>
      <c r="L66" s="193">
        <v>0.99999899999999997</v>
      </c>
      <c r="M66" s="50">
        <v>27116</v>
      </c>
      <c r="N66" s="30">
        <v>7279</v>
      </c>
      <c r="O66" s="186">
        <v>3869</v>
      </c>
      <c r="P66" s="80">
        <v>771</v>
      </c>
      <c r="Q66" s="193">
        <v>1</v>
      </c>
      <c r="R66" s="50">
        <v>19763</v>
      </c>
      <c r="S66" s="30">
        <v>1687</v>
      </c>
      <c r="T66" s="186">
        <v>3199</v>
      </c>
      <c r="U66" s="80">
        <v>318</v>
      </c>
      <c r="V66" s="81">
        <v>1.2627999999999999E-3</v>
      </c>
      <c r="W66" s="50">
        <v>17530</v>
      </c>
      <c r="X66" s="30">
        <v>3800</v>
      </c>
      <c r="Y66" s="186">
        <v>2487</v>
      </c>
      <c r="Z66" s="80">
        <v>475</v>
      </c>
      <c r="AA66" s="193">
        <v>0.99970199999999998</v>
      </c>
      <c r="AB66" s="50">
        <v>12696</v>
      </c>
      <c r="AC66" s="30">
        <v>2731</v>
      </c>
      <c r="AD66" s="186">
        <v>2394</v>
      </c>
      <c r="AE66" s="80">
        <v>475</v>
      </c>
      <c r="AF66" s="203">
        <v>0.98771500000000001</v>
      </c>
      <c r="AG66" s="109">
        <v>8419</v>
      </c>
      <c r="AH66" s="30">
        <v>1315</v>
      </c>
      <c r="AI66" s="186">
        <v>1527</v>
      </c>
      <c r="AJ66" s="80">
        <v>208</v>
      </c>
      <c r="AK66" s="193">
        <v>0.99276500000000001</v>
      </c>
      <c r="AL66" s="50">
        <v>5868</v>
      </c>
      <c r="AM66" s="30">
        <v>320</v>
      </c>
      <c r="AN66" s="186">
        <v>997</v>
      </c>
      <c r="AO66" s="80">
        <v>51</v>
      </c>
      <c r="AP66" s="195">
        <v>0.71986000000000006</v>
      </c>
      <c r="AQ66" s="82">
        <v>5195</v>
      </c>
      <c r="AR66" s="187">
        <v>1053</v>
      </c>
      <c r="AS66" s="185">
        <v>887</v>
      </c>
      <c r="AT66" s="84">
        <v>209</v>
      </c>
      <c r="AU66" s="184">
        <v>4.6535400000000003E-3</v>
      </c>
      <c r="AV66" s="82">
        <v>2186</v>
      </c>
      <c r="AW66" s="187">
        <v>213</v>
      </c>
      <c r="AX66" s="83">
        <v>697</v>
      </c>
      <c r="AY66" s="84">
        <v>48</v>
      </c>
      <c r="AZ66" s="76">
        <v>0.99940949999999995</v>
      </c>
      <c r="BA66" s="58"/>
      <c r="BG66" s="57"/>
      <c r="BH66" s="58"/>
      <c r="BI66" s="58"/>
      <c r="BP66" s="58"/>
      <c r="BQ66" s="58"/>
      <c r="BR66" s="130"/>
      <c r="BV66" s="58"/>
      <c r="BW66" s="58"/>
    </row>
    <row r="67" spans="1:93" s="55" customFormat="1" x14ac:dyDescent="0.2">
      <c r="A67" s="383"/>
      <c r="B67" s="281" t="s">
        <v>0</v>
      </c>
      <c r="C67" s="109">
        <v>74852</v>
      </c>
      <c r="D67" s="30">
        <v>23404</v>
      </c>
      <c r="E67" s="28">
        <v>5432</v>
      </c>
      <c r="F67" s="38">
        <v>217</v>
      </c>
      <c r="G67" s="47">
        <v>0.99999990000000005</v>
      </c>
      <c r="H67" s="50">
        <v>58948</v>
      </c>
      <c r="I67" s="30">
        <v>18842</v>
      </c>
      <c r="J67" s="186">
        <v>5215</v>
      </c>
      <c r="K67" s="80">
        <v>1349</v>
      </c>
      <c r="L67" s="193">
        <v>1</v>
      </c>
      <c r="M67" s="50">
        <v>46679</v>
      </c>
      <c r="N67" s="30">
        <v>11055</v>
      </c>
      <c r="O67" s="186">
        <v>4451</v>
      </c>
      <c r="P67" s="80">
        <v>874</v>
      </c>
      <c r="Q67" s="193">
        <v>0.99990000000000001</v>
      </c>
      <c r="R67" s="50">
        <v>33920</v>
      </c>
      <c r="S67" s="30">
        <v>2581</v>
      </c>
      <c r="T67" s="186">
        <v>3550</v>
      </c>
      <c r="U67" s="80">
        <v>243</v>
      </c>
      <c r="V67" s="193">
        <v>0.96904000000000001</v>
      </c>
      <c r="W67" s="50">
        <v>29823</v>
      </c>
      <c r="X67" s="30">
        <v>6288</v>
      </c>
      <c r="Y67" s="186">
        <v>2729</v>
      </c>
      <c r="Z67" s="80">
        <v>550</v>
      </c>
      <c r="AA67" s="193">
        <v>0.89926329999999999</v>
      </c>
      <c r="AB67" s="50">
        <v>19532</v>
      </c>
      <c r="AC67" s="30">
        <v>4593</v>
      </c>
      <c r="AD67" s="186">
        <v>2562</v>
      </c>
      <c r="AE67" s="80">
        <v>585</v>
      </c>
      <c r="AF67" s="197">
        <v>0.81514600000000004</v>
      </c>
      <c r="AG67" s="109">
        <v>9528</v>
      </c>
      <c r="AH67" s="30">
        <v>938</v>
      </c>
      <c r="AI67" s="186">
        <v>1573</v>
      </c>
      <c r="AJ67" s="80">
        <v>172</v>
      </c>
      <c r="AK67" s="195">
        <v>6.2905100000000005E-2</v>
      </c>
      <c r="AL67" s="50">
        <v>6211</v>
      </c>
      <c r="AM67" s="30">
        <v>362</v>
      </c>
      <c r="AN67" s="186">
        <v>724</v>
      </c>
      <c r="AO67" s="80">
        <v>53</v>
      </c>
      <c r="AP67" s="195">
        <v>4.4114800000000003E-2</v>
      </c>
      <c r="AQ67" s="82">
        <v>5168</v>
      </c>
      <c r="AR67" s="187">
        <v>620</v>
      </c>
      <c r="AS67" s="185">
        <v>590</v>
      </c>
      <c r="AT67" s="84">
        <v>149</v>
      </c>
      <c r="AU67" s="184">
        <v>1.1094602351141999E-21</v>
      </c>
      <c r="AV67" s="82">
        <v>596</v>
      </c>
      <c r="AW67" s="187">
        <v>30</v>
      </c>
      <c r="AX67" s="83">
        <v>362</v>
      </c>
      <c r="AY67" s="84">
        <v>15</v>
      </c>
      <c r="AZ67" s="76">
        <v>0.92205930000000003</v>
      </c>
      <c r="BA67" s="58"/>
      <c r="BG67" s="57"/>
      <c r="BH67" s="58"/>
      <c r="BI67" s="58"/>
      <c r="BP67" s="58"/>
      <c r="BQ67" s="58"/>
      <c r="BR67" s="130"/>
      <c r="BV67" s="58"/>
      <c r="BW67" s="58"/>
    </row>
    <row r="68" spans="1:93" s="55" customFormat="1" x14ac:dyDescent="0.2">
      <c r="A68" s="128"/>
      <c r="B68" s="282"/>
      <c r="C68" s="45"/>
      <c r="D68" s="45"/>
      <c r="E68" s="45"/>
      <c r="F68" s="45"/>
      <c r="G68" s="47"/>
      <c r="H68" s="45"/>
      <c r="I68" s="45"/>
      <c r="J68" s="86"/>
      <c r="K68" s="86"/>
      <c r="L68" s="194"/>
      <c r="M68" s="45"/>
      <c r="N68" s="45"/>
      <c r="O68" s="86"/>
      <c r="P68" s="86"/>
      <c r="Q68" s="194"/>
      <c r="R68" s="45"/>
      <c r="S68" s="45"/>
      <c r="T68" s="86"/>
      <c r="U68" s="86"/>
      <c r="V68" s="46"/>
      <c r="W68" s="45"/>
      <c r="X68" s="45"/>
      <c r="Y68" s="86"/>
      <c r="Z68" s="86"/>
      <c r="AA68" s="46"/>
      <c r="AB68" s="45"/>
      <c r="AC68" s="45"/>
      <c r="AD68" s="86"/>
      <c r="AE68" s="86"/>
      <c r="AF68" s="135"/>
      <c r="AG68" s="45"/>
      <c r="AH68" s="45"/>
      <c r="AI68" s="86"/>
      <c r="AJ68" s="86"/>
      <c r="AK68" s="46"/>
      <c r="AL68" s="45"/>
      <c r="AM68" s="45"/>
      <c r="AN68" s="86"/>
      <c r="AO68" s="86"/>
      <c r="AP68" s="86"/>
      <c r="AQ68" s="126"/>
      <c r="AR68" s="88"/>
      <c r="AS68" s="89"/>
      <c r="AT68" s="89"/>
      <c r="AU68" s="89"/>
      <c r="AV68" s="126"/>
      <c r="AW68" s="88"/>
      <c r="AX68" s="88"/>
      <c r="AY68" s="89"/>
      <c r="AZ68" s="53"/>
      <c r="BA68" s="58"/>
      <c r="BG68" s="57"/>
      <c r="BH68" s="58"/>
      <c r="BI68" s="58"/>
      <c r="BP68" s="58"/>
      <c r="BQ68" s="58"/>
      <c r="BR68" s="130"/>
      <c r="BV68" s="58"/>
      <c r="BW68" s="58"/>
    </row>
    <row r="69" spans="1:93" s="55" customFormat="1" ht="16" customHeight="1" x14ac:dyDescent="0.2">
      <c r="A69" s="382" t="s">
        <v>5</v>
      </c>
      <c r="B69" s="281" t="s">
        <v>1</v>
      </c>
      <c r="C69" s="109">
        <v>49994</v>
      </c>
      <c r="D69" s="30">
        <v>12088</v>
      </c>
      <c r="E69" s="28">
        <v>8406</v>
      </c>
      <c r="F69" s="38">
        <v>1194</v>
      </c>
      <c r="G69" s="47">
        <v>1</v>
      </c>
      <c r="H69" s="50">
        <v>42307</v>
      </c>
      <c r="I69" s="30">
        <v>9836</v>
      </c>
      <c r="J69" s="186">
        <v>8209</v>
      </c>
      <c r="K69" s="80">
        <v>1617</v>
      </c>
      <c r="L69" s="193">
        <v>1</v>
      </c>
      <c r="M69" s="50">
        <v>36183</v>
      </c>
      <c r="N69" s="30">
        <v>8827</v>
      </c>
      <c r="O69" s="186">
        <v>7336</v>
      </c>
      <c r="P69" s="80">
        <v>1479</v>
      </c>
      <c r="Q69" s="193">
        <v>1</v>
      </c>
      <c r="R69" s="50">
        <v>28092</v>
      </c>
      <c r="S69" s="30">
        <v>1767</v>
      </c>
      <c r="T69" s="186">
        <v>6306</v>
      </c>
      <c r="U69" s="80">
        <v>418</v>
      </c>
      <c r="V69" s="195">
        <v>0.11015</v>
      </c>
      <c r="W69" s="50">
        <v>26071</v>
      </c>
      <c r="X69" s="30">
        <v>5313</v>
      </c>
      <c r="Y69" s="186">
        <v>5293</v>
      </c>
      <c r="Z69" s="80">
        <v>1031</v>
      </c>
      <c r="AA69" s="193">
        <v>0.96757199999999999</v>
      </c>
      <c r="AB69" s="50">
        <v>20115</v>
      </c>
      <c r="AC69" s="30">
        <v>4075</v>
      </c>
      <c r="AD69" s="186">
        <v>5018</v>
      </c>
      <c r="AE69" s="80">
        <v>819</v>
      </c>
      <c r="AF69" s="204">
        <v>1</v>
      </c>
      <c r="AG69" s="50">
        <v>14243</v>
      </c>
      <c r="AH69" s="30">
        <v>2175</v>
      </c>
      <c r="AI69" s="186">
        <v>3684</v>
      </c>
      <c r="AJ69" s="80">
        <v>508</v>
      </c>
      <c r="AK69" s="193">
        <v>0.99842900000000001</v>
      </c>
      <c r="AL69" s="50">
        <v>10014</v>
      </c>
      <c r="AM69" s="30">
        <v>571</v>
      </c>
      <c r="AN69" s="186">
        <v>2593</v>
      </c>
      <c r="AO69" s="80">
        <v>115</v>
      </c>
      <c r="AP69" s="199">
        <v>0.99960899999999997</v>
      </c>
      <c r="AQ69" s="82">
        <v>8648</v>
      </c>
      <c r="AR69" s="187">
        <v>1682</v>
      </c>
      <c r="AS69" s="185">
        <v>2245</v>
      </c>
      <c r="AT69" s="84">
        <v>422</v>
      </c>
      <c r="AU69" s="200">
        <v>0.82588700000000004</v>
      </c>
      <c r="AV69" s="82">
        <v>4252</v>
      </c>
      <c r="AW69" s="187">
        <v>376</v>
      </c>
      <c r="AX69" s="83">
        <v>1833</v>
      </c>
      <c r="AY69" s="84">
        <v>105</v>
      </c>
      <c r="AZ69" s="76">
        <v>0.99999000000000005</v>
      </c>
      <c r="BA69" s="58"/>
      <c r="BG69" s="57"/>
      <c r="BH69" s="58"/>
      <c r="BI69" s="58"/>
      <c r="BP69" s="58"/>
      <c r="BQ69" s="58"/>
      <c r="BR69" s="130"/>
      <c r="BV69" s="58"/>
      <c r="BW69" s="58"/>
    </row>
    <row r="70" spans="1:93" s="55" customFormat="1" x14ac:dyDescent="0.2">
      <c r="A70" s="383"/>
      <c r="B70" s="281" t="s">
        <v>0</v>
      </c>
      <c r="C70" s="109">
        <v>58519</v>
      </c>
      <c r="D70" s="30">
        <v>18563</v>
      </c>
      <c r="E70" s="28">
        <v>5986</v>
      </c>
      <c r="F70" s="38">
        <v>1211</v>
      </c>
      <c r="G70" s="47">
        <v>0.99999899999999997</v>
      </c>
      <c r="H70" s="50">
        <v>45803</v>
      </c>
      <c r="I70" s="30">
        <v>15684</v>
      </c>
      <c r="J70" s="186">
        <v>5735</v>
      </c>
      <c r="K70" s="80">
        <v>1597</v>
      </c>
      <c r="L70" s="193">
        <v>0.99999000000000005</v>
      </c>
      <c r="M70" s="50">
        <v>33653</v>
      </c>
      <c r="N70" s="30">
        <v>8422</v>
      </c>
      <c r="O70" s="186">
        <v>4792</v>
      </c>
      <c r="P70" s="80">
        <v>926</v>
      </c>
      <c r="Q70" s="193">
        <v>1</v>
      </c>
      <c r="R70" s="50">
        <v>24314</v>
      </c>
      <c r="S70" s="30">
        <v>1830</v>
      </c>
      <c r="T70" s="186">
        <v>3736</v>
      </c>
      <c r="U70" s="80">
        <v>278</v>
      </c>
      <c r="V70" s="195">
        <v>0.59582999999999997</v>
      </c>
      <c r="W70" s="50">
        <v>21500</v>
      </c>
      <c r="X70" s="30">
        <v>4546</v>
      </c>
      <c r="Y70" s="186">
        <v>2866</v>
      </c>
      <c r="Z70" s="80">
        <v>649</v>
      </c>
      <c r="AA70" s="193">
        <v>0.96757199999999999</v>
      </c>
      <c r="AB70" s="50">
        <v>14019</v>
      </c>
      <c r="AC70" s="30">
        <v>3166</v>
      </c>
      <c r="AD70" s="186">
        <v>2582</v>
      </c>
      <c r="AE70" s="80">
        <v>478</v>
      </c>
      <c r="AF70" s="204">
        <v>1</v>
      </c>
      <c r="AG70" s="50">
        <v>6904</v>
      </c>
      <c r="AH70" s="30">
        <v>826</v>
      </c>
      <c r="AI70" s="186">
        <v>1654</v>
      </c>
      <c r="AJ70" s="80">
        <v>197</v>
      </c>
      <c r="AK70" s="195">
        <v>0.54567164999999995</v>
      </c>
      <c r="AL70" s="50">
        <v>4361</v>
      </c>
      <c r="AM70" s="30">
        <v>206</v>
      </c>
      <c r="AN70" s="186">
        <v>836</v>
      </c>
      <c r="AO70" s="80">
        <v>52</v>
      </c>
      <c r="AP70" s="195">
        <v>1.6862849999999999E-2</v>
      </c>
      <c r="AQ70" s="82">
        <v>3509</v>
      </c>
      <c r="AR70" s="187">
        <v>443</v>
      </c>
      <c r="AS70" s="185">
        <v>676</v>
      </c>
      <c r="AT70" s="84">
        <v>140</v>
      </c>
      <c r="AU70" s="184">
        <v>1.7806463602228901E-11</v>
      </c>
      <c r="AV70" s="82">
        <v>790</v>
      </c>
      <c r="AW70" s="187">
        <v>80</v>
      </c>
      <c r="AX70" s="83">
        <v>409</v>
      </c>
      <c r="AY70" s="84">
        <v>37</v>
      </c>
      <c r="AZ70" s="201">
        <v>0.87709800000000004</v>
      </c>
      <c r="BA70" s="58"/>
      <c r="BG70" s="57"/>
      <c r="BH70" s="58"/>
      <c r="BI70" s="58"/>
      <c r="BP70" s="58"/>
      <c r="BQ70" s="58"/>
      <c r="BR70" s="130"/>
      <c r="BV70" s="58"/>
      <c r="BW70" s="58"/>
    </row>
    <row r="71" spans="1:93" s="55" customFormat="1" x14ac:dyDescent="0.2">
      <c r="A71" s="131"/>
      <c r="G71" s="64"/>
      <c r="M71" s="58"/>
      <c r="N71" s="58"/>
      <c r="O71" s="58"/>
      <c r="V71" s="58"/>
      <c r="W71" s="58"/>
      <c r="Z71" s="57"/>
      <c r="AD71" s="58"/>
      <c r="AE71" s="58"/>
      <c r="AH71" s="57"/>
      <c r="AL71" s="58"/>
      <c r="AM71" s="58"/>
      <c r="AT71" s="58"/>
      <c r="AU71" s="58"/>
      <c r="BB71" s="58"/>
      <c r="BC71" s="58"/>
      <c r="BJ71" s="58"/>
      <c r="BK71" s="58"/>
      <c r="BR71" s="58"/>
      <c r="BS71" s="58"/>
      <c r="BY71" s="57"/>
      <c r="BZ71" s="58"/>
      <c r="CA71" s="58"/>
      <c r="CH71" s="58"/>
      <c r="CI71" s="58"/>
      <c r="CJ71" s="130"/>
      <c r="CN71" s="58"/>
      <c r="CO71" s="58"/>
    </row>
  </sheetData>
  <customSheetViews>
    <customSheetView guid="{127B6458-1888-E743-A436-D6EF9EF5889D}" scale="110">
      <pane xSplit="1" ySplit="1" topLeftCell="B30" activePane="bottomRight" state="frozenSplit"/>
      <selection pane="bottomRight" activeCell="C60" sqref="C60"/>
      <pageMargins left="0.75" right="0.75" top="1" bottom="1" header="0.5" footer="0.5"/>
      <pageSetup orientation="portrait" horizontalDpi="4294967292" verticalDpi="4294967292"/>
    </customSheetView>
  </customSheetViews>
  <mergeCells count="73">
    <mergeCell ref="A60:A61"/>
    <mergeCell ref="A63:A64"/>
    <mergeCell ref="A66:A67"/>
    <mergeCell ref="A69:A70"/>
    <mergeCell ref="A3:A4"/>
    <mergeCell ref="A6:A7"/>
    <mergeCell ref="A9:A10"/>
    <mergeCell ref="A12:A13"/>
    <mergeCell ref="A18:A19"/>
    <mergeCell ref="A21:A22"/>
    <mergeCell ref="A24:A25"/>
    <mergeCell ref="A30:A31"/>
    <mergeCell ref="A33:A34"/>
    <mergeCell ref="A36:A37"/>
    <mergeCell ref="A39:A40"/>
    <mergeCell ref="A45:A46"/>
    <mergeCell ref="CY1:DD1"/>
    <mergeCell ref="CY16:DD16"/>
    <mergeCell ref="CY28:DD28"/>
    <mergeCell ref="CE1:CN1"/>
    <mergeCell ref="CE16:CN16"/>
    <mergeCell ref="CE28:CN28"/>
    <mergeCell ref="CO1:CX1"/>
    <mergeCell ref="CO16:CX16"/>
    <mergeCell ref="CO28:CX28"/>
    <mergeCell ref="BK1:BT1"/>
    <mergeCell ref="BK16:BT16"/>
    <mergeCell ref="BK28:BT28"/>
    <mergeCell ref="BU1:CD1"/>
    <mergeCell ref="BU16:CD16"/>
    <mergeCell ref="BU28:CD28"/>
    <mergeCell ref="BA1:BJ1"/>
    <mergeCell ref="BA16:BJ16"/>
    <mergeCell ref="BA28:BJ28"/>
    <mergeCell ref="W28:AF28"/>
    <mergeCell ref="W16:AF16"/>
    <mergeCell ref="W1:AF1"/>
    <mergeCell ref="AG1:AP1"/>
    <mergeCell ref="AG16:AP16"/>
    <mergeCell ref="AG28:AP28"/>
    <mergeCell ref="AQ1:AZ1"/>
    <mergeCell ref="AQ16:AZ16"/>
    <mergeCell ref="AQ28:AZ28"/>
    <mergeCell ref="C1:L1"/>
    <mergeCell ref="C16:L16"/>
    <mergeCell ref="C28:L28"/>
    <mergeCell ref="M1:V1"/>
    <mergeCell ref="M16:V16"/>
    <mergeCell ref="M28:V28"/>
    <mergeCell ref="BU43:CD43"/>
    <mergeCell ref="CE43:CN43"/>
    <mergeCell ref="CO43:CX43"/>
    <mergeCell ref="C43:L43"/>
    <mergeCell ref="M43:V43"/>
    <mergeCell ref="W43:AF43"/>
    <mergeCell ref="AG43:AP43"/>
    <mergeCell ref="AQ43:AZ43"/>
    <mergeCell ref="A48:A49"/>
    <mergeCell ref="A51:A52"/>
    <mergeCell ref="A54:A55"/>
    <mergeCell ref="CY43:DD43"/>
    <mergeCell ref="C58:G58"/>
    <mergeCell ref="H58:L58"/>
    <mergeCell ref="M58:Q58"/>
    <mergeCell ref="R58:V58"/>
    <mergeCell ref="W58:AA58"/>
    <mergeCell ref="AB58:AF58"/>
    <mergeCell ref="AG58:AK58"/>
    <mergeCell ref="AL58:AP58"/>
    <mergeCell ref="AQ58:AU58"/>
    <mergeCell ref="AV58:AZ58"/>
    <mergeCell ref="BA43:BJ43"/>
    <mergeCell ref="BK43:BT43"/>
  </mergeCells>
  <phoneticPr fontId="4" type="noConversion"/>
  <conditionalFormatting sqref="K3:L4 K18:L19 K30:L31 K45:L46 G60:G70 L60:L70 Q60:Q70 U18:V19 U30:V31 U45:V46 V60:V70 AA60:AA70 AF60:AF70 AE3:AF4 AE18:AF19 AE30:AF31 AE45:AF46 AK60:AK70 AP60:AP70 AO45:AP46 AO30:AP31 AO18:AP19 AO3:AP4 AY3:AZ4 AY18:AZ19 BI3:BJ4 BI18:BJ19 AY30:AZ31 BI30:BJ31 BI45:BJ46 AY45:AZ46 BS45:BT46 CC45:CD46 CC30:CD31 BS30:BT31 BS18:BT19 CC18:CD19 BS3:BT4 CC3:CD4 CM3:CN4 CM18:CN19 CM30:CN31 CM45:CN46 CW45:CX46 CW30:CX31 CW3:CX4 CW18:CX19 DD3:DD4 DD18:DD19 DD30:DD31 DD45:DD46 AU60:AU70 AZ60:AZ70 DD6:DD7 CW6:CX7 CM6:CN7 CC6:CD7 BS6:BT7 BI6:BJ7 AY6:AZ7 AO6:AP7 AE6:AF7 K6:L7 DD9:DD10 CW9:CX10 CM9:CN10 CC9:CD10 BS9:BT10 BI9:BJ10 AY9:AZ10 AO9:AP10 AE9:AF10 K9:L10 DD12:DD13 CW12:CX13 CM12:CN13 CC12:CD13 BS12:BT13 BI12:BJ13 AY12:AZ13 AO12:AP13 AE12:AF13 K12:L13 DD21:DD25 CW21:CX25 CM21:CN25 CC21:CD25 BS21:BT25 BI21:BJ25 AY21:AZ25 AO21:AP25 AE21:AF25 U21:V25 K21:L25 DD39:DD40 CW39:CX40 CM39:CN40 BS39:BT40 CC39:CD40 BI39:BJ40 AY39:AZ40 AO39:AP40 AE39:AF40 U39:V40 K39:L40 DD36:DD37 CW36:CX37 CM36:CN37 BS36:BT37 CC36:CD37 BI36:BJ37 AY36:AZ37 AO36:AP37 AE36:AF37 U36:V37 K36:L37 DD33:DD34 CW33:CX34 CM33:CN34 BS33:BT34 CC33:CD34 BI33:BJ34 AY33:AZ34 AO33:AP34 AE33:AF34 U33:V34 K33:L34 DD54:DD55 CW54:CX55 CM54:CN55 CC54:CD55 BS54:BT55 AY54:AZ55 BI54:BJ55 AO54:AP55 AE54:AF55 U54:V55 K54:L55 DD48:DD49 CW48:CX49 CM48:CN49 CC48:CD49 BS48:BT49 AY48:AZ49 BI48:BJ49 AO48:AP49 AE48:AF49 U48:V49 K48:L49 DD51:DD52 CW51:CX52 CM51:CN52 CC51:CD52 BS51:BT52 AY51:AZ52 BI51:BJ52 AO51:AP52 AE51:AF52 U51:V52 K51:L52">
    <cfRule type="cellIs" dxfId="189" priority="27" operator="greaterThan">
      <formula>0.05</formula>
    </cfRule>
  </conditionalFormatting>
  <conditionalFormatting sqref="K12:K13 K25 K36:K37 K39:K40 L30 L33 L36 K55 U30:U31 U33:U34 U36:U37 U39:U40 U19 U25 U3:V4 AE3:AE4 AE6 AE10 AE18:AE19 AE25 AE30:AE31 AE48 AE52 AO52 AO55 AO46 AO9:AO10 AP9 AO3:AP4 AO13 AO18:AP19 AO24:AO25 AP24 AO30:AP31 AO33:AO34 AO36:AO37 AP36 AO39:AP40 AP67 AP70 AU70 AU66:AU67 AU60:AU61 AZ61 AY45:AY46 AZ55 AZ46 AY30:AY31 AY18:AY19 AY3:AY4 AZ13 AZ4 BI55 BI52 BI48 BI45:BI46 BI30:BJ31 BJ33 BI18:BI19 BI21 BI25 BI3:BI4 BI6 BI10 BI13 BS3:BS4 BS6:BT6 BS9:BS10 BS13 BS18 BS21:BT21 BS24:BS25 BT25 BS30:BS31 BS33:BS34 BT34 BS36:BT37 BS39:BT40 BS45:BS46 BS48:BT48 BS51:BS52 BS55 CD55 CC54:CC55 CC51:CC52 CC48 CC45:CC46 CC30:CC31 CD40 CD37 CC18:CC19 CC21 CC24:CC25 CD25 CC3:CC4 CC6 CC9:CC10 CD13 CM3:CM4 CN13 CN10 CN4 CM18:CM19 CM21 CM24:CM25 CN25 CM30:CN31 CM33:CM34 CN34 CM36:CN37 CM39:CM40 CN40 CM45:CM46 CN46 CM48 CM51:CM52 CN52 CM54:CM55 CN55 CW45:CX46 CW39:CX40 CW36:CW37 CX36 CW33:CW34 CX34 CW30:CX31 CW18:CW19 CW21:CX21 CX19 CW3:CW4 CX4 DD3 DD6 DD9 DD12:DD13 DD18 DD21 DD24 DD30 DD36:DD37 DD39:DD40 DD45 DD48 DD51 DD54:DD55 CM6:CM7 AY6:AY7 U6:V7 CM9:CM10 AY9:AY10 U9:V10 CM12:CM13 CC12:CC13 AY12:AY13 U12:V13 AY21:AY25 AE21 CC39:CC40 BI39:BI40 AY39:AY40 AE39:AE40 CC36:CC37 BI36:BJ37 AY36:AY37 AE36:AE37 CC33:CC34 BI33:BI34 AY33:AY34 AE33:AE34 AY54:AY55 AY48:AY49 AY51:AY52">
    <cfRule type="cellIs" dxfId="188" priority="26" operator="lessThan">
      <formula>0.0025</formula>
    </cfRule>
  </conditionalFormatting>
  <conditionalFormatting sqref="BS51 DD6 DD21 CW21:CX21 CM7 CC6 CC21 BS21:BT21 BS6:BT6 BI6 BI21 AY6 AY21:AY22 AE21 AE6 U6:V7">
    <cfRule type="cellIs" dxfId="187" priority="25" operator="lessThan">
      <formula>0.0125</formula>
    </cfRule>
  </conditionalFormatting>
  <conditionalFormatting sqref="U3:V4 U6:V7 U9:V10 U12:V13">
    <cfRule type="cellIs" dxfId="186" priority="24" operator="greaterThan">
      <formula>0.05</formula>
    </cfRule>
  </conditionalFormatting>
  <conditionalFormatting sqref="K12 K25 U4 U25 AE19 AE3:AE4 AP4 AO9:AP9 AZ13 BI13 BS3:BS4 CM7 CX4 CX19 CW45:CX46 CD55 BS51 BS45:BS46 AZ55 AZ46 BI45 BI55 DD45">
    <cfRule type="cellIs" dxfId="185" priority="23" operator="lessThan">
      <formula>0.00417</formula>
    </cfRule>
  </conditionalFormatting>
  <conditionalFormatting sqref="CX4 CX19 CM7 CD13 CD25 BS9 BT6 BS3:BS4 BI13 BT21 BT25 BI21 BI18:BI19 AO24 AO9:AP9 AP4 AE4 AE19 AE21 U25 U4 K25 K12">
    <cfRule type="cellIs" dxfId="184" priority="22" operator="lessThan">
      <formula>0.05</formula>
    </cfRule>
  </conditionalFormatting>
  <conditionalFormatting sqref="V60 V66 AA60:AA61 AP67 AP70 AU66 AU60 AZ61">
    <cfRule type="cellIs" dxfId="183" priority="21" operator="lessThan">
      <formula>0.0025</formula>
    </cfRule>
  </conditionalFormatting>
  <conditionalFormatting sqref="AZ61 AU60 AU66 AP67 AP70 AA60">
    <cfRule type="cellIs" dxfId="182" priority="20" operator="lessThan">
      <formula>0.0167</formula>
    </cfRule>
  </conditionalFormatting>
  <conditionalFormatting sqref="AF63">
    <cfRule type="cellIs" dxfId="181" priority="19" operator="lessThan">
      <formula>0.05</formula>
    </cfRule>
  </conditionalFormatting>
  <conditionalFormatting sqref="AA60 AP67 AP70">
    <cfRule type="cellIs" dxfId="180" priority="18" operator="lessThan">
      <formula>0.05</formula>
    </cfRule>
  </conditionalFormatting>
  <conditionalFormatting sqref="L33 CW33:CW34 CX34">
    <cfRule type="cellIs" dxfId="179" priority="17" operator="lessThan">
      <formula>0.025</formula>
    </cfRule>
  </conditionalFormatting>
  <conditionalFormatting sqref="DD37 CW37 CN30 CN36 BT36 BJ30 BJ36 AP40 L36">
    <cfRule type="cellIs" dxfId="178" priority="16" operator="lessThan">
      <formula>0.0083</formula>
    </cfRule>
  </conditionalFormatting>
  <conditionalFormatting sqref="CW37 BT36 BJ36 BJ30 L36">
    <cfRule type="cellIs" dxfId="177" priority="15" operator="lessThan">
      <formula>0.05</formula>
    </cfRule>
  </conditionalFormatting>
  <conditionalFormatting sqref="AZ13">
    <cfRule type="cellIs" dxfId="176" priority="14" operator="lessThan">
      <formula>0.05</formula>
    </cfRule>
  </conditionalFormatting>
  <conditionalFormatting sqref="BS9">
    <cfRule type="cellIs" dxfId="175" priority="13" operator="lessThan">
      <formula>0.00417</formula>
    </cfRule>
  </conditionalFormatting>
  <conditionalFormatting sqref="BS24">
    <cfRule type="cellIs" dxfId="174" priority="11" operator="lessThan">
      <formula>0.05</formula>
    </cfRule>
    <cfRule type="cellIs" dxfId="173" priority="12" operator="lessThan">
      <formula>0.00417</formula>
    </cfRule>
  </conditionalFormatting>
  <conditionalFormatting sqref="AZ46 AZ55">
    <cfRule type="cellIs" dxfId="172" priority="9" operator="lessThan">
      <formula>0.05</formula>
    </cfRule>
    <cfRule type="cellIs" dxfId="171" priority="10" operator="lessThan">
      <formula>0.00417</formula>
    </cfRule>
  </conditionalFormatting>
  <conditionalFormatting sqref="BI45 BI55">
    <cfRule type="cellIs" dxfId="170" priority="7" operator="lessThan">
      <formula>0.05</formula>
    </cfRule>
    <cfRule type="cellIs" dxfId="169" priority="8" operator="lessThan">
      <formula>0.00417</formula>
    </cfRule>
  </conditionalFormatting>
  <conditionalFormatting sqref="BI48 AY48 BS48:BT48 CC48">
    <cfRule type="cellIs" dxfId="168" priority="6" operator="lessThan">
      <formula>0.0125</formula>
    </cfRule>
  </conditionalFormatting>
  <conditionalFormatting sqref="BI48 AY48 BS48:BT48 CC48">
    <cfRule type="cellIs" dxfId="167" priority="5" operator="lessThan">
      <formula>0.05</formula>
    </cfRule>
  </conditionalFormatting>
  <conditionalFormatting sqref="BS45:BS46 BS51 CD55 CW46:CX46 DD45">
    <cfRule type="cellIs" dxfId="166" priority="3" operator="lessThan">
      <formula>0.05</formula>
    </cfRule>
    <cfRule type="cellIs" dxfId="165" priority="4" operator="lessThan">
      <formula>0.00417</formula>
    </cfRule>
  </conditionalFormatting>
  <conditionalFormatting sqref="AE48">
    <cfRule type="cellIs" dxfId="164" priority="2" operator="lessThan">
      <formula>0.05</formula>
    </cfRule>
  </conditionalFormatting>
  <conditionalFormatting sqref="AZ31 AZ37 AZ40">
    <cfRule type="cellIs" dxfId="163" priority="1" operator="lessThan">
      <formula>0.0025</formula>
    </cfRule>
  </conditionalFormatting>
  <pageMargins left="0.75" right="0.75" top="1" bottom="1" header="0.5" footer="0.5"/>
  <pageSetup paperSize="9"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workbookViewId="0">
      <pane xSplit="2" ySplit="1" topLeftCell="CJ2" activePane="bottomRight" state="frozen"/>
      <selection pane="topRight" activeCell="C1" sqref="C1"/>
      <selection pane="bottomLeft" activeCell="A2" sqref="A2"/>
      <selection pane="bottomRight" activeCell="A17" sqref="A17"/>
    </sheetView>
  </sheetViews>
  <sheetFormatPr baseColWidth="10" defaultColWidth="15.83203125" defaultRowHeight="16" x14ac:dyDescent="0.2"/>
  <cols>
    <col min="1" max="2" width="15.83203125" style="129"/>
    <col min="3" max="3" width="15.83203125" style="129" customWidth="1"/>
    <col min="4" max="6" width="15.83203125" style="129"/>
    <col min="7" max="7" width="15.83203125" style="131"/>
    <col min="8" max="14" width="15.83203125" style="129"/>
    <col min="15" max="16" width="15.83203125" style="149"/>
    <col min="17" max="17" width="15.83203125" style="131"/>
    <col min="18" max="24" width="15.83203125" style="129"/>
    <col min="25" max="26" width="15.83203125" style="149"/>
    <col min="27" max="27" width="15.83203125" style="131"/>
    <col min="28" max="36" width="15.83203125" style="129"/>
    <col min="37" max="37" width="15.83203125" style="131"/>
    <col min="38" max="46" width="15.83203125" style="129"/>
    <col min="47" max="47" width="15.83203125" style="131"/>
    <col min="48" max="56" width="15.83203125" style="129"/>
    <col min="57" max="57" width="15.83203125" style="131"/>
    <col min="58" max="66" width="15.83203125" style="129"/>
    <col min="67" max="67" width="15.83203125" style="131"/>
    <col min="68" max="76" width="15.83203125" style="129"/>
    <col min="77" max="77" width="15.83203125" style="131"/>
    <col min="78" max="86" width="15.83203125" style="129"/>
    <col min="87" max="87" width="15.83203125" style="131"/>
    <col min="88" max="96" width="15.83203125" style="129"/>
    <col min="97" max="97" width="15.83203125" style="131"/>
    <col min="98" max="106" width="15.83203125" style="129"/>
    <col min="107" max="107" width="15.83203125" style="131"/>
    <col min="108" max="16384" width="15.83203125" style="129"/>
  </cols>
  <sheetData>
    <row r="1" spans="1:137" s="176" customFormat="1" ht="30" customHeight="1" x14ac:dyDescent="0.2">
      <c r="C1" s="384" t="s">
        <v>33</v>
      </c>
      <c r="D1" s="385"/>
      <c r="E1" s="385"/>
      <c r="F1" s="385"/>
      <c r="G1" s="385"/>
      <c r="H1" s="385"/>
      <c r="I1" s="385"/>
      <c r="J1" s="385"/>
      <c r="K1" s="385"/>
      <c r="L1" s="387"/>
      <c r="M1" s="384" t="s">
        <v>10</v>
      </c>
      <c r="N1" s="385"/>
      <c r="O1" s="385"/>
      <c r="P1" s="385"/>
      <c r="Q1" s="385"/>
      <c r="R1" s="385"/>
      <c r="S1" s="385"/>
      <c r="T1" s="385"/>
      <c r="U1" s="385"/>
      <c r="V1" s="387"/>
      <c r="W1" s="384" t="s">
        <v>11</v>
      </c>
      <c r="X1" s="385"/>
      <c r="Y1" s="385"/>
      <c r="Z1" s="385"/>
      <c r="AA1" s="385"/>
      <c r="AB1" s="385"/>
      <c r="AC1" s="385"/>
      <c r="AD1" s="385"/>
      <c r="AE1" s="385"/>
      <c r="AF1" s="387"/>
      <c r="AG1" s="384" t="s">
        <v>12</v>
      </c>
      <c r="AH1" s="385"/>
      <c r="AI1" s="385"/>
      <c r="AJ1" s="385"/>
      <c r="AK1" s="385"/>
      <c r="AL1" s="385"/>
      <c r="AM1" s="385"/>
      <c r="AN1" s="385"/>
      <c r="AO1" s="385"/>
      <c r="AP1" s="387"/>
      <c r="AQ1" s="384" t="s">
        <v>13</v>
      </c>
      <c r="AR1" s="385"/>
      <c r="AS1" s="385"/>
      <c r="AT1" s="385"/>
      <c r="AU1" s="385"/>
      <c r="AV1" s="385"/>
      <c r="AW1" s="385"/>
      <c r="AX1" s="385"/>
      <c r="AY1" s="385"/>
      <c r="AZ1" s="387"/>
      <c r="BA1" s="384" t="s">
        <v>26</v>
      </c>
      <c r="BB1" s="385"/>
      <c r="BC1" s="385"/>
      <c r="BD1" s="385"/>
      <c r="BE1" s="385"/>
      <c r="BF1" s="385"/>
      <c r="BG1" s="385"/>
      <c r="BH1" s="385"/>
      <c r="BI1" s="385"/>
      <c r="BJ1" s="387"/>
      <c r="BK1" s="384" t="s">
        <v>15</v>
      </c>
      <c r="BL1" s="385"/>
      <c r="BM1" s="385"/>
      <c r="BN1" s="385"/>
      <c r="BO1" s="385"/>
      <c r="BP1" s="385"/>
      <c r="BQ1" s="385"/>
      <c r="BR1" s="385"/>
      <c r="BS1" s="385"/>
      <c r="BT1" s="387"/>
      <c r="BU1" s="384" t="s">
        <v>16</v>
      </c>
      <c r="BV1" s="385"/>
      <c r="BW1" s="385"/>
      <c r="BX1" s="385"/>
      <c r="BY1" s="385"/>
      <c r="BZ1" s="385"/>
      <c r="CA1" s="385"/>
      <c r="CB1" s="385"/>
      <c r="CC1" s="385"/>
      <c r="CD1" s="387"/>
      <c r="CE1" s="384" t="s">
        <v>17</v>
      </c>
      <c r="CF1" s="385"/>
      <c r="CG1" s="385"/>
      <c r="CH1" s="385"/>
      <c r="CI1" s="385"/>
      <c r="CJ1" s="385"/>
      <c r="CK1" s="385"/>
      <c r="CL1" s="385"/>
      <c r="CM1" s="385"/>
      <c r="CN1" s="387"/>
      <c r="CO1" s="384" t="s">
        <v>18</v>
      </c>
      <c r="CP1" s="385"/>
      <c r="CQ1" s="385"/>
      <c r="CR1" s="385"/>
      <c r="CS1" s="385"/>
      <c r="CT1" s="385"/>
      <c r="CU1" s="385"/>
      <c r="CV1" s="385"/>
      <c r="CW1" s="385"/>
      <c r="CX1" s="387"/>
      <c r="CY1" s="384" t="s">
        <v>19</v>
      </c>
      <c r="CZ1" s="385"/>
      <c r="DA1" s="385"/>
      <c r="DB1" s="385"/>
      <c r="DC1" s="385"/>
      <c r="DD1" s="402"/>
    </row>
    <row r="2" spans="1:137" s="106" customFormat="1" ht="70" customHeight="1" x14ac:dyDescent="0.2">
      <c r="A2" s="7" t="s">
        <v>76</v>
      </c>
      <c r="B2" s="297"/>
      <c r="C2" s="279" t="s">
        <v>56</v>
      </c>
      <c r="D2" s="7" t="s">
        <v>55</v>
      </c>
      <c r="E2" s="7" t="s">
        <v>52</v>
      </c>
      <c r="F2" s="103" t="s">
        <v>53</v>
      </c>
      <c r="G2" s="104" t="s">
        <v>54</v>
      </c>
      <c r="H2" s="104" t="s">
        <v>57</v>
      </c>
      <c r="I2" s="103" t="s">
        <v>58</v>
      </c>
      <c r="J2" s="104" t="s">
        <v>59</v>
      </c>
      <c r="K2" s="65" t="s">
        <v>35</v>
      </c>
      <c r="L2" s="65" t="s">
        <v>60</v>
      </c>
      <c r="M2" s="7" t="s">
        <v>56</v>
      </c>
      <c r="N2" s="7" t="s">
        <v>55</v>
      </c>
      <c r="O2" s="7" t="s">
        <v>52</v>
      </c>
      <c r="P2" s="103" t="s">
        <v>53</v>
      </c>
      <c r="Q2" s="104" t="s">
        <v>54</v>
      </c>
      <c r="R2" s="104" t="s">
        <v>57</v>
      </c>
      <c r="S2" s="103" t="s">
        <v>58</v>
      </c>
      <c r="T2" s="104" t="s">
        <v>59</v>
      </c>
      <c r="U2" s="65" t="s">
        <v>35</v>
      </c>
      <c r="V2" s="65" t="s">
        <v>60</v>
      </c>
      <c r="W2" s="7" t="s">
        <v>56</v>
      </c>
      <c r="X2" s="7" t="s">
        <v>55</v>
      </c>
      <c r="Y2" s="7" t="s">
        <v>52</v>
      </c>
      <c r="Z2" s="103" t="s">
        <v>53</v>
      </c>
      <c r="AA2" s="104" t="s">
        <v>54</v>
      </c>
      <c r="AB2" s="104" t="s">
        <v>57</v>
      </c>
      <c r="AC2" s="103" t="s">
        <v>58</v>
      </c>
      <c r="AD2" s="104" t="s">
        <v>59</v>
      </c>
      <c r="AE2" s="65" t="s">
        <v>35</v>
      </c>
      <c r="AF2" s="65" t="s">
        <v>60</v>
      </c>
      <c r="AG2" s="7" t="s">
        <v>56</v>
      </c>
      <c r="AH2" s="7" t="s">
        <v>55</v>
      </c>
      <c r="AI2" s="7" t="s">
        <v>52</v>
      </c>
      <c r="AJ2" s="103" t="s">
        <v>53</v>
      </c>
      <c r="AK2" s="104" t="s">
        <v>54</v>
      </c>
      <c r="AL2" s="104" t="s">
        <v>57</v>
      </c>
      <c r="AM2" s="103" t="s">
        <v>58</v>
      </c>
      <c r="AN2" s="104" t="s">
        <v>59</v>
      </c>
      <c r="AO2" s="65" t="s">
        <v>35</v>
      </c>
      <c r="AP2" s="65" t="s">
        <v>60</v>
      </c>
      <c r="AQ2" s="7" t="s">
        <v>56</v>
      </c>
      <c r="AR2" s="7" t="s">
        <v>55</v>
      </c>
      <c r="AS2" s="7" t="s">
        <v>52</v>
      </c>
      <c r="AT2" s="103" t="s">
        <v>53</v>
      </c>
      <c r="AU2" s="104" t="s">
        <v>54</v>
      </c>
      <c r="AV2" s="104" t="s">
        <v>57</v>
      </c>
      <c r="AW2" s="103" t="s">
        <v>58</v>
      </c>
      <c r="AX2" s="104" t="s">
        <v>59</v>
      </c>
      <c r="AY2" s="65" t="s">
        <v>35</v>
      </c>
      <c r="AZ2" s="65" t="s">
        <v>60</v>
      </c>
      <c r="BA2" s="7" t="s">
        <v>56</v>
      </c>
      <c r="BB2" s="7" t="s">
        <v>55</v>
      </c>
      <c r="BC2" s="7" t="s">
        <v>52</v>
      </c>
      <c r="BD2" s="103" t="s">
        <v>53</v>
      </c>
      <c r="BE2" s="104" t="s">
        <v>54</v>
      </c>
      <c r="BF2" s="104" t="s">
        <v>57</v>
      </c>
      <c r="BG2" s="103" t="s">
        <v>58</v>
      </c>
      <c r="BH2" s="104" t="s">
        <v>59</v>
      </c>
      <c r="BI2" s="65" t="s">
        <v>35</v>
      </c>
      <c r="BJ2" s="65" t="s">
        <v>60</v>
      </c>
      <c r="BK2" s="7" t="s">
        <v>56</v>
      </c>
      <c r="BL2" s="7" t="s">
        <v>55</v>
      </c>
      <c r="BM2" s="7" t="s">
        <v>52</v>
      </c>
      <c r="BN2" s="103" t="s">
        <v>53</v>
      </c>
      <c r="BO2" s="104" t="s">
        <v>54</v>
      </c>
      <c r="BP2" s="104" t="s">
        <v>57</v>
      </c>
      <c r="BQ2" s="103" t="s">
        <v>58</v>
      </c>
      <c r="BR2" s="104" t="s">
        <v>59</v>
      </c>
      <c r="BS2" s="65" t="s">
        <v>35</v>
      </c>
      <c r="BT2" s="65" t="s">
        <v>60</v>
      </c>
      <c r="BU2" s="7" t="s">
        <v>56</v>
      </c>
      <c r="BV2" s="7" t="s">
        <v>55</v>
      </c>
      <c r="BW2" s="7" t="s">
        <v>52</v>
      </c>
      <c r="BX2" s="103" t="s">
        <v>53</v>
      </c>
      <c r="BY2" s="104" t="s">
        <v>54</v>
      </c>
      <c r="BZ2" s="104" t="s">
        <v>57</v>
      </c>
      <c r="CA2" s="103" t="s">
        <v>58</v>
      </c>
      <c r="CB2" s="104" t="s">
        <v>59</v>
      </c>
      <c r="CC2" s="65" t="s">
        <v>35</v>
      </c>
      <c r="CD2" s="65" t="s">
        <v>60</v>
      </c>
      <c r="CE2" s="7" t="s">
        <v>56</v>
      </c>
      <c r="CF2" s="7" t="s">
        <v>55</v>
      </c>
      <c r="CG2" s="7" t="s">
        <v>52</v>
      </c>
      <c r="CH2" s="103" t="s">
        <v>53</v>
      </c>
      <c r="CI2" s="104" t="s">
        <v>54</v>
      </c>
      <c r="CJ2" s="104" t="s">
        <v>57</v>
      </c>
      <c r="CK2" s="103" t="s">
        <v>58</v>
      </c>
      <c r="CL2" s="104" t="s">
        <v>59</v>
      </c>
      <c r="CM2" s="65" t="s">
        <v>35</v>
      </c>
      <c r="CN2" s="65" t="s">
        <v>60</v>
      </c>
      <c r="CO2" s="7" t="s">
        <v>56</v>
      </c>
      <c r="CP2" s="7" t="s">
        <v>55</v>
      </c>
      <c r="CQ2" s="7" t="s">
        <v>52</v>
      </c>
      <c r="CR2" s="103" t="s">
        <v>53</v>
      </c>
      <c r="CS2" s="104" t="s">
        <v>54</v>
      </c>
      <c r="CT2" s="104" t="s">
        <v>57</v>
      </c>
      <c r="CU2" s="103" t="s">
        <v>58</v>
      </c>
      <c r="CV2" s="104" t="s">
        <v>59</v>
      </c>
      <c r="CW2" s="65" t="s">
        <v>35</v>
      </c>
      <c r="CX2" s="65" t="s">
        <v>60</v>
      </c>
      <c r="CY2" s="7" t="s">
        <v>56</v>
      </c>
      <c r="CZ2" s="7" t="s">
        <v>55</v>
      </c>
      <c r="DA2" s="7" t="s">
        <v>52</v>
      </c>
      <c r="DB2" s="103" t="s">
        <v>53</v>
      </c>
      <c r="DC2" s="104" t="s">
        <v>54</v>
      </c>
      <c r="DD2" s="65" t="s">
        <v>35</v>
      </c>
      <c r="DE2" s="107"/>
      <c r="DF2" s="107"/>
      <c r="DG2" s="107"/>
    </row>
    <row r="3" spans="1:137" s="114" customFormat="1" x14ac:dyDescent="0.2">
      <c r="A3" s="396" t="s">
        <v>27</v>
      </c>
      <c r="B3" s="281" t="s">
        <v>1</v>
      </c>
      <c r="C3" s="108">
        <v>397</v>
      </c>
      <c r="D3" s="9">
        <v>394</v>
      </c>
      <c r="E3" s="10">
        <v>109</v>
      </c>
      <c r="F3" s="11">
        <v>108</v>
      </c>
      <c r="G3" s="132">
        <f>F3/D3</f>
        <v>0.27411167512690354</v>
      </c>
      <c r="H3" s="13">
        <f>D3-N3</f>
        <v>16</v>
      </c>
      <c r="I3" s="14">
        <f>F3-P3</f>
        <v>6</v>
      </c>
      <c r="J3" s="12">
        <f>I3/H3</f>
        <v>0.375</v>
      </c>
      <c r="K3" s="99">
        <v>0.8159284</v>
      </c>
      <c r="L3" s="99">
        <v>0.25600000000000001</v>
      </c>
      <c r="M3" s="108">
        <v>397</v>
      </c>
      <c r="N3" s="15">
        <v>378</v>
      </c>
      <c r="O3" s="10">
        <v>109</v>
      </c>
      <c r="P3" s="11">
        <v>102</v>
      </c>
      <c r="Q3" s="132">
        <f>P3/N3</f>
        <v>0.26984126984126983</v>
      </c>
      <c r="R3" s="16">
        <f>N3-X3</f>
        <v>92</v>
      </c>
      <c r="S3" s="17">
        <f>P3-Z3</f>
        <v>20</v>
      </c>
      <c r="T3" s="18">
        <f>S3/R3</f>
        <v>0.21739130434782608</v>
      </c>
      <c r="U3" s="102">
        <v>0.88339999999999996</v>
      </c>
      <c r="V3" s="102">
        <v>0.89903889999999997</v>
      </c>
      <c r="W3" s="8">
        <v>297</v>
      </c>
      <c r="X3" s="9">
        <v>286</v>
      </c>
      <c r="Y3" s="10">
        <v>83</v>
      </c>
      <c r="Z3" s="11">
        <v>82</v>
      </c>
      <c r="AA3" s="132">
        <f>Z3/X3</f>
        <v>0.28671328671328672</v>
      </c>
      <c r="AB3" s="13">
        <f>X3-AH3</f>
        <v>22</v>
      </c>
      <c r="AC3" s="20">
        <f>Z3-AJ3</f>
        <v>8</v>
      </c>
      <c r="AD3" s="21">
        <f>AC3/AB3</f>
        <v>0.36363636363636365</v>
      </c>
      <c r="AE3" s="102">
        <v>0.13821459999999999</v>
      </c>
      <c r="AF3" s="102">
        <v>0.24700559999999999</v>
      </c>
      <c r="AG3" s="8">
        <v>284</v>
      </c>
      <c r="AH3" s="9">
        <v>264</v>
      </c>
      <c r="AI3" s="10">
        <v>76</v>
      </c>
      <c r="AJ3" s="11">
        <v>74</v>
      </c>
      <c r="AK3" s="132">
        <f>AJ3/AH3</f>
        <v>0.28030303030303028</v>
      </c>
      <c r="AL3" s="13">
        <f>AH3-AR3</f>
        <v>161</v>
      </c>
      <c r="AM3" s="20">
        <f>AJ3-AT3</f>
        <v>37</v>
      </c>
      <c r="AN3" s="21">
        <f>AM3/AL3</f>
        <v>0.22981366459627328</v>
      </c>
      <c r="AO3" s="102">
        <v>5.969124E-2</v>
      </c>
      <c r="AP3" s="102">
        <v>0.96225669999999996</v>
      </c>
      <c r="AQ3" s="8">
        <v>112</v>
      </c>
      <c r="AR3" s="9">
        <v>103</v>
      </c>
      <c r="AS3" s="10">
        <v>37</v>
      </c>
      <c r="AT3" s="11">
        <v>37</v>
      </c>
      <c r="AU3" s="132">
        <f>AT3/AR3</f>
        <v>0.35922330097087379</v>
      </c>
      <c r="AV3" s="13">
        <f>AR3-BB3</f>
        <v>50</v>
      </c>
      <c r="AW3" s="20">
        <f>AT3-BD3</f>
        <v>13</v>
      </c>
      <c r="AX3" s="21">
        <f>AW3/AV3</f>
        <v>0.26</v>
      </c>
      <c r="AY3" s="102">
        <v>2.2858159999999999E-2</v>
      </c>
      <c r="AZ3" s="102">
        <v>0.94854539999999998</v>
      </c>
      <c r="BA3" s="8">
        <v>78</v>
      </c>
      <c r="BB3" s="9">
        <v>53</v>
      </c>
      <c r="BC3" s="10">
        <v>32</v>
      </c>
      <c r="BD3" s="11">
        <v>24</v>
      </c>
      <c r="BE3" s="132">
        <f>BD3/BB3</f>
        <v>0.45283018867924529</v>
      </c>
      <c r="BF3" s="13">
        <f>BB3-BL3</f>
        <v>9</v>
      </c>
      <c r="BG3" s="20">
        <f>BD3-BN3</f>
        <v>4</v>
      </c>
      <c r="BH3" s="18">
        <f>BG3/BF3</f>
        <v>0.44444444444444442</v>
      </c>
      <c r="BI3" s="133">
        <v>0.19369249999999999</v>
      </c>
      <c r="BJ3" s="133">
        <v>0.54783320000000002</v>
      </c>
      <c r="BK3" s="8">
        <v>68</v>
      </c>
      <c r="BL3" s="9">
        <v>44</v>
      </c>
      <c r="BM3" s="10">
        <v>32</v>
      </c>
      <c r="BN3" s="11">
        <v>20</v>
      </c>
      <c r="BO3" s="132">
        <f>BN3/BL3</f>
        <v>0.45454545454545453</v>
      </c>
      <c r="BP3" s="13">
        <f>BL3-BV3</f>
        <v>18</v>
      </c>
      <c r="BQ3" s="20">
        <f>BN3-BX3</f>
        <v>5</v>
      </c>
      <c r="BR3" s="18">
        <f>BQ3/BP3</f>
        <v>0.27777777777777779</v>
      </c>
      <c r="BS3" s="133">
        <v>0.73014679999999998</v>
      </c>
      <c r="BT3" s="133">
        <v>0.98680610000000002</v>
      </c>
      <c r="BU3" s="8">
        <v>37</v>
      </c>
      <c r="BV3" s="9">
        <v>26</v>
      </c>
      <c r="BW3" s="10">
        <v>23</v>
      </c>
      <c r="BX3" s="11">
        <v>15</v>
      </c>
      <c r="BY3" s="132">
        <f>BX3/BV3</f>
        <v>0.57692307692307687</v>
      </c>
      <c r="BZ3" s="13">
        <f>BV3-CF3</f>
        <v>0</v>
      </c>
      <c r="CA3" s="20">
        <f>BX3-CH3</f>
        <v>0</v>
      </c>
      <c r="CB3" s="18" t="s">
        <v>9</v>
      </c>
      <c r="CC3" s="102">
        <v>0.89270859999999996</v>
      </c>
      <c r="CD3" s="19" t="s">
        <v>9</v>
      </c>
      <c r="CE3" s="8">
        <v>37</v>
      </c>
      <c r="CF3" s="9">
        <v>26</v>
      </c>
      <c r="CG3" s="10">
        <v>23</v>
      </c>
      <c r="CH3" s="11">
        <v>15</v>
      </c>
      <c r="CI3" s="132">
        <f>CH3/CF3</f>
        <v>0.57692307692307687</v>
      </c>
      <c r="CJ3" s="13">
        <f>CF3-CP3</f>
        <v>4</v>
      </c>
      <c r="CK3" s="20">
        <f>CH3-CR3</f>
        <v>4</v>
      </c>
      <c r="CL3" s="18">
        <f>CK3/CJ3</f>
        <v>1</v>
      </c>
      <c r="CM3" s="102">
        <v>0.89270000000000005</v>
      </c>
      <c r="CN3" s="102">
        <v>0.2263608</v>
      </c>
      <c r="CO3" s="8">
        <v>37</v>
      </c>
      <c r="CP3" s="9">
        <v>22</v>
      </c>
      <c r="CQ3" s="10">
        <v>20</v>
      </c>
      <c r="CR3" s="11">
        <v>11</v>
      </c>
      <c r="CS3" s="132">
        <f>CR3/CP3</f>
        <v>0.5</v>
      </c>
      <c r="CT3" s="13">
        <f>CP3-CZ3</f>
        <v>9</v>
      </c>
      <c r="CU3" s="20">
        <f>CR3-DB3</f>
        <v>1</v>
      </c>
      <c r="CV3" s="18">
        <f>CU3/CT3</f>
        <v>0.1111111111111111</v>
      </c>
      <c r="CW3" s="133">
        <v>0.82486999999999999</v>
      </c>
      <c r="CX3" s="133">
        <v>0.99980460000000004</v>
      </c>
      <c r="CY3" s="8">
        <v>22</v>
      </c>
      <c r="CZ3" s="9">
        <v>13</v>
      </c>
      <c r="DA3" s="10">
        <v>18</v>
      </c>
      <c r="DB3" s="11">
        <v>10</v>
      </c>
      <c r="DC3" s="132">
        <f>DB3/CZ3</f>
        <v>0.76923076923076927</v>
      </c>
      <c r="DD3" s="102">
        <v>0.9022</v>
      </c>
    </row>
    <row r="4" spans="1:137" s="114" customFormat="1" x14ac:dyDescent="0.2">
      <c r="A4" s="397"/>
      <c r="B4" s="281" t="s">
        <v>0</v>
      </c>
      <c r="C4" s="109">
        <v>488</v>
      </c>
      <c r="D4" s="27">
        <v>470</v>
      </c>
      <c r="E4" s="28">
        <v>69</v>
      </c>
      <c r="F4" s="29">
        <v>67</v>
      </c>
      <c r="G4" s="132">
        <f t="shared" ref="G4:G13" si="0">F4/D4</f>
        <v>0.14255319148936171</v>
      </c>
      <c r="H4" s="13">
        <f>D4-N4</f>
        <v>69</v>
      </c>
      <c r="I4" s="14">
        <f>F4-P4</f>
        <v>2</v>
      </c>
      <c r="J4" s="12">
        <f t="shared" ref="J4:J13" si="1">I4/H4</f>
        <v>2.8985507246376812E-2</v>
      </c>
      <c r="K4" s="99">
        <v>0.51969849999999995</v>
      </c>
      <c r="L4" s="100">
        <v>0.999</v>
      </c>
      <c r="M4" s="109">
        <v>439</v>
      </c>
      <c r="N4" s="33">
        <v>401</v>
      </c>
      <c r="O4" s="28">
        <v>68</v>
      </c>
      <c r="P4" s="29">
        <v>65</v>
      </c>
      <c r="Q4" s="132">
        <f t="shared" ref="Q4:Q13" si="2">P4/N4</f>
        <v>0.16209476309226933</v>
      </c>
      <c r="R4" s="16">
        <f>N4-X4</f>
        <v>206</v>
      </c>
      <c r="S4" s="17">
        <f>P4-Z4</f>
        <v>21</v>
      </c>
      <c r="T4" s="18">
        <f t="shared" ref="T4:T13" si="3">S4/R4</f>
        <v>0.10194174757281553</v>
      </c>
      <c r="U4" s="79">
        <v>4.5602379999999998E-2</v>
      </c>
      <c r="V4" s="79">
        <v>0.99729080000000003</v>
      </c>
      <c r="W4" s="50">
        <v>262</v>
      </c>
      <c r="X4" s="27">
        <v>195</v>
      </c>
      <c r="Y4" s="28">
        <v>46</v>
      </c>
      <c r="Z4" s="29">
        <v>44</v>
      </c>
      <c r="AA4" s="132">
        <f t="shared" ref="AA4:AA13" si="4">Z4/X4</f>
        <v>0.22564102564102564</v>
      </c>
      <c r="AB4" s="13">
        <f>X4-AH4</f>
        <v>66</v>
      </c>
      <c r="AC4" s="20">
        <f>Z4-AJ4</f>
        <v>10</v>
      </c>
      <c r="AD4" s="21">
        <f t="shared" ref="AD4:AD13" si="5">AC4/AB4</f>
        <v>0.15151515151515152</v>
      </c>
      <c r="AE4" s="40">
        <v>5.8214869966748199E-5</v>
      </c>
      <c r="AF4" s="79">
        <v>0.78</v>
      </c>
      <c r="AG4" s="50">
        <v>211</v>
      </c>
      <c r="AH4" s="27">
        <v>129</v>
      </c>
      <c r="AI4" s="28">
        <v>37</v>
      </c>
      <c r="AJ4" s="29">
        <v>34</v>
      </c>
      <c r="AK4" s="132">
        <f>AJ4/AH4</f>
        <v>0.26356589147286824</v>
      </c>
      <c r="AL4" s="13">
        <f>AH4-AR4</f>
        <v>57</v>
      </c>
      <c r="AM4" s="20">
        <f>AJ4-AT4</f>
        <v>11</v>
      </c>
      <c r="AN4" s="21">
        <f t="shared" ref="AN4:AN13" si="6">AM4/AL4</f>
        <v>0.19298245614035087</v>
      </c>
      <c r="AO4" s="40">
        <v>6.342377E-6</v>
      </c>
      <c r="AP4" s="79">
        <v>0.4109603</v>
      </c>
      <c r="AQ4" s="50">
        <v>128</v>
      </c>
      <c r="AR4" s="27">
        <v>72</v>
      </c>
      <c r="AS4" s="28">
        <v>23</v>
      </c>
      <c r="AT4" s="29">
        <v>23</v>
      </c>
      <c r="AU4" s="132">
        <f t="shared" ref="AU4:AU13" si="7">AT4/AR4</f>
        <v>0.31944444444444442</v>
      </c>
      <c r="AV4" s="13">
        <f>AR4-BB4</f>
        <v>42</v>
      </c>
      <c r="AW4" s="20">
        <f>AT4-BD4</f>
        <v>12</v>
      </c>
      <c r="AX4" s="21">
        <f t="shared" ref="AX4:AX13" si="8">AW4/AV4</f>
        <v>0.2857142857142857</v>
      </c>
      <c r="AY4" s="40">
        <v>2.8230329999999999E-7</v>
      </c>
      <c r="AZ4" s="79">
        <v>2.8379660000000001E-2</v>
      </c>
      <c r="BA4" s="50">
        <v>77</v>
      </c>
      <c r="BB4" s="27">
        <v>30</v>
      </c>
      <c r="BC4" s="28">
        <v>23</v>
      </c>
      <c r="BD4" s="29">
        <v>11</v>
      </c>
      <c r="BE4" s="132">
        <f t="shared" ref="BE4:BE13" si="9">BD4/BB4</f>
        <v>0.36666666666666664</v>
      </c>
      <c r="BF4" s="13">
        <f>BB4-BL4</f>
        <v>6</v>
      </c>
      <c r="BG4" s="20">
        <f>BD4-BN4</f>
        <v>1</v>
      </c>
      <c r="BH4" s="18">
        <f t="shared" ref="BH4:BH13" si="10">BG4/BF4</f>
        <v>0.16666666666666666</v>
      </c>
      <c r="BI4" s="79">
        <v>0.21532750000000001</v>
      </c>
      <c r="BJ4" s="79">
        <v>0.89106770000000002</v>
      </c>
      <c r="BK4" s="50">
        <v>38</v>
      </c>
      <c r="BL4" s="27">
        <v>24</v>
      </c>
      <c r="BM4" s="28">
        <v>23</v>
      </c>
      <c r="BN4" s="29">
        <v>10</v>
      </c>
      <c r="BO4" s="132">
        <f t="shared" ref="BO4:BO13" si="11">BN4/BL4</f>
        <v>0.41666666666666669</v>
      </c>
      <c r="BP4" s="13">
        <f>BL4-BV4</f>
        <v>11</v>
      </c>
      <c r="BQ4" s="20">
        <f>BN4-BX4</f>
        <v>1</v>
      </c>
      <c r="BR4" s="18">
        <f>BQ4/BP4</f>
        <v>9.0909090909090912E-2</v>
      </c>
      <c r="BS4" s="134">
        <v>0.99991549999999996</v>
      </c>
      <c r="BT4" s="41" t="s">
        <v>9</v>
      </c>
      <c r="BU4" s="50">
        <v>25</v>
      </c>
      <c r="BV4" s="27">
        <v>13</v>
      </c>
      <c r="BW4" s="28">
        <v>16</v>
      </c>
      <c r="BX4" s="29">
        <v>9</v>
      </c>
      <c r="BY4" s="132">
        <f t="shared" ref="BY4:BY13" si="12">BX4/BV4</f>
        <v>0.69230769230769229</v>
      </c>
      <c r="BZ4" s="13">
        <f>BV4-CF4</f>
        <v>0</v>
      </c>
      <c r="CA4" s="20">
        <f>BX4-CH4</f>
        <v>0</v>
      </c>
      <c r="CB4" s="18" t="s">
        <v>9</v>
      </c>
      <c r="CC4" s="79">
        <v>0.44003229999999999</v>
      </c>
      <c r="CD4" s="37" t="s">
        <v>9</v>
      </c>
      <c r="CE4" s="50">
        <v>25</v>
      </c>
      <c r="CF4" s="27">
        <v>13</v>
      </c>
      <c r="CG4" s="28">
        <v>16</v>
      </c>
      <c r="CH4" s="29">
        <v>9</v>
      </c>
      <c r="CI4" s="132">
        <f t="shared" ref="CI4:CI13" si="13">CH4/CF4</f>
        <v>0.69230769230769229</v>
      </c>
      <c r="CJ4" s="13">
        <f>CF4-CP4</f>
        <v>2</v>
      </c>
      <c r="CK4" s="20">
        <f>CH4-CR4</f>
        <v>2</v>
      </c>
      <c r="CL4" s="18">
        <f t="shared" ref="CL4:CL13" si="14">CK4/CJ4</f>
        <v>1</v>
      </c>
      <c r="CM4" s="79">
        <v>0.44</v>
      </c>
      <c r="CN4" s="79">
        <v>0.39989999999999998</v>
      </c>
      <c r="CO4" s="50">
        <v>25</v>
      </c>
      <c r="CP4" s="27">
        <v>11</v>
      </c>
      <c r="CQ4" s="28">
        <v>16</v>
      </c>
      <c r="CR4" s="29">
        <v>7</v>
      </c>
      <c r="CS4" s="132">
        <f t="shared" ref="CS4:CS13" si="15">CR4/CP4</f>
        <v>0.63636363636363635</v>
      </c>
      <c r="CT4" s="13">
        <f>CP4-CZ4</f>
        <v>6</v>
      </c>
      <c r="CU4" s="20">
        <f>CR4-DB4</f>
        <v>3</v>
      </c>
      <c r="CV4" s="18">
        <f>CU4/CT4</f>
        <v>0.5</v>
      </c>
      <c r="CW4" s="134">
        <v>0.6754</v>
      </c>
      <c r="CX4" s="134">
        <v>0.90269999999999995</v>
      </c>
      <c r="CY4" s="50">
        <v>14</v>
      </c>
      <c r="CZ4" s="27">
        <v>5</v>
      </c>
      <c r="DA4" s="28">
        <v>12</v>
      </c>
      <c r="DB4" s="29">
        <v>4</v>
      </c>
      <c r="DC4" s="132">
        <f t="shared" ref="DC4:DC13" si="16">DB4/CZ4</f>
        <v>0.8</v>
      </c>
      <c r="DD4" s="79">
        <v>0.8901</v>
      </c>
      <c r="DF4" s="156"/>
    </row>
    <row r="5" spans="1:137" s="5" customFormat="1" x14ac:dyDescent="0.2">
      <c r="A5" s="296"/>
      <c r="B5" s="296"/>
      <c r="C5" s="111"/>
      <c r="D5" s="44"/>
      <c r="E5" s="37"/>
      <c r="F5" s="45"/>
      <c r="G5" s="135"/>
      <c r="H5" s="136"/>
      <c r="I5" s="137"/>
      <c r="J5" s="46"/>
      <c r="K5" s="110"/>
      <c r="L5" s="110"/>
      <c r="M5" s="111"/>
      <c r="N5" s="45"/>
      <c r="O5" s="45"/>
      <c r="P5" s="45"/>
      <c r="Q5" s="135"/>
      <c r="R5" s="138"/>
      <c r="S5" s="138"/>
      <c r="T5" s="135"/>
      <c r="U5" s="37"/>
      <c r="V5" s="37"/>
      <c r="W5" s="45"/>
      <c r="X5" s="45"/>
      <c r="Y5" s="45"/>
      <c r="Z5" s="45"/>
      <c r="AA5" s="135"/>
      <c r="AB5" s="136"/>
      <c r="AC5" s="136"/>
      <c r="AD5" s="135"/>
      <c r="AE5" s="37"/>
      <c r="AF5" s="37"/>
      <c r="AG5" s="45"/>
      <c r="AH5" s="45"/>
      <c r="AI5" s="45"/>
      <c r="AJ5" s="45"/>
      <c r="AK5" s="135"/>
      <c r="AL5" s="136"/>
      <c r="AM5" s="136"/>
      <c r="AN5" s="135"/>
      <c r="AO5" s="37"/>
      <c r="AP5" s="37"/>
      <c r="AQ5" s="45"/>
      <c r="AR5" s="45"/>
      <c r="AS5" s="45"/>
      <c r="AT5" s="45"/>
      <c r="AU5" s="135"/>
      <c r="AV5" s="136"/>
      <c r="AW5" s="136"/>
      <c r="AX5" s="135"/>
      <c r="AY5" s="37"/>
      <c r="AZ5" s="37"/>
      <c r="BA5" s="45"/>
      <c r="BB5" s="45"/>
      <c r="BC5" s="45"/>
      <c r="BD5" s="45"/>
      <c r="BE5" s="135"/>
      <c r="BF5" s="136"/>
      <c r="BG5" s="136"/>
      <c r="BH5" s="135"/>
      <c r="BI5" s="37"/>
      <c r="BJ5" s="37"/>
      <c r="BK5" s="45"/>
      <c r="BL5" s="45"/>
      <c r="BM5" s="45"/>
      <c r="BN5" s="45"/>
      <c r="BO5" s="135"/>
      <c r="BP5" s="136"/>
      <c r="BQ5" s="136"/>
      <c r="BR5" s="44"/>
      <c r="BS5" s="37"/>
      <c r="BT5" s="37"/>
      <c r="BU5" s="45"/>
      <c r="BV5" s="45"/>
      <c r="BW5" s="45"/>
      <c r="BX5" s="45"/>
      <c r="BY5" s="135"/>
      <c r="BZ5" s="136"/>
      <c r="CA5" s="136"/>
      <c r="CB5" s="135"/>
      <c r="CC5" s="37"/>
      <c r="CD5" s="37"/>
      <c r="CE5" s="45"/>
      <c r="CF5" s="45"/>
      <c r="CG5" s="45"/>
      <c r="CH5" s="45"/>
      <c r="CI5" s="135"/>
      <c r="CJ5" s="136"/>
      <c r="CK5" s="136"/>
      <c r="CL5" s="135"/>
      <c r="CM5" s="37"/>
      <c r="CN5" s="37"/>
      <c r="CO5" s="45"/>
      <c r="CP5" s="45"/>
      <c r="CQ5" s="45"/>
      <c r="CR5" s="45"/>
      <c r="CS5" s="135"/>
      <c r="CT5" s="136"/>
      <c r="CU5" s="136"/>
      <c r="CV5" s="135"/>
      <c r="CW5" s="37"/>
      <c r="CX5" s="37"/>
      <c r="CY5" s="45"/>
      <c r="CZ5" s="45"/>
      <c r="DA5" s="45"/>
      <c r="DB5" s="45"/>
      <c r="DC5" s="135"/>
      <c r="DD5" s="79"/>
    </row>
    <row r="6" spans="1:137" s="114" customFormat="1" x14ac:dyDescent="0.2">
      <c r="A6" s="396" t="s">
        <v>28</v>
      </c>
      <c r="B6" s="281" t="s">
        <v>1</v>
      </c>
      <c r="C6" s="109">
        <v>283</v>
      </c>
      <c r="D6" s="27">
        <v>272</v>
      </c>
      <c r="E6" s="28">
        <v>29</v>
      </c>
      <c r="F6" s="29">
        <v>27</v>
      </c>
      <c r="G6" s="132">
        <f t="shared" si="0"/>
        <v>9.9264705882352935E-2</v>
      </c>
      <c r="H6" s="13">
        <f>D6-N6</f>
        <v>24</v>
      </c>
      <c r="I6" s="14">
        <f>F6-P6</f>
        <v>1</v>
      </c>
      <c r="J6" s="12">
        <f t="shared" si="1"/>
        <v>4.1666666666666664E-2</v>
      </c>
      <c r="K6" s="99">
        <v>0.90898520000000005</v>
      </c>
      <c r="L6" s="101">
        <v>0.93359999999999999</v>
      </c>
      <c r="M6" s="109">
        <v>283</v>
      </c>
      <c r="N6" s="33">
        <v>248</v>
      </c>
      <c r="O6" s="28">
        <v>29</v>
      </c>
      <c r="P6" s="29">
        <v>26</v>
      </c>
      <c r="Q6" s="132">
        <f t="shared" si="2"/>
        <v>0.10483870967741936</v>
      </c>
      <c r="R6" s="16">
        <f>N6-X6</f>
        <v>59</v>
      </c>
      <c r="S6" s="17">
        <f>P6-Z6</f>
        <v>4</v>
      </c>
      <c r="T6" s="18">
        <f t="shared" si="3"/>
        <v>6.7796610169491525E-2</v>
      </c>
      <c r="U6" s="79">
        <v>0.50413850000000004</v>
      </c>
      <c r="V6" s="79">
        <v>0.89510000000000001</v>
      </c>
      <c r="W6" s="50">
        <v>190</v>
      </c>
      <c r="X6" s="27">
        <v>189</v>
      </c>
      <c r="Y6" s="28">
        <v>22</v>
      </c>
      <c r="Z6" s="29">
        <v>22</v>
      </c>
      <c r="AA6" s="132">
        <f t="shared" si="4"/>
        <v>0.1164021164021164</v>
      </c>
      <c r="AB6" s="13">
        <f>X6-AH6</f>
        <v>18</v>
      </c>
      <c r="AC6" s="20">
        <f>Z6-AJ6</f>
        <v>1</v>
      </c>
      <c r="AD6" s="21">
        <f t="shared" si="5"/>
        <v>5.5555555555555552E-2</v>
      </c>
      <c r="AE6" s="79">
        <v>0.88421050000000001</v>
      </c>
      <c r="AF6" s="79">
        <v>0.90249999999999997</v>
      </c>
      <c r="AG6" s="50">
        <v>172</v>
      </c>
      <c r="AH6" s="27">
        <v>171</v>
      </c>
      <c r="AI6" s="28">
        <v>21</v>
      </c>
      <c r="AJ6" s="29">
        <v>21</v>
      </c>
      <c r="AK6" s="132">
        <f>AJ6/AH6</f>
        <v>0.12280701754385964</v>
      </c>
      <c r="AL6" s="13">
        <f>AH6-AR6</f>
        <v>88</v>
      </c>
      <c r="AM6" s="20">
        <f>AJ6-AT6</f>
        <v>10</v>
      </c>
      <c r="AN6" s="21">
        <f t="shared" si="6"/>
        <v>0.11363636363636363</v>
      </c>
      <c r="AO6" s="79">
        <v>0.87790699999999999</v>
      </c>
      <c r="AP6" s="79">
        <v>0.71879999999999999</v>
      </c>
      <c r="AQ6" s="50">
        <v>84</v>
      </c>
      <c r="AR6" s="27">
        <v>83</v>
      </c>
      <c r="AS6" s="28">
        <v>11</v>
      </c>
      <c r="AT6" s="29">
        <v>11</v>
      </c>
      <c r="AU6" s="132">
        <f t="shared" si="7"/>
        <v>0.13253012048192772</v>
      </c>
      <c r="AV6" s="13">
        <f>AR6-BB6</f>
        <v>47</v>
      </c>
      <c r="AW6" s="20">
        <f>AT6-BD6</f>
        <v>5</v>
      </c>
      <c r="AX6" s="21">
        <f t="shared" si="8"/>
        <v>0.10638297872340426</v>
      </c>
      <c r="AY6" s="134">
        <v>0.86904760000000003</v>
      </c>
      <c r="AZ6" s="134">
        <v>0.85919999999999996</v>
      </c>
      <c r="BA6" s="50">
        <v>42</v>
      </c>
      <c r="BB6" s="27">
        <v>36</v>
      </c>
      <c r="BC6" s="28">
        <v>8</v>
      </c>
      <c r="BD6" s="29">
        <v>6</v>
      </c>
      <c r="BE6" s="132">
        <f t="shared" si="9"/>
        <v>0.16666666666666666</v>
      </c>
      <c r="BF6" s="13">
        <f>BB6-BL6</f>
        <v>18</v>
      </c>
      <c r="BG6" s="20">
        <f>BD6-BN6</f>
        <v>2</v>
      </c>
      <c r="BH6" s="18">
        <f t="shared" si="10"/>
        <v>0.1111111111111111</v>
      </c>
      <c r="BI6" s="134">
        <v>0.92826509999999995</v>
      </c>
      <c r="BJ6" s="134">
        <v>0.94089999999999996</v>
      </c>
      <c r="BK6" s="50">
        <v>30</v>
      </c>
      <c r="BL6" s="27">
        <v>18</v>
      </c>
      <c r="BM6" s="28">
        <v>5</v>
      </c>
      <c r="BN6" s="29">
        <v>4</v>
      </c>
      <c r="BO6" s="132">
        <f t="shared" si="11"/>
        <v>0.22222222222222221</v>
      </c>
      <c r="BP6" s="13">
        <f>BL6-BV6</f>
        <v>1</v>
      </c>
      <c r="BQ6" s="20">
        <f>BN6-BX6</f>
        <v>0</v>
      </c>
      <c r="BR6" s="36">
        <f>BQ6/BP6</f>
        <v>0</v>
      </c>
      <c r="BS6" s="134">
        <v>0.3177971</v>
      </c>
      <c r="BT6" s="41" t="s">
        <v>9</v>
      </c>
      <c r="BU6" s="50">
        <v>30</v>
      </c>
      <c r="BV6" s="27">
        <v>17</v>
      </c>
      <c r="BW6" s="28">
        <v>5</v>
      </c>
      <c r="BX6" s="29">
        <v>4</v>
      </c>
      <c r="BY6" s="132">
        <f t="shared" si="12"/>
        <v>0.23529411764705882</v>
      </c>
      <c r="BZ6" s="13">
        <f>BV6-CF6</f>
        <v>1</v>
      </c>
      <c r="CA6" s="20">
        <f>BX6-CH6</f>
        <v>0</v>
      </c>
      <c r="CB6" s="18">
        <f t="shared" ref="CB6:CB9" si="17">CA6/BZ6</f>
        <v>0</v>
      </c>
      <c r="CC6" s="134">
        <v>0.2605364</v>
      </c>
      <c r="CD6" s="41" t="s">
        <v>9</v>
      </c>
      <c r="CE6" s="50">
        <v>30</v>
      </c>
      <c r="CF6" s="27">
        <v>16</v>
      </c>
      <c r="CG6" s="28">
        <v>5</v>
      </c>
      <c r="CH6" s="29">
        <v>4</v>
      </c>
      <c r="CI6" s="132">
        <f t="shared" si="13"/>
        <v>0.25</v>
      </c>
      <c r="CJ6" s="13">
        <f>CF6-CP6</f>
        <v>1</v>
      </c>
      <c r="CK6" s="20">
        <f>CH6-CR6</f>
        <v>0</v>
      </c>
      <c r="CL6" s="18">
        <f t="shared" si="14"/>
        <v>0</v>
      </c>
      <c r="CM6" s="134">
        <v>0.2094</v>
      </c>
      <c r="CN6" s="41" t="s">
        <v>9</v>
      </c>
      <c r="CO6" s="50">
        <v>23</v>
      </c>
      <c r="CP6" s="27">
        <v>15</v>
      </c>
      <c r="CQ6" s="28">
        <v>4</v>
      </c>
      <c r="CR6" s="29">
        <v>4</v>
      </c>
      <c r="CS6" s="132">
        <f t="shared" si="15"/>
        <v>0.26666666666666666</v>
      </c>
      <c r="CT6" s="13">
        <f>CP6-CZ6</f>
        <v>2</v>
      </c>
      <c r="CU6" s="20">
        <f>CR6-DB6</f>
        <v>2</v>
      </c>
      <c r="CV6" s="18">
        <f>CU6/CT6</f>
        <v>1</v>
      </c>
      <c r="CW6" s="134">
        <v>0.15409999999999999</v>
      </c>
      <c r="CX6" s="134">
        <v>2.3699999999999999E-2</v>
      </c>
      <c r="CY6" s="50">
        <v>23</v>
      </c>
      <c r="CZ6" s="27">
        <v>13</v>
      </c>
      <c r="DA6" s="28">
        <v>4</v>
      </c>
      <c r="DB6" s="29">
        <v>2</v>
      </c>
      <c r="DC6" s="132">
        <f t="shared" si="16"/>
        <v>0.15384615384615385</v>
      </c>
      <c r="DD6" s="79">
        <v>0.80010000000000003</v>
      </c>
      <c r="DF6" s="157"/>
    </row>
    <row r="7" spans="1:137" s="114" customFormat="1" x14ac:dyDescent="0.2">
      <c r="A7" s="397"/>
      <c r="B7" s="281" t="s">
        <v>0</v>
      </c>
      <c r="C7" s="109">
        <v>107</v>
      </c>
      <c r="D7" s="27">
        <v>97</v>
      </c>
      <c r="E7" s="28">
        <v>25</v>
      </c>
      <c r="F7" s="29">
        <v>23</v>
      </c>
      <c r="G7" s="132">
        <f t="shared" si="0"/>
        <v>0.23711340206185566</v>
      </c>
      <c r="H7" s="13">
        <f>D7-N7</f>
        <v>17</v>
      </c>
      <c r="I7" s="14">
        <f>F7-P7</f>
        <v>2</v>
      </c>
      <c r="J7" s="12">
        <f t="shared" si="1"/>
        <v>0.11764705882352941</v>
      </c>
      <c r="K7" s="99">
        <v>0.57369179999999997</v>
      </c>
      <c r="L7" s="100">
        <v>0.94799999999999995</v>
      </c>
      <c r="M7" s="109">
        <v>91</v>
      </c>
      <c r="N7" s="33">
        <v>80</v>
      </c>
      <c r="O7" s="28">
        <v>24</v>
      </c>
      <c r="P7" s="29">
        <v>21</v>
      </c>
      <c r="Q7" s="132">
        <f t="shared" si="2"/>
        <v>0.26250000000000001</v>
      </c>
      <c r="R7" s="16">
        <f>N7-X7</f>
        <v>20</v>
      </c>
      <c r="S7" s="17">
        <f>P7-Z7</f>
        <v>4</v>
      </c>
      <c r="T7" s="18">
        <f t="shared" si="3"/>
        <v>0.2</v>
      </c>
      <c r="U7" s="79">
        <v>0.68122749999999999</v>
      </c>
      <c r="V7" s="79">
        <v>0.84619999999999995</v>
      </c>
      <c r="W7" s="50">
        <v>60</v>
      </c>
      <c r="X7" s="27">
        <v>60</v>
      </c>
      <c r="Y7" s="28">
        <v>17</v>
      </c>
      <c r="Z7" s="29">
        <v>17</v>
      </c>
      <c r="AA7" s="132">
        <f t="shared" si="4"/>
        <v>0.28333333333333333</v>
      </c>
      <c r="AB7" s="13">
        <f>X7-AH7</f>
        <v>6</v>
      </c>
      <c r="AC7" s="20">
        <f>Z7-AJ7</f>
        <v>1</v>
      </c>
      <c r="AD7" s="21">
        <f t="shared" si="5"/>
        <v>0.16666666666666666</v>
      </c>
      <c r="AE7" s="37">
        <v>1</v>
      </c>
      <c r="AF7" s="79">
        <v>0.87819999999999998</v>
      </c>
      <c r="AG7" s="50">
        <v>54</v>
      </c>
      <c r="AH7" s="27">
        <v>54</v>
      </c>
      <c r="AI7" s="28">
        <v>16</v>
      </c>
      <c r="AJ7" s="29">
        <v>16</v>
      </c>
      <c r="AK7" s="132">
        <f>AJ7/AH7</f>
        <v>0.29629629629629628</v>
      </c>
      <c r="AL7" s="13">
        <f>AH7-AR7</f>
        <v>26</v>
      </c>
      <c r="AM7" s="20">
        <f>AJ7-AT7</f>
        <v>8</v>
      </c>
      <c r="AN7" s="21">
        <f t="shared" si="6"/>
        <v>0.30769230769230771</v>
      </c>
      <c r="AO7" s="47">
        <v>1</v>
      </c>
      <c r="AP7" s="79">
        <v>0.54749999999999999</v>
      </c>
      <c r="AQ7" s="50">
        <v>28</v>
      </c>
      <c r="AR7" s="27">
        <v>28</v>
      </c>
      <c r="AS7" s="28">
        <v>8</v>
      </c>
      <c r="AT7" s="29">
        <v>8</v>
      </c>
      <c r="AU7" s="132">
        <f t="shared" si="7"/>
        <v>0.2857142857142857</v>
      </c>
      <c r="AV7" s="13">
        <f>AR7-BB7</f>
        <v>17</v>
      </c>
      <c r="AW7" s="20">
        <f>AT7-BD7</f>
        <v>3</v>
      </c>
      <c r="AX7" s="21">
        <f t="shared" si="8"/>
        <v>0.17647058823529413</v>
      </c>
      <c r="AY7" s="41">
        <v>1</v>
      </c>
      <c r="AZ7" s="134">
        <v>0.97789999999999999</v>
      </c>
      <c r="BA7" s="50">
        <v>14</v>
      </c>
      <c r="BB7" s="27">
        <v>11</v>
      </c>
      <c r="BC7" s="28">
        <v>7</v>
      </c>
      <c r="BD7" s="29">
        <v>5</v>
      </c>
      <c r="BE7" s="132">
        <f t="shared" si="9"/>
        <v>0.45454545454545453</v>
      </c>
      <c r="BF7" s="13">
        <f>BB7-BL7</f>
        <v>5</v>
      </c>
      <c r="BG7" s="20">
        <f>BD7-BN7</f>
        <v>2</v>
      </c>
      <c r="BH7" s="18">
        <f t="shared" si="10"/>
        <v>0.4</v>
      </c>
      <c r="BI7" s="134">
        <v>0.90384620000000004</v>
      </c>
      <c r="BJ7" s="134">
        <v>0.86709999999999998</v>
      </c>
      <c r="BK7" s="50">
        <v>10</v>
      </c>
      <c r="BL7" s="27">
        <v>6</v>
      </c>
      <c r="BM7" s="28">
        <v>4</v>
      </c>
      <c r="BN7" s="29">
        <v>3</v>
      </c>
      <c r="BO7" s="132">
        <f t="shared" si="11"/>
        <v>0.5</v>
      </c>
      <c r="BP7" s="13">
        <f>BL7-BV7</f>
        <v>0</v>
      </c>
      <c r="BQ7" s="20">
        <f>BN7-BX7</f>
        <v>0</v>
      </c>
      <c r="BR7" s="36" t="s">
        <v>9</v>
      </c>
      <c r="BS7" s="134">
        <v>0.45238099999999998</v>
      </c>
      <c r="BT7" s="41" t="s">
        <v>9</v>
      </c>
      <c r="BU7" s="50">
        <v>10</v>
      </c>
      <c r="BV7" s="27">
        <v>6</v>
      </c>
      <c r="BW7" s="28">
        <v>4</v>
      </c>
      <c r="BX7" s="29">
        <v>3</v>
      </c>
      <c r="BY7" s="132">
        <f t="shared" si="12"/>
        <v>0.5</v>
      </c>
      <c r="BZ7" s="13">
        <f>BV7-CF7</f>
        <v>1</v>
      </c>
      <c r="CA7" s="20">
        <f>BX7-CH7</f>
        <v>0</v>
      </c>
      <c r="CB7" s="18">
        <f t="shared" si="17"/>
        <v>0</v>
      </c>
      <c r="CC7" s="134">
        <v>0.45238099999999998</v>
      </c>
      <c r="CD7" s="41" t="s">
        <v>9</v>
      </c>
      <c r="CE7" s="50">
        <v>10</v>
      </c>
      <c r="CF7" s="27">
        <v>5</v>
      </c>
      <c r="CG7" s="28">
        <v>4</v>
      </c>
      <c r="CH7" s="29">
        <v>3</v>
      </c>
      <c r="CI7" s="132">
        <f t="shared" si="13"/>
        <v>0.6</v>
      </c>
      <c r="CJ7" s="13">
        <f>CF7-CP7</f>
        <v>2</v>
      </c>
      <c r="CK7" s="20">
        <f>CH7-CR7</f>
        <v>0</v>
      </c>
      <c r="CL7" s="18">
        <f t="shared" si="14"/>
        <v>0</v>
      </c>
      <c r="CM7" s="134">
        <v>0.26190000000000002</v>
      </c>
      <c r="CN7" s="41" t="s">
        <v>9</v>
      </c>
      <c r="CO7" s="50">
        <v>6</v>
      </c>
      <c r="CP7" s="27">
        <v>3</v>
      </c>
      <c r="CQ7" s="28">
        <v>4</v>
      </c>
      <c r="CR7" s="29">
        <v>3</v>
      </c>
      <c r="CS7" s="132">
        <f t="shared" si="15"/>
        <v>1</v>
      </c>
      <c r="CT7" s="13">
        <f>CP7-CZ7</f>
        <v>0</v>
      </c>
      <c r="CU7" s="20">
        <f>CR7-DB7</f>
        <v>1</v>
      </c>
      <c r="CV7" s="18" t="s">
        <v>9</v>
      </c>
      <c r="CW7" s="134">
        <v>0.2</v>
      </c>
      <c r="CX7" s="41" t="s">
        <v>9</v>
      </c>
      <c r="CY7" s="50">
        <v>6</v>
      </c>
      <c r="CZ7" s="27">
        <v>3</v>
      </c>
      <c r="DA7" s="28">
        <v>3</v>
      </c>
      <c r="DB7" s="29">
        <v>2</v>
      </c>
      <c r="DC7" s="132">
        <f t="shared" si="16"/>
        <v>0.66666666666666663</v>
      </c>
      <c r="DD7" s="79">
        <v>0.5</v>
      </c>
    </row>
    <row r="8" spans="1:137" s="5" customFormat="1" x14ac:dyDescent="0.2">
      <c r="A8" s="293"/>
      <c r="B8" s="293"/>
      <c r="C8" s="111"/>
      <c r="D8" s="45"/>
      <c r="E8" s="45"/>
      <c r="F8" s="45"/>
      <c r="G8" s="135"/>
      <c r="H8" s="136"/>
      <c r="I8" s="137"/>
      <c r="J8" s="46"/>
      <c r="K8" s="52"/>
      <c r="L8" s="52"/>
      <c r="M8" s="111"/>
      <c r="N8" s="53"/>
      <c r="O8" s="45"/>
      <c r="P8" s="45"/>
      <c r="Q8" s="135"/>
      <c r="R8" s="138"/>
      <c r="S8" s="138"/>
      <c r="T8" s="135"/>
      <c r="U8" s="37"/>
      <c r="V8" s="37"/>
      <c r="W8" s="45"/>
      <c r="X8" s="45"/>
      <c r="Y8" s="45"/>
      <c r="Z8" s="45"/>
      <c r="AA8" s="135"/>
      <c r="AB8" s="136"/>
      <c r="AC8" s="136"/>
      <c r="AD8" s="135"/>
      <c r="AE8" s="37"/>
      <c r="AF8" s="37"/>
      <c r="AG8" s="45"/>
      <c r="AH8" s="45"/>
      <c r="AI8" s="45"/>
      <c r="AJ8" s="45"/>
      <c r="AK8" s="135"/>
      <c r="AL8" s="136"/>
      <c r="AM8" s="136"/>
      <c r="AN8" s="135"/>
      <c r="AO8" s="37"/>
      <c r="AP8" s="37"/>
      <c r="AQ8" s="45"/>
      <c r="AR8" s="45"/>
      <c r="AS8" s="45"/>
      <c r="AT8" s="45"/>
      <c r="AU8" s="135"/>
      <c r="AV8" s="136"/>
      <c r="AW8" s="136"/>
      <c r="AX8" s="135"/>
      <c r="AY8" s="37"/>
      <c r="AZ8" s="37"/>
      <c r="BA8" s="45"/>
      <c r="BB8" s="45"/>
      <c r="BC8" s="45"/>
      <c r="BD8" s="45"/>
      <c r="BE8" s="135"/>
      <c r="BF8" s="136"/>
      <c r="BG8" s="136"/>
      <c r="BH8" s="135"/>
      <c r="BI8" s="37"/>
      <c r="BJ8" s="37"/>
      <c r="BK8" s="45"/>
      <c r="BL8" s="45"/>
      <c r="BM8" s="45"/>
      <c r="BN8" s="45"/>
      <c r="BO8" s="135"/>
      <c r="BP8" s="136"/>
      <c r="BQ8" s="136"/>
      <c r="BR8" s="44"/>
      <c r="BS8" s="37"/>
      <c r="BT8" s="37"/>
      <c r="BU8" s="45"/>
      <c r="BV8" s="45"/>
      <c r="BW8" s="45"/>
      <c r="BX8" s="45"/>
      <c r="BY8" s="135"/>
      <c r="BZ8" s="136"/>
      <c r="CA8" s="136"/>
      <c r="CB8" s="135"/>
      <c r="CC8" s="37"/>
      <c r="CD8" s="37"/>
      <c r="CE8" s="45"/>
      <c r="CF8" s="45"/>
      <c r="CG8" s="45"/>
      <c r="CH8" s="45"/>
      <c r="CI8" s="135"/>
      <c r="CJ8" s="136"/>
      <c r="CK8" s="136"/>
      <c r="CL8" s="135"/>
      <c r="CM8" s="37"/>
      <c r="CN8" s="37"/>
      <c r="CO8" s="45"/>
      <c r="CP8" s="45"/>
      <c r="CQ8" s="45"/>
      <c r="CR8" s="45"/>
      <c r="CS8" s="135"/>
      <c r="CT8" s="136"/>
      <c r="CU8" s="136"/>
      <c r="CV8" s="135"/>
      <c r="CW8" s="37"/>
      <c r="CX8" s="37"/>
      <c r="CY8" s="45"/>
      <c r="CZ8" s="45"/>
      <c r="DA8" s="45"/>
      <c r="DB8" s="45"/>
      <c r="DC8" s="135"/>
      <c r="DD8" s="79"/>
    </row>
    <row r="9" spans="1:137" s="114" customFormat="1" x14ac:dyDescent="0.2">
      <c r="A9" s="392" t="s">
        <v>4</v>
      </c>
      <c r="B9" s="281" t="s">
        <v>1</v>
      </c>
      <c r="C9" s="108">
        <v>631</v>
      </c>
      <c r="D9" s="27">
        <v>628</v>
      </c>
      <c r="E9" s="28">
        <v>393</v>
      </c>
      <c r="F9" s="29">
        <v>391</v>
      </c>
      <c r="G9" s="132">
        <f t="shared" si="0"/>
        <v>0.62261146496815289</v>
      </c>
      <c r="H9" s="13">
        <f>D9-N9</f>
        <v>21</v>
      </c>
      <c r="I9" s="14">
        <f>F9-P9</f>
        <v>14</v>
      </c>
      <c r="J9" s="12">
        <f t="shared" si="1"/>
        <v>0.66666666666666663</v>
      </c>
      <c r="K9" s="99">
        <v>0.75910109999999997</v>
      </c>
      <c r="L9" s="101">
        <v>0.43059999999999998</v>
      </c>
      <c r="M9" s="109">
        <v>631</v>
      </c>
      <c r="N9" s="27">
        <v>607</v>
      </c>
      <c r="O9" s="28">
        <v>393</v>
      </c>
      <c r="P9" s="29">
        <v>377</v>
      </c>
      <c r="Q9" s="132">
        <f t="shared" si="2"/>
        <v>0.62108731466227352</v>
      </c>
      <c r="R9" s="16">
        <f>N9-X9</f>
        <v>191</v>
      </c>
      <c r="S9" s="17">
        <f>P9-Z9</f>
        <v>107</v>
      </c>
      <c r="T9" s="18">
        <f t="shared" si="3"/>
        <v>0.56020942408376961</v>
      </c>
      <c r="U9" s="79">
        <v>0.74402650000000004</v>
      </c>
      <c r="V9" s="79">
        <v>0.98670000000000002</v>
      </c>
      <c r="W9" s="50">
        <v>439</v>
      </c>
      <c r="X9" s="27">
        <v>416</v>
      </c>
      <c r="Y9" s="28">
        <v>278</v>
      </c>
      <c r="Z9" s="29">
        <v>270</v>
      </c>
      <c r="AA9" s="132">
        <f t="shared" si="4"/>
        <v>0.64903846153846156</v>
      </c>
      <c r="AB9" s="13">
        <f>X9-AH9</f>
        <v>33</v>
      </c>
      <c r="AC9" s="20">
        <f>Z9-AJ9</f>
        <v>19</v>
      </c>
      <c r="AD9" s="21">
        <f t="shared" si="5"/>
        <v>0.5757575757575758</v>
      </c>
      <c r="AE9" s="40">
        <v>4.1133000000000003E-3</v>
      </c>
      <c r="AF9" s="79">
        <v>0.81675810000000004</v>
      </c>
      <c r="AG9" s="50">
        <v>426</v>
      </c>
      <c r="AH9" s="27">
        <v>383</v>
      </c>
      <c r="AI9" s="28">
        <v>266</v>
      </c>
      <c r="AJ9" s="29">
        <v>251</v>
      </c>
      <c r="AK9" s="132">
        <f>AJ9/AH9</f>
        <v>0.65535248041775462</v>
      </c>
      <c r="AL9" s="13">
        <f>AH9-AR9</f>
        <v>228</v>
      </c>
      <c r="AM9" s="20">
        <f>AJ9-AT9</f>
        <v>150</v>
      </c>
      <c r="AN9" s="21">
        <f t="shared" si="6"/>
        <v>0.65789473684210531</v>
      </c>
      <c r="AO9" s="40">
        <v>1.056147E-4</v>
      </c>
      <c r="AP9" s="79">
        <v>7.6252200000000006E-2</v>
      </c>
      <c r="AQ9" s="50">
        <v>176</v>
      </c>
      <c r="AR9" s="27">
        <v>155</v>
      </c>
      <c r="AS9" s="28">
        <v>107</v>
      </c>
      <c r="AT9" s="29">
        <v>101</v>
      </c>
      <c r="AU9" s="132">
        <f t="shared" si="7"/>
        <v>0.65161290322580645</v>
      </c>
      <c r="AV9" s="13">
        <f>AR9-BB9</f>
        <v>84</v>
      </c>
      <c r="AW9" s="20">
        <f>AT9-BD9</f>
        <v>59</v>
      </c>
      <c r="AX9" s="21">
        <f t="shared" si="8"/>
        <v>0.70238095238095233</v>
      </c>
      <c r="AY9" s="205">
        <v>1.5607399999999999E-3</v>
      </c>
      <c r="AZ9" s="207">
        <v>1.0578600000000001E-2</v>
      </c>
      <c r="BA9" s="50">
        <v>100</v>
      </c>
      <c r="BB9" s="27">
        <v>71</v>
      </c>
      <c r="BC9" s="28">
        <v>60</v>
      </c>
      <c r="BD9" s="29">
        <v>42</v>
      </c>
      <c r="BE9" s="132">
        <f t="shared" si="9"/>
        <v>0.59154929577464788</v>
      </c>
      <c r="BF9" s="13">
        <f>BB9-BL9</f>
        <v>16</v>
      </c>
      <c r="BG9" s="20">
        <f>BD9-BN9</f>
        <v>8</v>
      </c>
      <c r="BH9" s="18">
        <f t="shared" si="10"/>
        <v>0.5</v>
      </c>
      <c r="BI9" s="134">
        <v>0.68765770000000004</v>
      </c>
      <c r="BJ9" s="134">
        <v>0.87825880000000001</v>
      </c>
      <c r="BK9" s="50">
        <v>86</v>
      </c>
      <c r="BL9" s="27">
        <v>55</v>
      </c>
      <c r="BM9" s="28">
        <v>53</v>
      </c>
      <c r="BN9" s="29">
        <v>34</v>
      </c>
      <c r="BO9" s="132">
        <f t="shared" si="11"/>
        <v>0.61818181818181817</v>
      </c>
      <c r="BP9" s="13">
        <f>BL9-BV9</f>
        <v>17</v>
      </c>
      <c r="BQ9" s="20">
        <f>BN9-BX9</f>
        <v>16</v>
      </c>
      <c r="BR9" s="36">
        <f>BQ9/BP9</f>
        <v>0.94117647058823528</v>
      </c>
      <c r="BS9" s="134">
        <v>0.57038370000000005</v>
      </c>
      <c r="BT9" s="42">
        <v>1.3118800000000001E-3</v>
      </c>
      <c r="BU9" s="50">
        <v>55</v>
      </c>
      <c r="BV9" s="27">
        <v>38</v>
      </c>
      <c r="BW9" s="28">
        <v>26</v>
      </c>
      <c r="BX9" s="29">
        <v>18</v>
      </c>
      <c r="BY9" s="132">
        <f t="shared" si="12"/>
        <v>0.47368421052631576</v>
      </c>
      <c r="BZ9" s="13">
        <f>BV9-CF9</f>
        <v>4</v>
      </c>
      <c r="CA9" s="20">
        <f>BX9-CH9</f>
        <v>0</v>
      </c>
      <c r="CB9" s="18">
        <f t="shared" si="17"/>
        <v>0</v>
      </c>
      <c r="CC9" s="79">
        <v>0.59058480000000002</v>
      </c>
      <c r="CD9" s="37" t="s">
        <v>9</v>
      </c>
      <c r="CE9" s="50">
        <v>45</v>
      </c>
      <c r="CF9" s="27">
        <v>34</v>
      </c>
      <c r="CG9" s="28">
        <v>26</v>
      </c>
      <c r="CH9" s="29">
        <v>18</v>
      </c>
      <c r="CI9" s="132">
        <f t="shared" si="13"/>
        <v>0.52941176470588236</v>
      </c>
      <c r="CJ9" s="13">
        <f>CF9-CP9</f>
        <v>11</v>
      </c>
      <c r="CK9" s="20">
        <f>CH9-CR9</f>
        <v>2</v>
      </c>
      <c r="CL9" s="18">
        <f t="shared" si="14"/>
        <v>0.18181818181818182</v>
      </c>
      <c r="CM9" s="79">
        <v>0.93659999999999999</v>
      </c>
      <c r="CN9" s="79">
        <v>0.99975590000000003</v>
      </c>
      <c r="CO9" s="50">
        <v>37</v>
      </c>
      <c r="CP9" s="27">
        <v>23</v>
      </c>
      <c r="CQ9" s="28">
        <v>25</v>
      </c>
      <c r="CR9" s="29">
        <v>16</v>
      </c>
      <c r="CS9" s="132">
        <f t="shared" si="15"/>
        <v>0.69565217391304346</v>
      </c>
      <c r="CT9" s="13">
        <f>CP9-CZ9</f>
        <v>2</v>
      </c>
      <c r="CU9" s="20">
        <f>CR9-DB9</f>
        <v>2</v>
      </c>
      <c r="CV9" s="18">
        <f>CU9/CT9</f>
        <v>1</v>
      </c>
      <c r="CW9" s="134">
        <v>0.50729999999999997</v>
      </c>
      <c r="CX9" s="134">
        <v>0.45045049999999998</v>
      </c>
      <c r="CY9" s="50">
        <v>35</v>
      </c>
      <c r="CZ9" s="27">
        <v>21</v>
      </c>
      <c r="DA9" s="28">
        <v>25</v>
      </c>
      <c r="DB9" s="29">
        <v>14</v>
      </c>
      <c r="DC9" s="132">
        <f t="shared" si="16"/>
        <v>0.66666666666666663</v>
      </c>
      <c r="DD9" s="79">
        <v>0.87470000000000003</v>
      </c>
    </row>
    <row r="10" spans="1:137" s="114" customFormat="1" x14ac:dyDescent="0.2">
      <c r="A10" s="392"/>
      <c r="B10" s="281" t="s">
        <v>0</v>
      </c>
      <c r="C10" s="109">
        <v>507</v>
      </c>
      <c r="D10" s="27">
        <v>487</v>
      </c>
      <c r="E10" s="28">
        <v>83</v>
      </c>
      <c r="F10" s="29">
        <v>79</v>
      </c>
      <c r="G10" s="132">
        <f t="shared" si="0"/>
        <v>0.16221765913757699</v>
      </c>
      <c r="H10" s="13">
        <f>D10-N10</f>
        <v>86</v>
      </c>
      <c r="I10" s="14">
        <f>F10-P10</f>
        <v>10</v>
      </c>
      <c r="J10" s="12">
        <f t="shared" si="1"/>
        <v>0.11627906976744186</v>
      </c>
      <c r="K10" s="99">
        <v>0.78358779999999995</v>
      </c>
      <c r="L10" s="99">
        <v>0.93289999999999995</v>
      </c>
      <c r="M10" s="109">
        <v>458</v>
      </c>
      <c r="N10" s="27">
        <v>401</v>
      </c>
      <c r="O10" s="28">
        <v>80</v>
      </c>
      <c r="P10" s="29">
        <v>69</v>
      </c>
      <c r="Q10" s="132">
        <f t="shared" si="2"/>
        <v>0.17206982543640897</v>
      </c>
      <c r="R10" s="16">
        <f>N10-X10</f>
        <v>266</v>
      </c>
      <c r="S10" s="17">
        <f>P10-Z10</f>
        <v>45</v>
      </c>
      <c r="T10" s="18">
        <f t="shared" si="3"/>
        <v>0.16917293233082706</v>
      </c>
      <c r="U10" s="79">
        <v>0.72423729999999997</v>
      </c>
      <c r="V10" s="79">
        <v>0.68879999999999997</v>
      </c>
      <c r="W10" s="50">
        <v>180</v>
      </c>
      <c r="X10" s="27">
        <v>135</v>
      </c>
      <c r="Y10" s="28">
        <v>36</v>
      </c>
      <c r="Z10" s="29">
        <v>24</v>
      </c>
      <c r="AA10" s="132">
        <f t="shared" si="4"/>
        <v>0.17777777777777778</v>
      </c>
      <c r="AB10" s="13">
        <f>X10-AH10</f>
        <v>36</v>
      </c>
      <c r="AC10" s="20">
        <f>Z10-AJ10</f>
        <v>9</v>
      </c>
      <c r="AD10" s="21">
        <f t="shared" si="5"/>
        <v>0.25</v>
      </c>
      <c r="AE10" s="79">
        <v>0.93122879999999997</v>
      </c>
      <c r="AF10" s="79">
        <v>0.26671289999999997</v>
      </c>
      <c r="AG10" s="50">
        <v>180</v>
      </c>
      <c r="AH10" s="27">
        <v>99</v>
      </c>
      <c r="AI10" s="28">
        <v>34</v>
      </c>
      <c r="AJ10" s="29">
        <v>15</v>
      </c>
      <c r="AK10" s="132">
        <f>AJ10/AH10</f>
        <v>0.15151515151515152</v>
      </c>
      <c r="AL10" s="13">
        <f>AH10-AR10</f>
        <v>33</v>
      </c>
      <c r="AM10" s="20">
        <f>AJ10-AT10</f>
        <v>3</v>
      </c>
      <c r="AN10" s="21">
        <f t="shared" si="6"/>
        <v>9.0909090909090912E-2</v>
      </c>
      <c r="AO10" s="79">
        <v>0.93832170000000004</v>
      </c>
      <c r="AP10" s="79">
        <v>0.97463089999999997</v>
      </c>
      <c r="AQ10" s="50">
        <v>147</v>
      </c>
      <c r="AR10" s="27">
        <v>66</v>
      </c>
      <c r="AS10" s="28">
        <v>28</v>
      </c>
      <c r="AT10" s="29">
        <v>12</v>
      </c>
      <c r="AU10" s="132">
        <f t="shared" si="7"/>
        <v>0.18181818181818182</v>
      </c>
      <c r="AV10" s="13">
        <f>AR10-BB10</f>
        <v>52</v>
      </c>
      <c r="AW10" s="20">
        <f>AT10-BD10</f>
        <v>10</v>
      </c>
      <c r="AX10" s="21">
        <f t="shared" si="8"/>
        <v>0.19230769230769232</v>
      </c>
      <c r="AY10" s="205">
        <v>0.67293670000000005</v>
      </c>
      <c r="AZ10" s="205">
        <v>0.5652374</v>
      </c>
      <c r="BA10" s="50">
        <v>65</v>
      </c>
      <c r="BB10" s="27">
        <v>14</v>
      </c>
      <c r="BC10" s="28">
        <v>13</v>
      </c>
      <c r="BD10" s="29">
        <v>2</v>
      </c>
      <c r="BE10" s="132">
        <f t="shared" si="9"/>
        <v>0.14285714285714285</v>
      </c>
      <c r="BF10" s="13">
        <f>BB10-BL10</f>
        <v>2</v>
      </c>
      <c r="BG10" s="20">
        <f>BD10-BN10</f>
        <v>0</v>
      </c>
      <c r="BH10" s="18" t="s">
        <v>9</v>
      </c>
      <c r="BI10" s="79">
        <v>0.83564970000000005</v>
      </c>
      <c r="BJ10" s="40" t="s">
        <v>9</v>
      </c>
      <c r="BK10" s="50">
        <v>65</v>
      </c>
      <c r="BL10" s="27">
        <v>12</v>
      </c>
      <c r="BM10" s="28">
        <v>12</v>
      </c>
      <c r="BN10" s="29">
        <v>2</v>
      </c>
      <c r="BO10" s="132">
        <f t="shared" si="11"/>
        <v>0.16666666666666666</v>
      </c>
      <c r="BP10" s="13">
        <f>BL10-BV10</f>
        <v>12</v>
      </c>
      <c r="BQ10" s="20">
        <f>BN10-BX10</f>
        <v>2</v>
      </c>
      <c r="BR10" s="36">
        <f>BQ10/BP10</f>
        <v>0.16666666666666666</v>
      </c>
      <c r="BS10" s="79">
        <v>0.70667239999999998</v>
      </c>
      <c r="BT10" s="79">
        <v>0.79332849999999999</v>
      </c>
      <c r="BU10" s="50">
        <v>0</v>
      </c>
      <c r="BV10" s="27">
        <v>0</v>
      </c>
      <c r="BW10" s="28">
        <v>0</v>
      </c>
      <c r="BX10" s="29">
        <v>0</v>
      </c>
      <c r="BY10" s="132" t="s">
        <v>9</v>
      </c>
      <c r="BZ10" s="13">
        <f>BV10-CF10</f>
        <v>0</v>
      </c>
      <c r="CA10" s="20">
        <f>BX10-CH10</f>
        <v>0</v>
      </c>
      <c r="CB10" s="18" t="s">
        <v>9</v>
      </c>
      <c r="CC10" s="37" t="s">
        <v>9</v>
      </c>
      <c r="CD10" s="37" t="s">
        <v>9</v>
      </c>
      <c r="CE10" s="50">
        <v>0</v>
      </c>
      <c r="CF10" s="27">
        <v>0</v>
      </c>
      <c r="CG10" s="28">
        <v>0</v>
      </c>
      <c r="CH10" s="29">
        <v>0</v>
      </c>
      <c r="CI10" s="132" t="s">
        <v>9</v>
      </c>
      <c r="CJ10" s="13">
        <f>CF10-CP10</f>
        <v>0</v>
      </c>
      <c r="CK10" s="20">
        <f>CH10-CR10</f>
        <v>0</v>
      </c>
      <c r="CL10" s="18" t="s">
        <v>9</v>
      </c>
      <c r="CM10" s="40" t="s">
        <v>9</v>
      </c>
      <c r="CN10" s="40" t="s">
        <v>9</v>
      </c>
      <c r="CO10" s="50">
        <v>0</v>
      </c>
      <c r="CP10" s="27">
        <v>0</v>
      </c>
      <c r="CQ10" s="28">
        <v>0</v>
      </c>
      <c r="CR10" s="29">
        <v>0</v>
      </c>
      <c r="CS10" s="132" t="s">
        <v>9</v>
      </c>
      <c r="CT10" s="13">
        <f>CP10-CZ10</f>
        <v>0</v>
      </c>
      <c r="CU10" s="20">
        <f>CR10-DB10</f>
        <v>0</v>
      </c>
      <c r="CV10" s="18" t="s">
        <v>9</v>
      </c>
      <c r="CW10" s="41" t="s">
        <v>9</v>
      </c>
      <c r="CX10" s="41" t="s">
        <v>9</v>
      </c>
      <c r="CY10" s="50">
        <v>0</v>
      </c>
      <c r="CZ10" s="27">
        <v>0</v>
      </c>
      <c r="DA10" s="28">
        <v>0</v>
      </c>
      <c r="DB10" s="29">
        <v>0</v>
      </c>
      <c r="DC10" s="132" t="s">
        <v>9</v>
      </c>
      <c r="DD10" s="37" t="s">
        <v>9</v>
      </c>
    </row>
    <row r="11" spans="1:137" s="5" customFormat="1" x14ac:dyDescent="0.2">
      <c r="A11" s="291"/>
      <c r="B11" s="293"/>
      <c r="C11" s="111"/>
      <c r="D11" s="45"/>
      <c r="E11" s="45"/>
      <c r="F11" s="45"/>
      <c r="G11" s="135"/>
      <c r="H11" s="136"/>
      <c r="I11" s="137"/>
      <c r="J11" s="46"/>
      <c r="K11" s="54"/>
      <c r="L11" s="52"/>
      <c r="M11" s="111"/>
      <c r="N11" s="45"/>
      <c r="O11" s="45"/>
      <c r="P11" s="45"/>
      <c r="Q11" s="135"/>
      <c r="R11" s="138"/>
      <c r="S11" s="138"/>
      <c r="T11" s="135"/>
      <c r="U11" s="37"/>
      <c r="V11" s="37"/>
      <c r="W11" s="45"/>
      <c r="X11" s="45"/>
      <c r="Y11" s="45"/>
      <c r="Z11" s="45"/>
      <c r="AA11" s="135"/>
      <c r="AB11" s="136"/>
      <c r="AC11" s="136"/>
      <c r="AD11" s="135"/>
      <c r="AE11" s="37"/>
      <c r="AF11" s="37"/>
      <c r="AG11" s="45"/>
      <c r="AH11" s="45"/>
      <c r="AI11" s="45"/>
      <c r="AJ11" s="45"/>
      <c r="AK11" s="135"/>
      <c r="AL11" s="136"/>
      <c r="AM11" s="136"/>
      <c r="AN11" s="135"/>
      <c r="AO11" s="37"/>
      <c r="AP11" s="37"/>
      <c r="AQ11" s="45"/>
      <c r="AR11" s="45"/>
      <c r="AS11" s="45"/>
      <c r="AT11" s="45"/>
      <c r="AU11" s="135"/>
      <c r="AV11" s="136"/>
      <c r="AW11" s="136"/>
      <c r="AX11" s="135"/>
      <c r="AY11" s="37"/>
      <c r="AZ11" s="37"/>
      <c r="BA11" s="45"/>
      <c r="BB11" s="45"/>
      <c r="BC11" s="45"/>
      <c r="BD11" s="45"/>
      <c r="BE11" s="135"/>
      <c r="BF11" s="136"/>
      <c r="BG11" s="136"/>
      <c r="BH11" s="135"/>
      <c r="BI11" s="37"/>
      <c r="BJ11" s="37"/>
      <c r="BK11" s="45"/>
      <c r="BL11" s="45"/>
      <c r="BM11" s="45"/>
      <c r="BN11" s="45"/>
      <c r="BO11" s="135"/>
      <c r="BP11" s="136"/>
      <c r="BQ11" s="136"/>
      <c r="BR11" s="44"/>
      <c r="BS11" s="37"/>
      <c r="BT11" s="37"/>
      <c r="BU11" s="45"/>
      <c r="BV11" s="45"/>
      <c r="BW11" s="45"/>
      <c r="BX11" s="45"/>
      <c r="BY11" s="135"/>
      <c r="BZ11" s="136"/>
      <c r="CA11" s="136"/>
      <c r="CB11" s="135"/>
      <c r="CC11" s="37"/>
      <c r="CD11" s="37"/>
      <c r="CE11" s="45"/>
      <c r="CF11" s="45"/>
      <c r="CG11" s="45"/>
      <c r="CH11" s="45"/>
      <c r="CI11" s="135"/>
      <c r="CJ11" s="136"/>
      <c r="CK11" s="136"/>
      <c r="CL11" s="135"/>
      <c r="CM11" s="37"/>
      <c r="CN11" s="37"/>
      <c r="CO11" s="45"/>
      <c r="CP11" s="45"/>
      <c r="CQ11" s="45"/>
      <c r="CR11" s="45"/>
      <c r="CS11" s="135"/>
      <c r="CT11" s="136"/>
      <c r="CU11" s="136"/>
      <c r="CV11" s="135"/>
      <c r="CW11" s="37"/>
      <c r="CX11" s="37"/>
      <c r="CY11" s="45"/>
      <c r="CZ11" s="45"/>
      <c r="DA11" s="45"/>
      <c r="DB11" s="45"/>
      <c r="DC11" s="135"/>
      <c r="DD11" s="37"/>
    </row>
    <row r="12" spans="1:137" s="114" customFormat="1" x14ac:dyDescent="0.2">
      <c r="A12" s="396" t="s">
        <v>5</v>
      </c>
      <c r="B12" s="281" t="s">
        <v>1</v>
      </c>
      <c r="C12" s="109">
        <v>621</v>
      </c>
      <c r="D12" s="27">
        <v>617</v>
      </c>
      <c r="E12" s="28">
        <v>331</v>
      </c>
      <c r="F12" s="29">
        <v>331</v>
      </c>
      <c r="G12" s="132">
        <f t="shared" si="0"/>
        <v>0.5364667747163695</v>
      </c>
      <c r="H12" s="13">
        <f>D12-N12</f>
        <v>17</v>
      </c>
      <c r="I12" s="14">
        <f>F12-P12</f>
        <v>11</v>
      </c>
      <c r="J12" s="12">
        <f t="shared" si="1"/>
        <v>0.6470588235294118</v>
      </c>
      <c r="K12" s="99">
        <v>4.7033560000000002E-2</v>
      </c>
      <c r="L12" s="99">
        <v>0.24049999999999999</v>
      </c>
      <c r="M12" s="109">
        <v>621</v>
      </c>
      <c r="N12" s="33">
        <v>600</v>
      </c>
      <c r="O12" s="28">
        <v>331</v>
      </c>
      <c r="P12" s="29">
        <v>320</v>
      </c>
      <c r="Q12" s="132">
        <f t="shared" si="2"/>
        <v>0.53333333333333333</v>
      </c>
      <c r="R12" s="16">
        <f>N12-X12</f>
        <v>182</v>
      </c>
      <c r="S12" s="17">
        <f>P12-Z12</f>
        <v>98</v>
      </c>
      <c r="T12" s="18">
        <f t="shared" si="3"/>
        <v>0.53846153846153844</v>
      </c>
      <c r="U12" s="79">
        <v>0.55226629999999999</v>
      </c>
      <c r="V12" s="79">
        <v>0.46560000000000001</v>
      </c>
      <c r="W12" s="50">
        <v>435</v>
      </c>
      <c r="X12" s="27">
        <v>418</v>
      </c>
      <c r="Y12" s="28">
        <v>226</v>
      </c>
      <c r="Z12" s="29">
        <v>222</v>
      </c>
      <c r="AA12" s="132">
        <f t="shared" si="4"/>
        <v>0.53110047846889952</v>
      </c>
      <c r="AB12" s="13">
        <f>X12-AH12</f>
        <v>41</v>
      </c>
      <c r="AC12" s="20">
        <f>Z12-AJ12</f>
        <v>20</v>
      </c>
      <c r="AD12" s="21">
        <f t="shared" si="5"/>
        <v>0.48780487804878048</v>
      </c>
      <c r="AE12" s="79">
        <v>1.496222E-2</v>
      </c>
      <c r="AF12" s="79">
        <v>0.72299999999999998</v>
      </c>
      <c r="AG12" s="50">
        <v>408</v>
      </c>
      <c r="AH12" s="27">
        <v>377</v>
      </c>
      <c r="AI12" s="28">
        <v>219</v>
      </c>
      <c r="AJ12" s="29">
        <v>202</v>
      </c>
      <c r="AK12" s="132">
        <f>AJ12/AH12</f>
        <v>0.53580901856763929</v>
      </c>
      <c r="AL12" s="13">
        <f>AH12-AR12</f>
        <v>215</v>
      </c>
      <c r="AM12" s="20">
        <f>AJ12-AT12</f>
        <v>115</v>
      </c>
      <c r="AN12" s="21">
        <f t="shared" si="6"/>
        <v>0.53488372093023251</v>
      </c>
      <c r="AO12" s="79">
        <v>0.47760590000000003</v>
      </c>
      <c r="AP12" s="79">
        <v>0.49236629999999998</v>
      </c>
      <c r="AQ12" s="50">
        <v>175</v>
      </c>
      <c r="AR12" s="27">
        <v>162</v>
      </c>
      <c r="AS12" s="28">
        <v>97</v>
      </c>
      <c r="AT12" s="29">
        <v>87</v>
      </c>
      <c r="AU12" s="132">
        <f t="shared" si="7"/>
        <v>0.53703703703703709</v>
      </c>
      <c r="AV12" s="13">
        <f>AR12-BB12</f>
        <v>88</v>
      </c>
      <c r="AW12" s="20">
        <f>AT12-BD12</f>
        <v>44</v>
      </c>
      <c r="AX12" s="21">
        <f t="shared" si="8"/>
        <v>0.5</v>
      </c>
      <c r="AY12" s="79">
        <v>0.97555480000000006</v>
      </c>
      <c r="AZ12" s="79">
        <v>0.94591360000000002</v>
      </c>
      <c r="BA12" s="50">
        <v>110</v>
      </c>
      <c r="BB12" s="27">
        <v>74</v>
      </c>
      <c r="BC12" s="28">
        <v>63</v>
      </c>
      <c r="BD12" s="29">
        <v>43</v>
      </c>
      <c r="BE12" s="132">
        <f t="shared" si="9"/>
        <v>0.58108108108108103</v>
      </c>
      <c r="BF12" s="13">
        <f>BB12-BL12</f>
        <v>19</v>
      </c>
      <c r="BG12" s="20">
        <f>BD12-BN12</f>
        <v>9</v>
      </c>
      <c r="BH12" s="18">
        <f t="shared" si="10"/>
        <v>0.47368421052631576</v>
      </c>
      <c r="BI12" s="134">
        <v>0.47927540000000002</v>
      </c>
      <c r="BJ12" s="134">
        <v>0.88729860000000005</v>
      </c>
      <c r="BK12" s="50">
        <v>86</v>
      </c>
      <c r="BL12" s="27">
        <v>55</v>
      </c>
      <c r="BM12" s="28">
        <v>57</v>
      </c>
      <c r="BN12" s="29">
        <v>34</v>
      </c>
      <c r="BO12" s="132">
        <f t="shared" si="11"/>
        <v>0.61818181818181817</v>
      </c>
      <c r="BP12" s="13">
        <f>BL12-BV12</f>
        <v>17</v>
      </c>
      <c r="BQ12" s="20">
        <f>BN12-BX12</f>
        <v>11</v>
      </c>
      <c r="BR12" s="36">
        <f>BQ12/BP12</f>
        <v>0.6470588235294118</v>
      </c>
      <c r="BS12" s="134">
        <v>0.92112620000000001</v>
      </c>
      <c r="BT12" s="134">
        <v>0.67500729999999998</v>
      </c>
      <c r="BU12" s="50">
        <v>55</v>
      </c>
      <c r="BV12" s="27">
        <v>38</v>
      </c>
      <c r="BW12" s="28">
        <v>33</v>
      </c>
      <c r="BX12" s="29">
        <v>23</v>
      </c>
      <c r="BY12" s="132">
        <f t="shared" si="12"/>
        <v>0.60526315789473684</v>
      </c>
      <c r="BZ12" s="13">
        <f>BV12-CF12</f>
        <v>5</v>
      </c>
      <c r="CA12" s="20">
        <f>BX12-CH12</f>
        <v>2</v>
      </c>
      <c r="CB12" s="18" t="s">
        <v>9</v>
      </c>
      <c r="CC12" s="79">
        <v>0.567693</v>
      </c>
      <c r="CD12" s="206">
        <v>0.92303900000000005</v>
      </c>
      <c r="CE12" s="50">
        <v>45</v>
      </c>
      <c r="CF12" s="27">
        <v>33</v>
      </c>
      <c r="CG12" s="28">
        <v>30</v>
      </c>
      <c r="CH12" s="29">
        <v>21</v>
      </c>
      <c r="CI12" s="132">
        <f t="shared" si="13"/>
        <v>0.63636363636363635</v>
      </c>
      <c r="CJ12" s="13">
        <f>CF12-CP12</f>
        <v>5</v>
      </c>
      <c r="CK12" s="20">
        <f>CH12-CR12</f>
        <v>2</v>
      </c>
      <c r="CL12" s="18">
        <f t="shared" si="14"/>
        <v>0.4</v>
      </c>
      <c r="CM12" s="79">
        <v>0.85880000000000001</v>
      </c>
      <c r="CN12" s="79">
        <v>0.96399999999999997</v>
      </c>
      <c r="CO12" s="50">
        <v>45</v>
      </c>
      <c r="CP12" s="27">
        <v>28</v>
      </c>
      <c r="CQ12" s="28">
        <v>30</v>
      </c>
      <c r="CR12" s="29">
        <v>19</v>
      </c>
      <c r="CS12" s="132">
        <f t="shared" si="15"/>
        <v>0.6785714285714286</v>
      </c>
      <c r="CT12" s="13">
        <f>CP12-CZ12</f>
        <v>4</v>
      </c>
      <c r="CU12" s="20">
        <f>CR12-DB12</f>
        <v>4</v>
      </c>
      <c r="CV12" s="18">
        <f>CU12/CT12</f>
        <v>1</v>
      </c>
      <c r="CW12" s="134">
        <v>0.53939999999999999</v>
      </c>
      <c r="CX12" s="134">
        <v>0.18390000000000001</v>
      </c>
      <c r="CY12" s="50">
        <v>45</v>
      </c>
      <c r="CZ12" s="27">
        <v>24</v>
      </c>
      <c r="DA12" s="28">
        <v>30</v>
      </c>
      <c r="DB12" s="29">
        <v>15</v>
      </c>
      <c r="DC12" s="132">
        <f t="shared" si="16"/>
        <v>0.625</v>
      </c>
      <c r="DD12" s="79">
        <v>0.82879999999999998</v>
      </c>
    </row>
    <row r="13" spans="1:137" s="114" customFormat="1" x14ac:dyDescent="0.2">
      <c r="A13" s="397"/>
      <c r="B13" s="281" t="s">
        <v>0</v>
      </c>
      <c r="C13" s="109">
        <v>619</v>
      </c>
      <c r="D13" s="27">
        <v>610</v>
      </c>
      <c r="E13" s="28">
        <v>178</v>
      </c>
      <c r="F13" s="29">
        <v>174</v>
      </c>
      <c r="G13" s="132">
        <f t="shared" si="0"/>
        <v>0.28524590163934427</v>
      </c>
      <c r="H13" s="13">
        <f>D13-N13</f>
        <v>40</v>
      </c>
      <c r="I13" s="14">
        <f>F13-P13</f>
        <v>0</v>
      </c>
      <c r="J13" s="12">
        <f t="shared" si="1"/>
        <v>0</v>
      </c>
      <c r="K13" s="99">
        <v>0.9172458</v>
      </c>
      <c r="L13" s="98" t="s">
        <v>9</v>
      </c>
      <c r="M13" s="109">
        <v>619</v>
      </c>
      <c r="N13" s="33">
        <v>570</v>
      </c>
      <c r="O13" s="28">
        <v>178</v>
      </c>
      <c r="P13" s="29">
        <v>174</v>
      </c>
      <c r="Q13" s="132">
        <f t="shared" si="2"/>
        <v>0.30526315789473685</v>
      </c>
      <c r="R13" s="16">
        <f>N13-X13</f>
        <v>270</v>
      </c>
      <c r="S13" s="17">
        <f>P13-Z13</f>
        <v>80</v>
      </c>
      <c r="T13" s="18">
        <f t="shared" si="3"/>
        <v>0.29629629629629628</v>
      </c>
      <c r="U13" s="40">
        <v>5.1914489999999998E-5</v>
      </c>
      <c r="V13" s="79">
        <v>0.30398150000000002</v>
      </c>
      <c r="W13" s="50">
        <v>366</v>
      </c>
      <c r="X13" s="27">
        <v>300</v>
      </c>
      <c r="Y13" s="28">
        <v>102</v>
      </c>
      <c r="Z13" s="29">
        <v>94</v>
      </c>
      <c r="AA13" s="132">
        <f t="shared" si="4"/>
        <v>0.31333333333333335</v>
      </c>
      <c r="AB13" s="13">
        <f>X13-AH13</f>
        <v>73</v>
      </c>
      <c r="AC13" s="20">
        <f>Z13-AJ13</f>
        <v>12</v>
      </c>
      <c r="AD13" s="21">
        <f t="shared" si="5"/>
        <v>0.16438356164383561</v>
      </c>
      <c r="AE13" s="40">
        <v>2.1167390000000001E-4</v>
      </c>
      <c r="AF13" s="79">
        <v>0.99088830000000006</v>
      </c>
      <c r="AG13" s="50">
        <v>345</v>
      </c>
      <c r="AH13" s="27">
        <v>227</v>
      </c>
      <c r="AI13" s="28">
        <v>96</v>
      </c>
      <c r="AJ13" s="29">
        <v>82</v>
      </c>
      <c r="AK13" s="132">
        <f>AJ13/AH13</f>
        <v>0.36123348017621143</v>
      </c>
      <c r="AL13" s="13">
        <f>AH13-AR13</f>
        <v>114</v>
      </c>
      <c r="AM13" s="20">
        <f>AJ13-AT13</f>
        <v>36</v>
      </c>
      <c r="AN13" s="21">
        <f t="shared" si="6"/>
        <v>0.31578947368421051</v>
      </c>
      <c r="AO13" s="40">
        <v>6.0331270000000002E-7</v>
      </c>
      <c r="AP13" s="79">
        <v>0.16715459999999999</v>
      </c>
      <c r="AQ13" s="50">
        <v>189</v>
      </c>
      <c r="AR13" s="27">
        <v>113</v>
      </c>
      <c r="AS13" s="28">
        <v>57</v>
      </c>
      <c r="AT13" s="29">
        <v>46</v>
      </c>
      <c r="AU13" s="132">
        <f t="shared" si="7"/>
        <v>0.40707964601769914</v>
      </c>
      <c r="AV13" s="13">
        <f>AR13-BB13</f>
        <v>75</v>
      </c>
      <c r="AW13" s="20">
        <f>AT13-BD13</f>
        <v>28</v>
      </c>
      <c r="AX13" s="21">
        <f t="shared" si="8"/>
        <v>0.37333333333333335</v>
      </c>
      <c r="AY13" s="40">
        <v>7.3422079999999995E-5</v>
      </c>
      <c r="AZ13" s="79">
        <v>5.7443019999999997E-2</v>
      </c>
      <c r="BA13" s="50">
        <v>65</v>
      </c>
      <c r="BB13" s="27">
        <v>38</v>
      </c>
      <c r="BC13" s="28">
        <v>34</v>
      </c>
      <c r="BD13" s="29">
        <v>18</v>
      </c>
      <c r="BE13" s="132">
        <f t="shared" si="9"/>
        <v>0.47368421052631576</v>
      </c>
      <c r="BF13" s="13">
        <f>BB13-BL13</f>
        <v>10</v>
      </c>
      <c r="BG13" s="20">
        <f>BD13-BN13</f>
        <v>5</v>
      </c>
      <c r="BH13" s="18">
        <f t="shared" si="10"/>
        <v>0.5</v>
      </c>
      <c r="BI13" s="134">
        <v>0.88467019999999996</v>
      </c>
      <c r="BJ13" s="134">
        <v>0.69255710000000004</v>
      </c>
      <c r="BK13" s="50">
        <v>54</v>
      </c>
      <c r="BL13" s="27">
        <v>28</v>
      </c>
      <c r="BM13" s="28">
        <v>29</v>
      </c>
      <c r="BN13" s="29">
        <v>13</v>
      </c>
      <c r="BO13" s="132">
        <f t="shared" si="11"/>
        <v>0.4642857142857143</v>
      </c>
      <c r="BP13" s="13">
        <f>BL13-BV13</f>
        <v>10</v>
      </c>
      <c r="BQ13" s="20">
        <f>BN13-BX13</f>
        <v>3</v>
      </c>
      <c r="BR13" s="36">
        <f>BQ13/BP13</f>
        <v>0.3</v>
      </c>
      <c r="BS13" s="79">
        <v>0.91738989999999998</v>
      </c>
      <c r="BT13" s="79">
        <v>0.99999760000000004</v>
      </c>
      <c r="BU13" s="50">
        <v>41</v>
      </c>
      <c r="BV13" s="27">
        <v>18</v>
      </c>
      <c r="BW13" s="28">
        <v>25</v>
      </c>
      <c r="BX13" s="29">
        <v>10</v>
      </c>
      <c r="BY13" s="132">
        <f t="shared" si="12"/>
        <v>0.55555555555555558</v>
      </c>
      <c r="BZ13" s="13">
        <f>BV13-CF13</f>
        <v>3</v>
      </c>
      <c r="CA13" s="20">
        <f>BX13-CH13</f>
        <v>1</v>
      </c>
      <c r="CB13" s="18" t="s">
        <v>9</v>
      </c>
      <c r="CC13" s="79">
        <v>0.82937130000000003</v>
      </c>
      <c r="CD13" s="206">
        <v>0.94746719999999995</v>
      </c>
      <c r="CE13" s="50">
        <v>32</v>
      </c>
      <c r="CF13" s="27">
        <v>15</v>
      </c>
      <c r="CG13" s="28">
        <v>20</v>
      </c>
      <c r="CH13" s="29">
        <v>9</v>
      </c>
      <c r="CI13" s="132">
        <f t="shared" si="13"/>
        <v>0.6</v>
      </c>
      <c r="CJ13" s="13">
        <f>CF13-CP13</f>
        <v>3</v>
      </c>
      <c r="CK13" s="20">
        <f>CH13-CR13</f>
        <v>1</v>
      </c>
      <c r="CL13" s="18">
        <f t="shared" si="14"/>
        <v>0.33333333333333331</v>
      </c>
      <c r="CM13" s="79">
        <v>0.73880000000000001</v>
      </c>
      <c r="CN13" s="79">
        <v>0.9556</v>
      </c>
      <c r="CO13" s="50">
        <v>24</v>
      </c>
      <c r="CP13" s="27">
        <v>12</v>
      </c>
      <c r="CQ13" s="28">
        <v>14</v>
      </c>
      <c r="CR13" s="29">
        <v>8</v>
      </c>
      <c r="CS13" s="132">
        <f t="shared" si="15"/>
        <v>0.66666666666666663</v>
      </c>
      <c r="CT13" s="13">
        <f>CP13-CZ13</f>
        <v>4</v>
      </c>
      <c r="CU13" s="20">
        <f>CR13-DB13</f>
        <v>2</v>
      </c>
      <c r="CV13" s="18">
        <f>CU13/CT13</f>
        <v>0.5</v>
      </c>
      <c r="CW13" s="134">
        <v>0.34</v>
      </c>
      <c r="CX13" s="134">
        <v>0.62944659999999997</v>
      </c>
      <c r="CY13" s="50">
        <v>24</v>
      </c>
      <c r="CZ13" s="27">
        <v>8</v>
      </c>
      <c r="DA13" s="28">
        <v>14</v>
      </c>
      <c r="DB13" s="29">
        <v>6</v>
      </c>
      <c r="DC13" s="132">
        <f t="shared" si="16"/>
        <v>0.75</v>
      </c>
      <c r="DD13" s="79">
        <v>0.2344</v>
      </c>
    </row>
    <row r="14" spans="1:137" s="5" customFormat="1" x14ac:dyDescent="0.2">
      <c r="A14" s="6"/>
      <c r="B14" s="6"/>
      <c r="C14" s="129"/>
      <c r="D14" s="129"/>
      <c r="E14" s="129"/>
      <c r="F14" s="139"/>
      <c r="G14" s="140"/>
      <c r="H14" s="141"/>
      <c r="I14" s="129"/>
      <c r="J14" s="129"/>
      <c r="K14" s="129"/>
      <c r="L14" s="142"/>
      <c r="M14" s="143"/>
      <c r="N14" s="143"/>
      <c r="O14" s="143"/>
      <c r="P14" s="129"/>
      <c r="Q14" s="131"/>
      <c r="R14" s="144"/>
      <c r="S14" s="144"/>
      <c r="T14" s="144"/>
      <c r="U14" s="145"/>
      <c r="Y14" s="129"/>
      <c r="Z14" s="129"/>
      <c r="AA14" s="131"/>
      <c r="AB14" s="129"/>
      <c r="AC14" s="129"/>
      <c r="AD14" s="145"/>
      <c r="AH14" s="129"/>
      <c r="AI14" s="129"/>
      <c r="AJ14" s="129"/>
      <c r="AK14" s="131"/>
      <c r="AL14" s="129"/>
      <c r="AM14" s="145"/>
      <c r="AQ14" s="129"/>
      <c r="AR14" s="129"/>
      <c r="AS14" s="129"/>
      <c r="AT14" s="129"/>
      <c r="AU14" s="131"/>
      <c r="AV14" s="145"/>
      <c r="AZ14" s="129"/>
      <c r="BA14" s="129"/>
      <c r="BB14" s="129"/>
      <c r="BC14" s="129"/>
      <c r="BD14" s="145"/>
      <c r="BE14" s="143"/>
      <c r="BI14" s="129"/>
      <c r="BJ14" s="129"/>
      <c r="BK14" s="129"/>
      <c r="BL14" s="129"/>
      <c r="BM14" s="145"/>
      <c r="BO14" s="4"/>
      <c r="BR14" s="129"/>
      <c r="BS14" s="129"/>
      <c r="BT14" s="129"/>
      <c r="BU14" s="129"/>
      <c r="BV14" s="145"/>
      <c r="BY14" s="4"/>
      <c r="CA14" s="129"/>
      <c r="CB14" s="129"/>
      <c r="CC14" s="129"/>
      <c r="CD14" s="129"/>
      <c r="CE14" s="129"/>
      <c r="CF14" s="145"/>
      <c r="CI14" s="4"/>
      <c r="CK14" s="129"/>
      <c r="CL14" s="129"/>
      <c r="CM14" s="129"/>
      <c r="CN14" s="129"/>
      <c r="CO14" s="145"/>
      <c r="CS14" s="4"/>
      <c r="CT14" s="129"/>
      <c r="CU14" s="142"/>
      <c r="CV14" s="158"/>
      <c r="DC14" s="4"/>
    </row>
    <row r="15" spans="1:137" s="114" customFormat="1" x14ac:dyDescent="0.2">
      <c r="G15" s="146"/>
      <c r="H15" s="159"/>
      <c r="I15" s="159"/>
      <c r="J15" s="159"/>
      <c r="K15" s="159"/>
      <c r="L15" s="160"/>
      <c r="Q15" s="146"/>
      <c r="T15" s="146"/>
      <c r="U15" s="160"/>
      <c r="Y15" s="146"/>
      <c r="AA15" s="146"/>
      <c r="AD15" s="160"/>
      <c r="AJ15" s="146"/>
      <c r="AK15" s="146"/>
      <c r="AL15" s="146"/>
      <c r="AM15" s="160"/>
      <c r="AU15" s="146"/>
      <c r="AV15" s="160"/>
      <c r="AW15" s="146"/>
      <c r="AX15" s="146"/>
      <c r="AY15" s="146"/>
      <c r="AZ15" s="146"/>
      <c r="BA15" s="146"/>
      <c r="BD15" s="160"/>
      <c r="BE15" s="146"/>
      <c r="BF15" s="146"/>
      <c r="BG15" s="146"/>
      <c r="BH15" s="146"/>
      <c r="BL15" s="146"/>
      <c r="BM15" s="160"/>
      <c r="BO15" s="146"/>
      <c r="BV15" s="160"/>
      <c r="BY15" s="146"/>
      <c r="CB15" s="146"/>
      <c r="CC15" s="146"/>
      <c r="CD15" s="146"/>
      <c r="CF15" s="160"/>
      <c r="CI15" s="146"/>
      <c r="CO15" s="160"/>
      <c r="CS15" s="146"/>
      <c r="CT15" s="146"/>
      <c r="CU15" s="160"/>
      <c r="CV15" s="158"/>
      <c r="DA15" s="146"/>
      <c r="DB15" s="146"/>
      <c r="DC15" s="146"/>
      <c r="DJ15" s="146"/>
      <c r="DK15" s="146"/>
      <c r="DR15" s="146"/>
      <c r="DS15" s="146"/>
      <c r="DZ15" s="146"/>
      <c r="EA15" s="146"/>
      <c r="EB15" s="161"/>
      <c r="EF15" s="146"/>
      <c r="EG15" s="146"/>
    </row>
    <row r="16" spans="1:137" s="114" customFormat="1" x14ac:dyDescent="0.2">
      <c r="C16" s="398" t="s">
        <v>33</v>
      </c>
      <c r="D16" s="399"/>
      <c r="E16" s="399"/>
      <c r="F16" s="399"/>
      <c r="G16" s="399"/>
      <c r="H16" s="399"/>
      <c r="I16" s="399"/>
      <c r="J16" s="399"/>
      <c r="K16" s="399"/>
      <c r="L16" s="400"/>
      <c r="M16" s="398" t="s">
        <v>10</v>
      </c>
      <c r="N16" s="399"/>
      <c r="O16" s="399"/>
      <c r="P16" s="399"/>
      <c r="Q16" s="399"/>
      <c r="R16" s="399"/>
      <c r="S16" s="399"/>
      <c r="T16" s="399"/>
      <c r="U16" s="399"/>
      <c r="V16" s="400"/>
      <c r="W16" s="398" t="s">
        <v>11</v>
      </c>
      <c r="X16" s="399"/>
      <c r="Y16" s="399"/>
      <c r="Z16" s="399"/>
      <c r="AA16" s="399"/>
      <c r="AB16" s="399"/>
      <c r="AC16" s="399"/>
      <c r="AD16" s="399"/>
      <c r="AE16" s="399"/>
      <c r="AF16" s="400"/>
      <c r="AG16" s="398" t="s">
        <v>12</v>
      </c>
      <c r="AH16" s="399"/>
      <c r="AI16" s="399"/>
      <c r="AJ16" s="399"/>
      <c r="AK16" s="399"/>
      <c r="AL16" s="399"/>
      <c r="AM16" s="399"/>
      <c r="AN16" s="399"/>
      <c r="AO16" s="399"/>
      <c r="AP16" s="400"/>
      <c r="AQ16" s="398" t="s">
        <v>13</v>
      </c>
      <c r="AR16" s="399"/>
      <c r="AS16" s="399"/>
      <c r="AT16" s="399"/>
      <c r="AU16" s="399"/>
      <c r="AV16" s="399"/>
      <c r="AW16" s="399"/>
      <c r="AX16" s="399"/>
      <c r="AY16" s="399"/>
      <c r="AZ16" s="400"/>
      <c r="BA16" s="398" t="s">
        <v>26</v>
      </c>
      <c r="BB16" s="399"/>
      <c r="BC16" s="399"/>
      <c r="BD16" s="399"/>
      <c r="BE16" s="399"/>
      <c r="BF16" s="399"/>
      <c r="BG16" s="399"/>
      <c r="BH16" s="399"/>
      <c r="BI16" s="399"/>
      <c r="BJ16" s="400"/>
      <c r="BK16" s="398" t="s">
        <v>15</v>
      </c>
      <c r="BL16" s="399"/>
      <c r="BM16" s="399"/>
      <c r="BN16" s="399"/>
      <c r="BO16" s="399"/>
      <c r="BP16" s="399"/>
      <c r="BQ16" s="399"/>
      <c r="BR16" s="399"/>
      <c r="BS16" s="399"/>
      <c r="BT16" s="400"/>
      <c r="BU16" s="398" t="s">
        <v>16</v>
      </c>
      <c r="BV16" s="399"/>
      <c r="BW16" s="399"/>
      <c r="BX16" s="399"/>
      <c r="BY16" s="399"/>
      <c r="BZ16" s="399"/>
      <c r="CA16" s="399"/>
      <c r="CB16" s="399"/>
      <c r="CC16" s="399"/>
      <c r="CD16" s="400"/>
      <c r="CE16" s="398" t="s">
        <v>17</v>
      </c>
      <c r="CF16" s="399"/>
      <c r="CG16" s="399"/>
      <c r="CH16" s="399"/>
      <c r="CI16" s="399"/>
      <c r="CJ16" s="399"/>
      <c r="CK16" s="399"/>
      <c r="CL16" s="399"/>
      <c r="CM16" s="399"/>
      <c r="CN16" s="400"/>
      <c r="CO16" s="398" t="s">
        <v>18</v>
      </c>
      <c r="CP16" s="399"/>
      <c r="CQ16" s="399"/>
      <c r="CR16" s="399"/>
      <c r="CS16" s="399"/>
      <c r="CT16" s="399"/>
      <c r="CU16" s="399"/>
      <c r="CV16" s="399"/>
      <c r="CW16" s="399"/>
      <c r="CX16" s="400"/>
      <c r="CY16" s="398" t="s">
        <v>19</v>
      </c>
      <c r="CZ16" s="399"/>
      <c r="DA16" s="399"/>
      <c r="DB16" s="399"/>
      <c r="DC16" s="399"/>
      <c r="DD16" s="401"/>
      <c r="DE16" s="148"/>
      <c r="DF16" s="160"/>
    </row>
    <row r="17" spans="1:110" s="90" customFormat="1" ht="107" customHeight="1" x14ac:dyDescent="0.2">
      <c r="A17" s="7" t="s">
        <v>77</v>
      </c>
      <c r="B17" s="281"/>
      <c r="C17" s="279" t="s">
        <v>56</v>
      </c>
      <c r="D17" s="7" t="s">
        <v>55</v>
      </c>
      <c r="E17" s="7" t="s">
        <v>52</v>
      </c>
      <c r="F17" s="103" t="s">
        <v>53</v>
      </c>
      <c r="G17" s="104" t="s">
        <v>54</v>
      </c>
      <c r="H17" s="104" t="s">
        <v>57</v>
      </c>
      <c r="I17" s="103" t="s">
        <v>58</v>
      </c>
      <c r="J17" s="104" t="s">
        <v>59</v>
      </c>
      <c r="K17" s="65" t="s">
        <v>35</v>
      </c>
      <c r="L17" s="65" t="s">
        <v>60</v>
      </c>
      <c r="M17" s="7" t="s">
        <v>56</v>
      </c>
      <c r="N17" s="7" t="s">
        <v>55</v>
      </c>
      <c r="O17" s="7" t="s">
        <v>52</v>
      </c>
      <c r="P17" s="103" t="s">
        <v>53</v>
      </c>
      <c r="Q17" s="104" t="s">
        <v>54</v>
      </c>
      <c r="R17" s="104" t="s">
        <v>57</v>
      </c>
      <c r="S17" s="103" t="s">
        <v>58</v>
      </c>
      <c r="T17" s="104" t="s">
        <v>59</v>
      </c>
      <c r="U17" s="65" t="s">
        <v>35</v>
      </c>
      <c r="V17" s="65" t="s">
        <v>60</v>
      </c>
      <c r="W17" s="7" t="s">
        <v>56</v>
      </c>
      <c r="X17" s="7" t="s">
        <v>55</v>
      </c>
      <c r="Y17" s="7" t="s">
        <v>52</v>
      </c>
      <c r="Z17" s="103" t="s">
        <v>53</v>
      </c>
      <c r="AA17" s="104" t="s">
        <v>54</v>
      </c>
      <c r="AB17" s="104" t="s">
        <v>57</v>
      </c>
      <c r="AC17" s="103" t="s">
        <v>58</v>
      </c>
      <c r="AD17" s="104" t="s">
        <v>59</v>
      </c>
      <c r="AE17" s="65" t="s">
        <v>35</v>
      </c>
      <c r="AF17" s="65" t="s">
        <v>60</v>
      </c>
      <c r="AG17" s="7" t="s">
        <v>56</v>
      </c>
      <c r="AH17" s="7" t="s">
        <v>55</v>
      </c>
      <c r="AI17" s="7" t="s">
        <v>52</v>
      </c>
      <c r="AJ17" s="103" t="s">
        <v>53</v>
      </c>
      <c r="AK17" s="104" t="s">
        <v>54</v>
      </c>
      <c r="AL17" s="104" t="s">
        <v>57</v>
      </c>
      <c r="AM17" s="103" t="s">
        <v>58</v>
      </c>
      <c r="AN17" s="104" t="s">
        <v>59</v>
      </c>
      <c r="AO17" s="65" t="s">
        <v>35</v>
      </c>
      <c r="AP17" s="65" t="s">
        <v>60</v>
      </c>
      <c r="AQ17" s="7" t="s">
        <v>56</v>
      </c>
      <c r="AR17" s="7" t="s">
        <v>55</v>
      </c>
      <c r="AS17" s="7" t="s">
        <v>52</v>
      </c>
      <c r="AT17" s="103" t="s">
        <v>53</v>
      </c>
      <c r="AU17" s="104" t="s">
        <v>54</v>
      </c>
      <c r="AV17" s="104" t="s">
        <v>57</v>
      </c>
      <c r="AW17" s="103" t="s">
        <v>58</v>
      </c>
      <c r="AX17" s="104" t="s">
        <v>59</v>
      </c>
      <c r="AY17" s="65" t="s">
        <v>35</v>
      </c>
      <c r="AZ17" s="65" t="s">
        <v>60</v>
      </c>
      <c r="BA17" s="7" t="s">
        <v>56</v>
      </c>
      <c r="BB17" s="7" t="s">
        <v>55</v>
      </c>
      <c r="BC17" s="7" t="s">
        <v>52</v>
      </c>
      <c r="BD17" s="103" t="s">
        <v>53</v>
      </c>
      <c r="BE17" s="104" t="s">
        <v>54</v>
      </c>
      <c r="BF17" s="104" t="s">
        <v>57</v>
      </c>
      <c r="BG17" s="103" t="s">
        <v>58</v>
      </c>
      <c r="BH17" s="104" t="s">
        <v>59</v>
      </c>
      <c r="BI17" s="65" t="s">
        <v>35</v>
      </c>
      <c r="BJ17" s="65" t="s">
        <v>60</v>
      </c>
      <c r="BK17" s="7" t="s">
        <v>56</v>
      </c>
      <c r="BL17" s="7" t="s">
        <v>55</v>
      </c>
      <c r="BM17" s="7" t="s">
        <v>52</v>
      </c>
      <c r="BN17" s="103" t="s">
        <v>53</v>
      </c>
      <c r="BO17" s="104" t="s">
        <v>54</v>
      </c>
      <c r="BP17" s="104" t="s">
        <v>57</v>
      </c>
      <c r="BQ17" s="103" t="s">
        <v>58</v>
      </c>
      <c r="BR17" s="104" t="s">
        <v>59</v>
      </c>
      <c r="BS17" s="65" t="s">
        <v>35</v>
      </c>
      <c r="BT17" s="65" t="s">
        <v>60</v>
      </c>
      <c r="BU17" s="7" t="s">
        <v>56</v>
      </c>
      <c r="BV17" s="7" t="s">
        <v>55</v>
      </c>
      <c r="BW17" s="7" t="s">
        <v>52</v>
      </c>
      <c r="BX17" s="103" t="s">
        <v>53</v>
      </c>
      <c r="BY17" s="104" t="s">
        <v>54</v>
      </c>
      <c r="BZ17" s="104" t="s">
        <v>57</v>
      </c>
      <c r="CA17" s="103" t="s">
        <v>58</v>
      </c>
      <c r="CB17" s="104" t="s">
        <v>59</v>
      </c>
      <c r="CC17" s="65" t="s">
        <v>35</v>
      </c>
      <c r="CD17" s="65" t="s">
        <v>60</v>
      </c>
      <c r="CE17" s="7" t="s">
        <v>56</v>
      </c>
      <c r="CF17" s="7" t="s">
        <v>55</v>
      </c>
      <c r="CG17" s="7" t="s">
        <v>52</v>
      </c>
      <c r="CH17" s="103" t="s">
        <v>53</v>
      </c>
      <c r="CI17" s="104" t="s">
        <v>54</v>
      </c>
      <c r="CJ17" s="104" t="s">
        <v>57</v>
      </c>
      <c r="CK17" s="103" t="s">
        <v>58</v>
      </c>
      <c r="CL17" s="104" t="s">
        <v>59</v>
      </c>
      <c r="CM17" s="65" t="s">
        <v>35</v>
      </c>
      <c r="CN17" s="65" t="s">
        <v>60</v>
      </c>
      <c r="CO17" s="7" t="s">
        <v>56</v>
      </c>
      <c r="CP17" s="7" t="s">
        <v>55</v>
      </c>
      <c r="CQ17" s="7" t="s">
        <v>52</v>
      </c>
      <c r="CR17" s="103" t="s">
        <v>53</v>
      </c>
      <c r="CS17" s="104" t="s">
        <v>54</v>
      </c>
      <c r="CT17" s="104" t="s">
        <v>57</v>
      </c>
      <c r="CU17" s="103" t="s">
        <v>58</v>
      </c>
      <c r="CV17" s="104" t="s">
        <v>59</v>
      </c>
      <c r="CW17" s="65" t="s">
        <v>35</v>
      </c>
      <c r="CX17" s="65" t="s">
        <v>60</v>
      </c>
      <c r="CY17" s="7" t="s">
        <v>56</v>
      </c>
      <c r="CZ17" s="7" t="s">
        <v>55</v>
      </c>
      <c r="DA17" s="7" t="s">
        <v>52</v>
      </c>
      <c r="DB17" s="103" t="s">
        <v>53</v>
      </c>
      <c r="DC17" s="104" t="s">
        <v>54</v>
      </c>
      <c r="DD17" s="65" t="s">
        <v>35</v>
      </c>
      <c r="DE17" s="115"/>
    </row>
    <row r="18" spans="1:110" s="114" customFormat="1" x14ac:dyDescent="0.2">
      <c r="A18" s="396" t="s">
        <v>6</v>
      </c>
      <c r="B18" s="281" t="s">
        <v>1</v>
      </c>
      <c r="C18" s="108">
        <v>397</v>
      </c>
      <c r="D18" s="9">
        <v>395</v>
      </c>
      <c r="E18" s="10">
        <v>109</v>
      </c>
      <c r="F18" s="11">
        <v>108</v>
      </c>
      <c r="G18" s="132">
        <f>F18/D18</f>
        <v>0.27341772151898736</v>
      </c>
      <c r="H18" s="13">
        <f>D18-N18</f>
        <v>13</v>
      </c>
      <c r="I18" s="20">
        <f>F18-P18</f>
        <v>5</v>
      </c>
      <c r="J18" s="21">
        <f>I18/H18</f>
        <v>0.38461538461538464</v>
      </c>
      <c r="K18" s="102">
        <v>0.92512019999999995</v>
      </c>
      <c r="L18" s="102">
        <v>0.26889999999999997</v>
      </c>
      <c r="M18" s="108">
        <v>397</v>
      </c>
      <c r="N18" s="15">
        <v>382</v>
      </c>
      <c r="O18" s="10">
        <v>109</v>
      </c>
      <c r="P18" s="11">
        <v>103</v>
      </c>
      <c r="Q18" s="132">
        <f>P18/N18</f>
        <v>0.26963350785340312</v>
      </c>
      <c r="R18" s="16">
        <f>N18-X18</f>
        <v>86</v>
      </c>
      <c r="S18" s="20">
        <f>P18-Z18</f>
        <v>20</v>
      </c>
      <c r="T18" s="21">
        <f>S18/R18</f>
        <v>0.23255813953488372</v>
      </c>
      <c r="U18" s="102">
        <v>0.91583630000000005</v>
      </c>
      <c r="V18" s="102">
        <v>0.86990000000000001</v>
      </c>
      <c r="W18" s="8">
        <v>297</v>
      </c>
      <c r="X18" s="9">
        <v>296</v>
      </c>
      <c r="Y18" s="10">
        <v>83</v>
      </c>
      <c r="Z18" s="11">
        <v>83</v>
      </c>
      <c r="AA18" s="132">
        <f>Z18/X18</f>
        <v>0.28040540540540543</v>
      </c>
      <c r="AB18" s="13">
        <f>X18-AH18</f>
        <v>18</v>
      </c>
      <c r="AC18" s="20">
        <f>Z18-AJ18</f>
        <v>7</v>
      </c>
      <c r="AD18" s="21">
        <f>AC18/AB18</f>
        <v>0.3888888888888889</v>
      </c>
      <c r="AE18" s="102">
        <v>0.72053869999999998</v>
      </c>
      <c r="AF18" s="102">
        <v>0.2092272</v>
      </c>
      <c r="AG18" s="8">
        <v>284</v>
      </c>
      <c r="AH18" s="9">
        <v>278</v>
      </c>
      <c r="AI18" s="10">
        <v>76</v>
      </c>
      <c r="AJ18" s="11">
        <v>76</v>
      </c>
      <c r="AK18" s="132">
        <f>AJ18/AH18</f>
        <v>0.2733812949640288</v>
      </c>
      <c r="AL18" s="13">
        <f>AH18-AR18</f>
        <v>171</v>
      </c>
      <c r="AM18" s="20">
        <f>AJ18-AT18</f>
        <v>39</v>
      </c>
      <c r="AN18" s="21">
        <f>AM18/AL18</f>
        <v>0.22807017543859648</v>
      </c>
      <c r="AO18" s="102">
        <v>0.1513417</v>
      </c>
      <c r="AP18" s="102">
        <v>0.97611570000000003</v>
      </c>
      <c r="AQ18" s="8">
        <v>112</v>
      </c>
      <c r="AR18" s="9">
        <v>107</v>
      </c>
      <c r="AS18" s="10">
        <v>37</v>
      </c>
      <c r="AT18" s="11">
        <v>37</v>
      </c>
      <c r="AU18" s="132">
        <f>AT18/AR18</f>
        <v>0.34579439252336447</v>
      </c>
      <c r="AV18" s="13">
        <f>AR18-BB18</f>
        <v>48</v>
      </c>
      <c r="AW18" s="20">
        <f>AT18-BD18</f>
        <v>11</v>
      </c>
      <c r="AX18" s="21">
        <f>AW18/AV18</f>
        <v>0.22916666666666666</v>
      </c>
      <c r="AY18" s="102">
        <v>0.12865380000000001</v>
      </c>
      <c r="AZ18" s="102">
        <v>0.98602210000000001</v>
      </c>
      <c r="BA18" s="8">
        <v>78</v>
      </c>
      <c r="BB18" s="9">
        <v>59</v>
      </c>
      <c r="BC18" s="10">
        <v>32</v>
      </c>
      <c r="BD18" s="11">
        <v>26</v>
      </c>
      <c r="BE18" s="132">
        <f>BD18/BB18</f>
        <v>0.44067796610169491</v>
      </c>
      <c r="BF18" s="13">
        <f>BB18-BL18</f>
        <v>9</v>
      </c>
      <c r="BG18" s="20">
        <f>BD18-BN18</f>
        <v>2</v>
      </c>
      <c r="BH18" s="18">
        <f>BG18/BF18</f>
        <v>0.22222222222222221</v>
      </c>
      <c r="BI18" s="102">
        <v>0.2455186</v>
      </c>
      <c r="BJ18" s="102">
        <v>0.94817220000000002</v>
      </c>
      <c r="BK18" s="8">
        <v>68</v>
      </c>
      <c r="BL18" s="9">
        <v>50</v>
      </c>
      <c r="BM18" s="10">
        <v>32</v>
      </c>
      <c r="BN18" s="11">
        <v>24</v>
      </c>
      <c r="BO18" s="132">
        <f>BN18/BL18</f>
        <v>0.48</v>
      </c>
      <c r="BP18" s="13">
        <f>BL18-BV18</f>
        <v>22</v>
      </c>
      <c r="BQ18" s="20">
        <f>BN18-BX18</f>
        <v>9</v>
      </c>
      <c r="BR18" s="18">
        <f>BQ18/BP18</f>
        <v>0.40909090909090912</v>
      </c>
      <c r="BS18" s="102">
        <v>0.50748610000000005</v>
      </c>
      <c r="BT18" s="102">
        <v>0.83191689999999996</v>
      </c>
      <c r="BU18" s="8">
        <v>37</v>
      </c>
      <c r="BV18" s="9">
        <v>28</v>
      </c>
      <c r="BW18" s="10">
        <v>23</v>
      </c>
      <c r="BX18" s="11">
        <v>15</v>
      </c>
      <c r="BY18" s="132">
        <f>BX18/BV18</f>
        <v>0.5357142857142857</v>
      </c>
      <c r="BZ18" s="13">
        <f>BV18-CF18</f>
        <v>0</v>
      </c>
      <c r="CA18" s="20">
        <f>BX18-CH18</f>
        <v>0</v>
      </c>
      <c r="CB18" s="18" t="s">
        <v>9</v>
      </c>
      <c r="CC18" s="102">
        <v>0.99339999999999995</v>
      </c>
      <c r="CD18" s="19" t="s">
        <v>9</v>
      </c>
      <c r="CE18" s="8">
        <v>37</v>
      </c>
      <c r="CF18" s="9">
        <v>28</v>
      </c>
      <c r="CG18" s="10">
        <v>23</v>
      </c>
      <c r="CH18" s="11">
        <v>15</v>
      </c>
      <c r="CI18" s="132">
        <f>CH18/CF18</f>
        <v>0.5357142857142857</v>
      </c>
      <c r="CJ18" s="13">
        <f>CF18-CP18</f>
        <v>3</v>
      </c>
      <c r="CK18" s="20">
        <f>CH18-CR18</f>
        <v>3</v>
      </c>
      <c r="CL18" s="18">
        <f>CK18/CJ18</f>
        <v>1</v>
      </c>
      <c r="CM18" s="102">
        <v>0.99343110000000001</v>
      </c>
      <c r="CN18" s="102">
        <v>0.22789999999999999</v>
      </c>
      <c r="CO18" s="8">
        <v>37</v>
      </c>
      <c r="CP18" s="9">
        <v>25</v>
      </c>
      <c r="CQ18" s="10">
        <v>20</v>
      </c>
      <c r="CR18" s="11">
        <v>12</v>
      </c>
      <c r="CS18" s="132">
        <f>CR18/CP18</f>
        <v>0.48</v>
      </c>
      <c r="CT18" s="61">
        <f>CP18-CZ18</f>
        <v>9</v>
      </c>
      <c r="CU18" s="20">
        <f>CR18-DB18</f>
        <v>3</v>
      </c>
      <c r="CV18" s="21">
        <f>CU18/CT18</f>
        <v>0.33333333333333331</v>
      </c>
      <c r="CW18" s="102">
        <v>0.92310000000000003</v>
      </c>
      <c r="CX18" s="102">
        <v>0.96609999999999996</v>
      </c>
      <c r="CY18" s="8">
        <v>22</v>
      </c>
      <c r="CZ18" s="147">
        <v>16</v>
      </c>
      <c r="DA18" s="10">
        <v>18</v>
      </c>
      <c r="DB18" s="11">
        <v>9</v>
      </c>
      <c r="DC18" s="132">
        <f>DB18/CZ18</f>
        <v>0.5625</v>
      </c>
      <c r="DD18" s="79">
        <v>1</v>
      </c>
    </row>
    <row r="19" spans="1:110" s="114" customFormat="1" x14ac:dyDescent="0.2">
      <c r="A19" s="397"/>
      <c r="B19" s="281" t="s">
        <v>0</v>
      </c>
      <c r="C19" s="109">
        <v>488</v>
      </c>
      <c r="D19" s="27">
        <v>474</v>
      </c>
      <c r="E19" s="28">
        <v>69</v>
      </c>
      <c r="F19" s="29">
        <v>67</v>
      </c>
      <c r="G19" s="132">
        <f t="shared" ref="G19:G25" si="18">F19/D19</f>
        <v>0.14135021097046413</v>
      </c>
      <c r="H19" s="13">
        <f>D19-N19</f>
        <v>48</v>
      </c>
      <c r="I19" s="20">
        <f t="shared" ref="I19" si="19">F19-P19</f>
        <v>0</v>
      </c>
      <c r="J19" s="21">
        <f t="shared" ref="J19:J25" si="20">I19/H19</f>
        <v>0</v>
      </c>
      <c r="K19" s="79">
        <v>0.68389829999999996</v>
      </c>
      <c r="L19" s="37" t="s">
        <v>9</v>
      </c>
      <c r="M19" s="109">
        <v>439</v>
      </c>
      <c r="N19" s="33">
        <v>426</v>
      </c>
      <c r="O19" s="28">
        <v>68</v>
      </c>
      <c r="P19" s="29">
        <v>67</v>
      </c>
      <c r="Q19" s="132">
        <f t="shared" ref="Q19:Q25" si="21">P19/N19</f>
        <v>0.15727699530516431</v>
      </c>
      <c r="R19" s="16">
        <f t="shared" ref="R19" si="22">N19-X19</f>
        <v>199</v>
      </c>
      <c r="S19" s="20">
        <f t="shared" ref="S19" si="23">P19-Z19</f>
        <v>21</v>
      </c>
      <c r="T19" s="21">
        <f t="shared" ref="T19:T25" si="24">S19/R19</f>
        <v>0.10552763819095477</v>
      </c>
      <c r="U19" s="79">
        <v>0.37562580000000001</v>
      </c>
      <c r="V19" s="79">
        <v>0.99721519999999997</v>
      </c>
      <c r="W19" s="50">
        <v>262</v>
      </c>
      <c r="X19" s="27">
        <v>227</v>
      </c>
      <c r="Y19" s="28">
        <v>46</v>
      </c>
      <c r="Z19" s="29">
        <v>46</v>
      </c>
      <c r="AA19" s="132">
        <f t="shared" ref="AA19:AA25" si="25">Z19/X19</f>
        <v>0.20264317180616739</v>
      </c>
      <c r="AB19" s="13">
        <f t="shared" ref="AB19" si="26">X19-AH19</f>
        <v>55</v>
      </c>
      <c r="AC19" s="20">
        <f t="shared" ref="AC19" si="27">Z19-AJ19</f>
        <v>9</v>
      </c>
      <c r="AD19" s="21">
        <f t="shared" ref="AD19:AD25" si="28">AC19/AB19</f>
        <v>0.16363636363636364</v>
      </c>
      <c r="AE19" s="40">
        <v>6.7976410000000005E-4</v>
      </c>
      <c r="AF19" s="37">
        <v>0.67</v>
      </c>
      <c r="AG19" s="50">
        <v>211</v>
      </c>
      <c r="AH19" s="27">
        <v>172</v>
      </c>
      <c r="AI19" s="28">
        <v>37</v>
      </c>
      <c r="AJ19" s="29">
        <v>37</v>
      </c>
      <c r="AK19" s="132">
        <f>AJ19/AH19</f>
        <v>0.21511627906976744</v>
      </c>
      <c r="AL19" s="13">
        <f t="shared" ref="AL19" si="29">AH19-AR19</f>
        <v>77</v>
      </c>
      <c r="AM19" s="20">
        <f t="shared" ref="AM19" si="30">AJ19-AT19</f>
        <v>14</v>
      </c>
      <c r="AN19" s="21">
        <f t="shared" ref="AN19:AN25" si="31">AM19/AL19</f>
        <v>0.18181818181818182</v>
      </c>
      <c r="AO19" s="42">
        <v>2.283047E-4</v>
      </c>
      <c r="AP19" s="134">
        <v>0.49590400000000001</v>
      </c>
      <c r="AQ19" s="50">
        <v>128</v>
      </c>
      <c r="AR19" s="27">
        <v>95</v>
      </c>
      <c r="AS19" s="28">
        <v>23</v>
      </c>
      <c r="AT19" s="29">
        <v>23</v>
      </c>
      <c r="AU19" s="132">
        <f t="shared" ref="AU19:AU25" si="32">AT19/AR19</f>
        <v>0.24210526315789474</v>
      </c>
      <c r="AV19" s="13">
        <f t="shared" ref="AV19" si="33">AR19-BB19</f>
        <v>51</v>
      </c>
      <c r="AW19" s="20">
        <f t="shared" ref="AW19" si="34">AT19-BD19</f>
        <v>9</v>
      </c>
      <c r="AX19" s="21">
        <f t="shared" ref="AX19:AX25" si="35">AW19/AV19</f>
        <v>0.17647058823529413</v>
      </c>
      <c r="AY19" s="40">
        <v>4.7307339999999999E-4</v>
      </c>
      <c r="AZ19" s="79">
        <v>0.61867289999999997</v>
      </c>
      <c r="BA19" s="50">
        <v>77</v>
      </c>
      <c r="BB19" s="27">
        <v>44</v>
      </c>
      <c r="BC19" s="28">
        <v>23</v>
      </c>
      <c r="BD19" s="29">
        <v>14</v>
      </c>
      <c r="BE19" s="132">
        <f t="shared" ref="BE19:BE25" si="36">BD19/BB19</f>
        <v>0.31818181818181818</v>
      </c>
      <c r="BF19" s="13">
        <f t="shared" ref="BF19" si="37">BB19-BL19</f>
        <v>19</v>
      </c>
      <c r="BG19" s="20">
        <f t="shared" ref="BG19" si="38">BD19-BN19</f>
        <v>3</v>
      </c>
      <c r="BH19" s="18">
        <f t="shared" ref="BH19:BH24" si="39">BG19/BF19</f>
        <v>0.15789473684210525</v>
      </c>
      <c r="BI19" s="79">
        <v>0.43073230000000001</v>
      </c>
      <c r="BJ19" s="79">
        <v>0.97175230000000001</v>
      </c>
      <c r="BK19" s="50">
        <v>38</v>
      </c>
      <c r="BL19" s="27">
        <v>25</v>
      </c>
      <c r="BM19" s="28">
        <v>23</v>
      </c>
      <c r="BN19" s="29">
        <v>11</v>
      </c>
      <c r="BO19" s="132">
        <f t="shared" ref="BO19:BO25" si="40">BN19/BL19</f>
        <v>0.44</v>
      </c>
      <c r="BP19" s="13">
        <f t="shared" ref="BP19" si="41">BL19-BV19</f>
        <v>11</v>
      </c>
      <c r="BQ19" s="20">
        <f t="shared" ref="BQ19" si="42">BN19-BX19</f>
        <v>1</v>
      </c>
      <c r="BR19" s="18">
        <f>BQ19/BP19</f>
        <v>9.0909090909090912E-2</v>
      </c>
      <c r="BS19" s="79">
        <v>0.99978869999999997</v>
      </c>
      <c r="BT19" s="79">
        <v>0.99999890000000002</v>
      </c>
      <c r="BU19" s="50">
        <v>25</v>
      </c>
      <c r="BV19" s="27">
        <v>14</v>
      </c>
      <c r="BW19" s="28">
        <v>16</v>
      </c>
      <c r="BX19" s="29">
        <v>10</v>
      </c>
      <c r="BY19" s="132">
        <f t="shared" ref="BY19:BY24" si="43">BX19/BV19</f>
        <v>0.7142857142857143</v>
      </c>
      <c r="BZ19" s="13">
        <f t="shared" ref="BZ19" si="44">BV19-CF19</f>
        <v>0</v>
      </c>
      <c r="CA19" s="20">
        <f t="shared" ref="CA19" si="45">BX19-CH19</f>
        <v>0</v>
      </c>
      <c r="CB19" s="18" t="s">
        <v>9</v>
      </c>
      <c r="CC19" s="79">
        <v>0.32450000000000001</v>
      </c>
      <c r="CD19" s="37" t="s">
        <v>9</v>
      </c>
      <c r="CE19" s="50">
        <v>25</v>
      </c>
      <c r="CF19" s="27">
        <v>14</v>
      </c>
      <c r="CG19" s="28">
        <v>16</v>
      </c>
      <c r="CH19" s="29">
        <v>10</v>
      </c>
      <c r="CI19" s="132">
        <f t="shared" ref="CI19:CI24" si="46">CH19/CF19</f>
        <v>0.7142857142857143</v>
      </c>
      <c r="CJ19" s="13">
        <f t="shared" ref="CJ19" si="47">CF19-CP19</f>
        <v>0</v>
      </c>
      <c r="CK19" s="20">
        <f t="shared" ref="CK19" si="48">CH19-CR19</f>
        <v>0</v>
      </c>
      <c r="CL19" s="18" t="s">
        <v>9</v>
      </c>
      <c r="CM19" s="79">
        <v>0.32453900000000002</v>
      </c>
      <c r="CN19" s="37" t="s">
        <v>9</v>
      </c>
      <c r="CO19" s="50">
        <v>25</v>
      </c>
      <c r="CP19" s="27">
        <v>14</v>
      </c>
      <c r="CQ19" s="28">
        <v>16</v>
      </c>
      <c r="CR19" s="29">
        <v>10</v>
      </c>
      <c r="CS19" s="132">
        <f t="shared" ref="CS19:CS24" si="49">CR19/CP19</f>
        <v>0.7142857142857143</v>
      </c>
      <c r="CT19" s="61">
        <f>CP19-CZ19</f>
        <v>6</v>
      </c>
      <c r="CU19" s="20">
        <f t="shared" ref="CU19" si="50">CR19-DB19</f>
        <v>3</v>
      </c>
      <c r="CV19" s="21">
        <f t="shared" ref="CV19" si="51">CU19/CT19</f>
        <v>0.5</v>
      </c>
      <c r="CW19" s="79">
        <v>0.32450000000000001</v>
      </c>
      <c r="CX19" s="79">
        <v>0.90269999999999995</v>
      </c>
      <c r="CY19" s="50">
        <v>14</v>
      </c>
      <c r="CZ19" s="63">
        <v>8</v>
      </c>
      <c r="DA19" s="28">
        <v>12</v>
      </c>
      <c r="DB19" s="29">
        <v>7</v>
      </c>
      <c r="DC19" s="132">
        <f t="shared" ref="DC19:DC24" si="52">DB19/CZ19</f>
        <v>0.875</v>
      </c>
      <c r="DD19" s="79">
        <v>0.69230000000000003</v>
      </c>
    </row>
    <row r="20" spans="1:110" s="5" customFormat="1" x14ac:dyDescent="0.2">
      <c r="A20" s="291"/>
      <c r="B20" s="291"/>
      <c r="C20" s="111"/>
      <c r="D20" s="44"/>
      <c r="E20" s="44"/>
      <c r="F20" s="45"/>
      <c r="G20" s="135"/>
      <c r="H20" s="136"/>
      <c r="I20" s="136"/>
      <c r="J20" s="135"/>
      <c r="K20" s="37"/>
      <c r="L20" s="37"/>
      <c r="M20" s="111"/>
      <c r="N20" s="53"/>
      <c r="O20" s="45"/>
      <c r="P20" s="45"/>
      <c r="Q20" s="135"/>
      <c r="R20" s="138"/>
      <c r="S20" s="136"/>
      <c r="T20" s="135"/>
      <c r="U20" s="37"/>
      <c r="V20" s="37"/>
      <c r="W20" s="45"/>
      <c r="X20" s="45"/>
      <c r="Y20" s="45"/>
      <c r="Z20" s="45"/>
      <c r="AA20" s="135"/>
      <c r="AB20" s="136"/>
      <c r="AC20" s="136"/>
      <c r="AD20" s="135"/>
      <c r="AE20" s="37"/>
      <c r="AF20" s="37"/>
      <c r="AG20" s="45"/>
      <c r="AH20" s="45"/>
      <c r="AI20" s="45"/>
      <c r="AJ20" s="45"/>
      <c r="AK20" s="135"/>
      <c r="AL20" s="136"/>
      <c r="AM20" s="136"/>
      <c r="AN20" s="135"/>
      <c r="AO20" s="37"/>
      <c r="AP20" s="37"/>
      <c r="AQ20" s="45"/>
      <c r="AR20" s="45"/>
      <c r="AS20" s="45"/>
      <c r="AT20" s="45"/>
      <c r="AU20" s="135"/>
      <c r="AV20" s="136"/>
      <c r="AW20" s="136"/>
      <c r="AX20" s="135"/>
      <c r="AY20" s="37"/>
      <c r="AZ20" s="37"/>
      <c r="BA20" s="45"/>
      <c r="BB20" s="45"/>
      <c r="BC20" s="45"/>
      <c r="BD20" s="45"/>
      <c r="BE20" s="135"/>
      <c r="BF20" s="136"/>
      <c r="BG20" s="136"/>
      <c r="BH20" s="135"/>
      <c r="BI20" s="37"/>
      <c r="BJ20" s="37"/>
      <c r="BK20" s="45"/>
      <c r="BL20" s="45"/>
      <c r="BM20" s="45"/>
      <c r="BN20" s="45"/>
      <c r="BO20" s="135"/>
      <c r="BP20" s="136"/>
      <c r="BQ20" s="136"/>
      <c r="BR20" s="44"/>
      <c r="BS20" s="37"/>
      <c r="BT20" s="37"/>
      <c r="BU20" s="45"/>
      <c r="BV20" s="45"/>
      <c r="BW20" s="45"/>
      <c r="BX20" s="45"/>
      <c r="BY20" s="135"/>
      <c r="BZ20" s="136"/>
      <c r="CA20" s="136"/>
      <c r="CB20" s="135"/>
      <c r="CC20" s="37"/>
      <c r="CD20" s="37"/>
      <c r="CE20" s="45"/>
      <c r="CF20" s="45"/>
      <c r="CG20" s="45"/>
      <c r="CH20" s="45"/>
      <c r="CI20" s="135"/>
      <c r="CJ20" s="136"/>
      <c r="CK20" s="136"/>
      <c r="CL20" s="135"/>
      <c r="CM20" s="37"/>
      <c r="CN20" s="37"/>
      <c r="CO20" s="45"/>
      <c r="CP20" s="45"/>
      <c r="CQ20" s="45"/>
      <c r="CR20" s="45"/>
      <c r="CS20" s="135"/>
      <c r="CT20" s="19"/>
      <c r="CU20" s="136"/>
      <c r="CV20" s="135"/>
      <c r="CW20" s="79"/>
      <c r="CX20" s="79"/>
      <c r="CY20" s="45"/>
      <c r="CZ20" s="37"/>
      <c r="DA20" s="45"/>
      <c r="DB20" s="45"/>
      <c r="DC20" s="135"/>
      <c r="DD20" s="79"/>
    </row>
    <row r="21" spans="1:110" s="114" customFormat="1" x14ac:dyDescent="0.2">
      <c r="A21" s="391" t="s">
        <v>67</v>
      </c>
      <c r="B21" s="281" t="s">
        <v>1</v>
      </c>
      <c r="C21" s="109">
        <v>283</v>
      </c>
      <c r="D21" s="27">
        <v>274</v>
      </c>
      <c r="E21" s="28">
        <v>29</v>
      </c>
      <c r="F21" s="29">
        <v>27</v>
      </c>
      <c r="G21" s="132">
        <f t="shared" si="18"/>
        <v>9.8540145985401464E-2</v>
      </c>
      <c r="H21" s="13">
        <f>D21-N21</f>
        <v>24</v>
      </c>
      <c r="I21" s="20">
        <f>F21-P21</f>
        <v>1</v>
      </c>
      <c r="J21" s="21">
        <f t="shared" si="20"/>
        <v>4.1666666666666664E-2</v>
      </c>
      <c r="K21" s="79">
        <v>0.94660310000000003</v>
      </c>
      <c r="L21" s="79">
        <v>0.93359999999999999</v>
      </c>
      <c r="M21" s="109">
        <v>283</v>
      </c>
      <c r="N21" s="33">
        <v>250</v>
      </c>
      <c r="O21" s="28">
        <v>29</v>
      </c>
      <c r="P21" s="29">
        <v>26</v>
      </c>
      <c r="Q21" s="132">
        <f t="shared" si="21"/>
        <v>0.104</v>
      </c>
      <c r="R21" s="16">
        <f>N21-X21</f>
        <v>61</v>
      </c>
      <c r="S21" s="20">
        <f>P21-Z21</f>
        <v>4</v>
      </c>
      <c r="T21" s="21">
        <f t="shared" si="24"/>
        <v>6.5573770491803282E-2</v>
      </c>
      <c r="U21" s="79">
        <v>0.55400970000000005</v>
      </c>
      <c r="V21" s="79">
        <v>0.91090000000000004</v>
      </c>
      <c r="W21" s="50">
        <v>190</v>
      </c>
      <c r="X21" s="27">
        <v>189</v>
      </c>
      <c r="Y21" s="28">
        <v>22</v>
      </c>
      <c r="Z21" s="29">
        <v>22</v>
      </c>
      <c r="AA21" s="132">
        <f t="shared" si="25"/>
        <v>0.1164021164021164</v>
      </c>
      <c r="AB21" s="13">
        <f>X21-AH21</f>
        <v>18</v>
      </c>
      <c r="AC21" s="20">
        <f>Z21-AJ21</f>
        <v>1</v>
      </c>
      <c r="AD21" s="21">
        <f t="shared" si="28"/>
        <v>5.5555555555555552E-2</v>
      </c>
      <c r="AE21" s="79">
        <v>0.88421050000000001</v>
      </c>
      <c r="AF21" s="79">
        <v>0.90249999999999997</v>
      </c>
      <c r="AG21" s="50">
        <v>172</v>
      </c>
      <c r="AH21" s="27">
        <v>171</v>
      </c>
      <c r="AI21" s="28">
        <v>21</v>
      </c>
      <c r="AJ21" s="29">
        <v>21</v>
      </c>
      <c r="AK21" s="132">
        <f>AJ21/AH21</f>
        <v>0.12280701754385964</v>
      </c>
      <c r="AL21" s="13">
        <f>AH21-AR21</f>
        <v>88</v>
      </c>
      <c r="AM21" s="20">
        <f>AJ21-AT21</f>
        <v>10</v>
      </c>
      <c r="AN21" s="21">
        <f t="shared" si="31"/>
        <v>0.11363636363636363</v>
      </c>
      <c r="AO21" s="79">
        <v>0.87790699999999999</v>
      </c>
      <c r="AP21" s="79">
        <v>0.71879999999999999</v>
      </c>
      <c r="AQ21" s="50">
        <v>84</v>
      </c>
      <c r="AR21" s="27">
        <v>83</v>
      </c>
      <c r="AS21" s="28">
        <v>11</v>
      </c>
      <c r="AT21" s="29">
        <v>11</v>
      </c>
      <c r="AU21" s="132">
        <f t="shared" si="32"/>
        <v>0.13253012048192772</v>
      </c>
      <c r="AV21" s="13">
        <f>AR21-BB21</f>
        <v>46</v>
      </c>
      <c r="AW21" s="20">
        <f>AT21-BD21</f>
        <v>4</v>
      </c>
      <c r="AX21" s="21">
        <f t="shared" si="35"/>
        <v>8.6956521739130432E-2</v>
      </c>
      <c r="AY21" s="134">
        <v>0.86904760000000003</v>
      </c>
      <c r="AZ21" s="134">
        <v>0.94969999999999999</v>
      </c>
      <c r="BA21" s="50">
        <v>42</v>
      </c>
      <c r="BB21" s="27">
        <v>37</v>
      </c>
      <c r="BC21" s="28">
        <v>8</v>
      </c>
      <c r="BD21" s="29">
        <v>7</v>
      </c>
      <c r="BE21" s="132">
        <f t="shared" si="36"/>
        <v>0.1891891891891892</v>
      </c>
      <c r="BF21" s="13">
        <f>BB21-BL21</f>
        <v>16</v>
      </c>
      <c r="BG21" s="20">
        <f>BD21-BN21</f>
        <v>3</v>
      </c>
      <c r="BH21" s="18">
        <f t="shared" si="39"/>
        <v>0.1875</v>
      </c>
      <c r="BI21" s="79">
        <v>0.76324020000000004</v>
      </c>
      <c r="BJ21" s="79">
        <v>0.66349999999999998</v>
      </c>
      <c r="BK21" s="50">
        <v>30</v>
      </c>
      <c r="BL21" s="27">
        <v>21</v>
      </c>
      <c r="BM21" s="28">
        <v>5</v>
      </c>
      <c r="BN21" s="29">
        <v>4</v>
      </c>
      <c r="BO21" s="132">
        <f t="shared" si="40"/>
        <v>0.19047619047619047</v>
      </c>
      <c r="BP21" s="13">
        <f>BL21-BV21</f>
        <v>0</v>
      </c>
      <c r="BQ21" s="20">
        <f>BN21-BX21</f>
        <v>0</v>
      </c>
      <c r="BR21" s="36" t="s">
        <v>9</v>
      </c>
      <c r="BS21" s="79">
        <v>0.52077810000000002</v>
      </c>
      <c r="BT21" s="37" t="s">
        <v>9</v>
      </c>
      <c r="BU21" s="50">
        <v>30</v>
      </c>
      <c r="BV21" s="27">
        <v>21</v>
      </c>
      <c r="BW21" s="28">
        <v>5</v>
      </c>
      <c r="BX21" s="29">
        <v>4</v>
      </c>
      <c r="BY21" s="132">
        <f t="shared" si="43"/>
        <v>0.19047619047619047</v>
      </c>
      <c r="BZ21" s="13">
        <f>BV21-CF21</f>
        <v>0</v>
      </c>
      <c r="CA21" s="20">
        <f>BX21-CH21</f>
        <v>0</v>
      </c>
      <c r="CB21" s="18" t="s">
        <v>9</v>
      </c>
      <c r="CC21" s="79">
        <v>0.52070000000000005</v>
      </c>
      <c r="CD21" s="37" t="s">
        <v>9</v>
      </c>
      <c r="CE21" s="50">
        <v>30</v>
      </c>
      <c r="CF21" s="27">
        <v>21</v>
      </c>
      <c r="CG21" s="28">
        <v>5</v>
      </c>
      <c r="CH21" s="29">
        <v>4</v>
      </c>
      <c r="CI21" s="132">
        <f t="shared" si="46"/>
        <v>0.19047619047619047</v>
      </c>
      <c r="CJ21" s="13">
        <f>CF21-CP21</f>
        <v>0</v>
      </c>
      <c r="CK21" s="20">
        <f>CH21-CR21</f>
        <v>0</v>
      </c>
      <c r="CL21" s="18" t="s">
        <v>9</v>
      </c>
      <c r="CM21" s="79">
        <v>0.52070000000000005</v>
      </c>
      <c r="CN21" s="79">
        <v>1</v>
      </c>
      <c r="CO21" s="50">
        <v>23</v>
      </c>
      <c r="CP21" s="27">
        <v>21</v>
      </c>
      <c r="CQ21" s="28">
        <v>4</v>
      </c>
      <c r="CR21" s="29">
        <v>4</v>
      </c>
      <c r="CS21" s="132">
        <f t="shared" si="49"/>
        <v>0.19047619047619047</v>
      </c>
      <c r="CT21" s="61">
        <f>CP21-CZ21</f>
        <v>5</v>
      </c>
      <c r="CU21" s="20">
        <f>CR21-DB21</f>
        <v>1</v>
      </c>
      <c r="CV21" s="21">
        <f>CU21/CT21</f>
        <v>0.2</v>
      </c>
      <c r="CW21" s="79">
        <v>0.67579999999999996</v>
      </c>
      <c r="CX21" s="79">
        <v>0.65439999999999998</v>
      </c>
      <c r="CY21" s="50">
        <v>23</v>
      </c>
      <c r="CZ21" s="63">
        <v>16</v>
      </c>
      <c r="DA21" s="28">
        <v>4</v>
      </c>
      <c r="DB21" s="29">
        <v>3</v>
      </c>
      <c r="DC21" s="132">
        <f t="shared" si="52"/>
        <v>0.1875</v>
      </c>
      <c r="DD21" s="79">
        <v>0.71297659999999996</v>
      </c>
    </row>
    <row r="22" spans="1:110" s="114" customFormat="1" x14ac:dyDescent="0.2">
      <c r="A22" s="391"/>
      <c r="B22" s="281" t="s">
        <v>0</v>
      </c>
      <c r="C22" s="109">
        <v>107</v>
      </c>
      <c r="D22" s="27">
        <v>100</v>
      </c>
      <c r="E22" s="28">
        <v>25</v>
      </c>
      <c r="F22" s="29">
        <v>23</v>
      </c>
      <c r="G22" s="132">
        <f t="shared" si="18"/>
        <v>0.23</v>
      </c>
      <c r="H22" s="13">
        <f>D22-N22</f>
        <v>18</v>
      </c>
      <c r="I22" s="20">
        <f>F22-P22</f>
        <v>2</v>
      </c>
      <c r="J22" s="21">
        <f t="shared" si="20"/>
        <v>0.1111111111111111</v>
      </c>
      <c r="K22" s="79">
        <v>0.79542199999999996</v>
      </c>
      <c r="L22" s="79">
        <v>0.96</v>
      </c>
      <c r="M22" s="109">
        <v>91</v>
      </c>
      <c r="N22" s="33">
        <v>82</v>
      </c>
      <c r="O22" s="28">
        <v>24</v>
      </c>
      <c r="P22" s="29">
        <v>21</v>
      </c>
      <c r="Q22" s="132">
        <f t="shared" si="21"/>
        <v>0.25609756097560976</v>
      </c>
      <c r="R22" s="16">
        <f>N22-X22</f>
        <v>22</v>
      </c>
      <c r="S22" s="20">
        <f>P22-Z22</f>
        <v>4</v>
      </c>
      <c r="T22" s="21">
        <f t="shared" si="24"/>
        <v>0.18181818181818182</v>
      </c>
      <c r="U22" s="79">
        <v>0.81823159999999995</v>
      </c>
      <c r="V22" s="79">
        <v>0.90280000000000005</v>
      </c>
      <c r="W22" s="50">
        <v>60</v>
      </c>
      <c r="X22" s="27">
        <v>60</v>
      </c>
      <c r="Y22" s="28">
        <v>17</v>
      </c>
      <c r="Z22" s="29">
        <v>17</v>
      </c>
      <c r="AA22" s="132">
        <f t="shared" si="25"/>
        <v>0.28333333333333333</v>
      </c>
      <c r="AB22" s="13">
        <f>X22-AH22</f>
        <v>6</v>
      </c>
      <c r="AC22" s="20">
        <f>Z22-AJ22</f>
        <v>1</v>
      </c>
      <c r="AD22" s="21">
        <f t="shared" si="28"/>
        <v>0.16666666666666666</v>
      </c>
      <c r="AE22" s="37">
        <v>1</v>
      </c>
      <c r="AF22" s="79">
        <v>0.87819999999999998</v>
      </c>
      <c r="AG22" s="50">
        <v>54</v>
      </c>
      <c r="AH22" s="27">
        <v>54</v>
      </c>
      <c r="AI22" s="28">
        <v>16</v>
      </c>
      <c r="AJ22" s="29">
        <v>16</v>
      </c>
      <c r="AK22" s="132">
        <f>AJ22/AH22</f>
        <v>0.29629629629629628</v>
      </c>
      <c r="AL22" s="13">
        <f>AH22-AR22</f>
        <v>26</v>
      </c>
      <c r="AM22" s="20">
        <f>AJ22-AT22</f>
        <v>8</v>
      </c>
      <c r="AN22" s="21">
        <f t="shared" si="31"/>
        <v>0.30769230769230771</v>
      </c>
      <c r="AO22" s="41">
        <v>1</v>
      </c>
      <c r="AP22" s="134">
        <v>0.54749999999999999</v>
      </c>
      <c r="AQ22" s="50">
        <v>28</v>
      </c>
      <c r="AR22" s="27">
        <v>28</v>
      </c>
      <c r="AS22" s="28">
        <v>8</v>
      </c>
      <c r="AT22" s="29">
        <v>8</v>
      </c>
      <c r="AU22" s="132">
        <f t="shared" si="32"/>
        <v>0.2857142857142857</v>
      </c>
      <c r="AV22" s="13">
        <f>AR22-BB22</f>
        <v>16</v>
      </c>
      <c r="AW22" s="20">
        <f>AT22-BD22</f>
        <v>2</v>
      </c>
      <c r="AX22" s="21">
        <f t="shared" si="35"/>
        <v>0.125</v>
      </c>
      <c r="AY22" s="41">
        <v>1</v>
      </c>
      <c r="AZ22" s="134">
        <v>0.99570000000000003</v>
      </c>
      <c r="BA22" s="50">
        <v>14</v>
      </c>
      <c r="BB22" s="27">
        <v>12</v>
      </c>
      <c r="BC22" s="28">
        <v>7</v>
      </c>
      <c r="BD22" s="29">
        <v>6</v>
      </c>
      <c r="BE22" s="132">
        <f t="shared" si="36"/>
        <v>0.5</v>
      </c>
      <c r="BF22" s="13">
        <f>BB22-BL22</f>
        <v>5</v>
      </c>
      <c r="BG22" s="20">
        <f>BD22-BN22</f>
        <v>3</v>
      </c>
      <c r="BH22" s="18">
        <f t="shared" si="39"/>
        <v>0.6</v>
      </c>
      <c r="BI22" s="79">
        <v>0.76923079999999999</v>
      </c>
      <c r="BJ22" s="79">
        <v>0.49990000000000001</v>
      </c>
      <c r="BK22" s="50">
        <v>10</v>
      </c>
      <c r="BL22" s="27">
        <v>7</v>
      </c>
      <c r="BM22" s="28">
        <v>4</v>
      </c>
      <c r="BN22" s="29">
        <v>3</v>
      </c>
      <c r="BO22" s="132">
        <f t="shared" si="40"/>
        <v>0.42857142857142855</v>
      </c>
      <c r="BP22" s="13">
        <f>BL22-BV22</f>
        <v>0</v>
      </c>
      <c r="BQ22" s="20">
        <f>BN22-BX22</f>
        <v>0</v>
      </c>
      <c r="BR22" s="36" t="s">
        <v>9</v>
      </c>
      <c r="BS22" s="79">
        <v>0.66666669999999995</v>
      </c>
      <c r="BT22" s="37" t="s">
        <v>9</v>
      </c>
      <c r="BU22" s="50">
        <v>10</v>
      </c>
      <c r="BV22" s="27">
        <v>7</v>
      </c>
      <c r="BW22" s="28">
        <v>4</v>
      </c>
      <c r="BX22" s="29">
        <v>3</v>
      </c>
      <c r="BY22" s="132">
        <f t="shared" si="43"/>
        <v>0.42857142857142855</v>
      </c>
      <c r="BZ22" s="13">
        <f>BV22-CF22</f>
        <v>0</v>
      </c>
      <c r="CA22" s="20">
        <f>BX22-CH22</f>
        <v>0</v>
      </c>
      <c r="CB22" s="18" t="s">
        <v>9</v>
      </c>
      <c r="CC22" s="79">
        <v>0.66659999999999997</v>
      </c>
      <c r="CD22" s="37" t="s">
        <v>9</v>
      </c>
      <c r="CE22" s="50">
        <v>10</v>
      </c>
      <c r="CF22" s="27">
        <v>7</v>
      </c>
      <c r="CG22" s="28">
        <v>4</v>
      </c>
      <c r="CH22" s="29">
        <v>3</v>
      </c>
      <c r="CI22" s="132">
        <f t="shared" si="46"/>
        <v>0.42857142857142855</v>
      </c>
      <c r="CJ22" s="13">
        <f>CF22-CP22</f>
        <v>3</v>
      </c>
      <c r="CK22" s="20">
        <f>CH22-CR22</f>
        <v>0</v>
      </c>
      <c r="CL22" s="18">
        <f t="shared" ref="CL22:CL24" si="53">CK22/CJ22</f>
        <v>0</v>
      </c>
      <c r="CM22" s="79">
        <v>0.66659999999999997</v>
      </c>
      <c r="CN22" s="37" t="s">
        <v>9</v>
      </c>
      <c r="CO22" s="50">
        <v>6</v>
      </c>
      <c r="CP22" s="27">
        <v>4</v>
      </c>
      <c r="CQ22" s="28">
        <v>4</v>
      </c>
      <c r="CR22" s="29">
        <v>3</v>
      </c>
      <c r="CS22" s="132">
        <f t="shared" si="49"/>
        <v>0.75</v>
      </c>
      <c r="CT22" s="61">
        <f>CP22-CZ22</f>
        <v>1</v>
      </c>
      <c r="CU22" s="20">
        <f>CR22-DB22</f>
        <v>1</v>
      </c>
      <c r="CV22" s="21">
        <f>CU22/CT22</f>
        <v>1</v>
      </c>
      <c r="CW22" s="79">
        <v>0.59989999999999999</v>
      </c>
      <c r="CX22" s="79">
        <v>0.66600000000000004</v>
      </c>
      <c r="CY22" s="50">
        <v>6</v>
      </c>
      <c r="CZ22" s="63">
        <v>3</v>
      </c>
      <c r="DA22" s="28">
        <v>3</v>
      </c>
      <c r="DB22" s="29">
        <v>2</v>
      </c>
      <c r="DC22" s="132">
        <f t="shared" si="52"/>
        <v>0.66666666666666663</v>
      </c>
      <c r="DD22" s="79">
        <v>0.5</v>
      </c>
    </row>
    <row r="23" spans="1:110" s="5" customFormat="1" x14ac:dyDescent="0.2">
      <c r="A23" s="293"/>
      <c r="B23" s="293"/>
      <c r="C23" s="111"/>
      <c r="D23" s="45"/>
      <c r="E23" s="45"/>
      <c r="F23" s="45"/>
      <c r="G23" s="135"/>
      <c r="H23" s="136"/>
      <c r="I23" s="136"/>
      <c r="J23" s="135"/>
      <c r="K23" s="37"/>
      <c r="L23" s="37"/>
      <c r="M23" s="111"/>
      <c r="N23" s="53"/>
      <c r="O23" s="45"/>
      <c r="P23" s="45"/>
      <c r="Q23" s="135"/>
      <c r="R23" s="138"/>
      <c r="S23" s="136"/>
      <c r="T23" s="135"/>
      <c r="U23" s="37"/>
      <c r="V23" s="37"/>
      <c r="W23" s="45"/>
      <c r="X23" s="45"/>
      <c r="Y23" s="45"/>
      <c r="Z23" s="45"/>
      <c r="AA23" s="135"/>
      <c r="AB23" s="136"/>
      <c r="AC23" s="136"/>
      <c r="AD23" s="135"/>
      <c r="AE23" s="37"/>
      <c r="AF23" s="37"/>
      <c r="AG23" s="45"/>
      <c r="AH23" s="45"/>
      <c r="AI23" s="45"/>
      <c r="AJ23" s="45"/>
      <c r="AK23" s="135"/>
      <c r="AL23" s="136"/>
      <c r="AM23" s="136"/>
      <c r="AN23" s="135"/>
      <c r="AO23" s="37"/>
      <c r="AP23" s="37"/>
      <c r="AQ23" s="45"/>
      <c r="AR23" s="45"/>
      <c r="AS23" s="45"/>
      <c r="AT23" s="45"/>
      <c r="AU23" s="135"/>
      <c r="AV23" s="136"/>
      <c r="AW23" s="136"/>
      <c r="AX23" s="135"/>
      <c r="AY23" s="37"/>
      <c r="AZ23" s="37"/>
      <c r="BA23" s="45"/>
      <c r="BB23" s="45"/>
      <c r="BC23" s="45"/>
      <c r="BD23" s="45"/>
      <c r="BE23" s="135"/>
      <c r="BF23" s="136"/>
      <c r="BG23" s="136"/>
      <c r="BH23" s="135"/>
      <c r="BI23" s="37"/>
      <c r="BJ23" s="37"/>
      <c r="BK23" s="45"/>
      <c r="BL23" s="45"/>
      <c r="BM23" s="45"/>
      <c r="BN23" s="45"/>
      <c r="BO23" s="135"/>
      <c r="BP23" s="136"/>
      <c r="BQ23" s="136"/>
      <c r="BR23" s="44"/>
      <c r="BS23" s="37"/>
      <c r="BT23" s="37"/>
      <c r="BU23" s="45"/>
      <c r="BV23" s="45"/>
      <c r="BW23" s="45"/>
      <c r="BX23" s="45"/>
      <c r="BY23" s="135"/>
      <c r="BZ23" s="136"/>
      <c r="CA23" s="136"/>
      <c r="CB23" s="135"/>
      <c r="CC23" s="37"/>
      <c r="CD23" s="37"/>
      <c r="CE23" s="45"/>
      <c r="CF23" s="45"/>
      <c r="CG23" s="45"/>
      <c r="CH23" s="45"/>
      <c r="CI23" s="135"/>
      <c r="CJ23" s="136"/>
      <c r="CK23" s="136"/>
      <c r="CL23" s="135"/>
      <c r="CM23" s="37"/>
      <c r="CN23" s="37"/>
      <c r="CO23" s="45"/>
      <c r="CP23" s="45"/>
      <c r="CQ23" s="45"/>
      <c r="CR23" s="45"/>
      <c r="CS23" s="135"/>
      <c r="CT23" s="19"/>
      <c r="CU23" s="136"/>
      <c r="CV23" s="135"/>
      <c r="CW23" s="79"/>
      <c r="CX23" s="79"/>
      <c r="CY23" s="45"/>
      <c r="CZ23" s="37"/>
      <c r="DA23" s="45"/>
      <c r="DB23" s="45"/>
      <c r="DC23" s="135"/>
      <c r="DD23" s="79"/>
    </row>
    <row r="24" spans="1:110" s="114" customFormat="1" x14ac:dyDescent="0.2">
      <c r="A24" s="392" t="s">
        <v>8</v>
      </c>
      <c r="B24" s="281" t="s">
        <v>1</v>
      </c>
      <c r="C24" s="109">
        <v>631</v>
      </c>
      <c r="D24" s="27">
        <v>630</v>
      </c>
      <c r="E24" s="28">
        <v>393</v>
      </c>
      <c r="F24" s="29">
        <v>393</v>
      </c>
      <c r="G24" s="132">
        <f t="shared" si="18"/>
        <v>0.62380952380952381</v>
      </c>
      <c r="H24" s="13">
        <f>D24-N24</f>
        <v>19</v>
      </c>
      <c r="I24" s="20">
        <f>F24-P24</f>
        <v>15</v>
      </c>
      <c r="J24" s="21">
        <f t="shared" si="20"/>
        <v>0.78947368421052633</v>
      </c>
      <c r="K24" s="79">
        <v>0.37717909999999999</v>
      </c>
      <c r="L24" s="79">
        <v>9.7000000000000003E-2</v>
      </c>
      <c r="M24" s="109">
        <v>631</v>
      </c>
      <c r="N24" s="27">
        <v>611</v>
      </c>
      <c r="O24" s="28">
        <v>393</v>
      </c>
      <c r="P24" s="29">
        <v>378</v>
      </c>
      <c r="Q24" s="132">
        <f t="shared" si="21"/>
        <v>0.61865793780687395</v>
      </c>
      <c r="R24" s="16">
        <f>N24-X24</f>
        <v>191</v>
      </c>
      <c r="S24" s="20">
        <f>P24-Z24</f>
        <v>107</v>
      </c>
      <c r="T24" s="21">
        <f t="shared" si="24"/>
        <v>0.56020942408376961</v>
      </c>
      <c r="U24" s="79">
        <v>0.92707260000000002</v>
      </c>
      <c r="V24" s="79">
        <v>0.98670000000000002</v>
      </c>
      <c r="W24" s="50">
        <v>439</v>
      </c>
      <c r="X24" s="27">
        <v>420</v>
      </c>
      <c r="Y24" s="28">
        <v>278</v>
      </c>
      <c r="Z24" s="29">
        <v>271</v>
      </c>
      <c r="AA24" s="132">
        <f t="shared" si="25"/>
        <v>0.64523809523809528</v>
      </c>
      <c r="AB24" s="13">
        <f>X24-AH24</f>
        <v>31</v>
      </c>
      <c r="AC24" s="20">
        <f>Z24-AJ24</f>
        <v>17</v>
      </c>
      <c r="AD24" s="21">
        <f t="shared" si="28"/>
        <v>0.54838709677419351</v>
      </c>
      <c r="AE24" s="79">
        <v>1.5168009999999999E-2</v>
      </c>
      <c r="AF24" s="79">
        <v>0.88596949999999997</v>
      </c>
      <c r="AG24" s="50">
        <v>426</v>
      </c>
      <c r="AH24" s="27">
        <v>389</v>
      </c>
      <c r="AI24" s="28">
        <v>266</v>
      </c>
      <c r="AJ24" s="29">
        <v>254</v>
      </c>
      <c r="AK24" s="132">
        <f>AJ24/AH24</f>
        <v>0.65295629820051415</v>
      </c>
      <c r="AL24" s="13">
        <f>AH24-AR24</f>
        <v>233</v>
      </c>
      <c r="AM24" s="20">
        <f>AJ24-AT24</f>
        <v>153</v>
      </c>
      <c r="AN24" s="21">
        <f t="shared" si="31"/>
        <v>0.6566523605150214</v>
      </c>
      <c r="AO24" s="42">
        <v>1.067215E-4</v>
      </c>
      <c r="AP24" s="134">
        <v>7.9445719999999997E-2</v>
      </c>
      <c r="AQ24" s="50">
        <v>176</v>
      </c>
      <c r="AR24" s="27">
        <v>156</v>
      </c>
      <c r="AS24" s="28">
        <v>107</v>
      </c>
      <c r="AT24" s="29">
        <v>101</v>
      </c>
      <c r="AU24" s="132">
        <f t="shared" si="32"/>
        <v>0.64743589743589747</v>
      </c>
      <c r="AV24" s="13">
        <f>AR24-BB24</f>
        <v>79</v>
      </c>
      <c r="AW24" s="20">
        <f>AT24-BD24</f>
        <v>56</v>
      </c>
      <c r="AX24" s="21">
        <f t="shared" si="35"/>
        <v>0.70886075949367089</v>
      </c>
      <c r="AY24" s="79">
        <v>3.2221860000000001E-3</v>
      </c>
      <c r="AZ24" s="40">
        <v>9.8876329999999998E-3</v>
      </c>
      <c r="BA24" s="50">
        <v>100</v>
      </c>
      <c r="BB24" s="27">
        <v>77</v>
      </c>
      <c r="BC24" s="28">
        <v>60</v>
      </c>
      <c r="BD24" s="29">
        <v>45</v>
      </c>
      <c r="BE24" s="132">
        <f t="shared" si="36"/>
        <v>0.58441558441558439</v>
      </c>
      <c r="BF24" s="13">
        <f>BB24-BL24</f>
        <v>16</v>
      </c>
      <c r="BG24" s="20">
        <f>BD24-BN24</f>
        <v>6</v>
      </c>
      <c r="BH24" s="18">
        <f t="shared" si="39"/>
        <v>0.375</v>
      </c>
      <c r="BI24" s="79">
        <v>0.79411759999999998</v>
      </c>
      <c r="BJ24" s="79">
        <v>0.98825600000000002</v>
      </c>
      <c r="BK24" s="50">
        <v>86</v>
      </c>
      <c r="BL24" s="27">
        <v>61</v>
      </c>
      <c r="BM24" s="28">
        <v>53</v>
      </c>
      <c r="BN24" s="29">
        <v>39</v>
      </c>
      <c r="BO24" s="132">
        <f t="shared" si="40"/>
        <v>0.63934426229508201</v>
      </c>
      <c r="BP24" s="13">
        <f>BL24-BV24</f>
        <v>20</v>
      </c>
      <c r="BQ24" s="20">
        <f>BN24-BX24</f>
        <v>18</v>
      </c>
      <c r="BR24" s="36">
        <f>BQ24/BP24</f>
        <v>0.9</v>
      </c>
      <c r="BS24" s="79">
        <v>0.32683709999999999</v>
      </c>
      <c r="BT24" s="79">
        <v>2.0907970000000001E-3</v>
      </c>
      <c r="BU24" s="50">
        <v>55</v>
      </c>
      <c r="BV24" s="27">
        <v>41</v>
      </c>
      <c r="BW24" s="28">
        <v>26</v>
      </c>
      <c r="BX24" s="29">
        <v>21</v>
      </c>
      <c r="BY24" s="132">
        <f t="shared" si="43"/>
        <v>0.51219512195121952</v>
      </c>
      <c r="BZ24" s="13">
        <f>BV24-CF24</f>
        <v>5</v>
      </c>
      <c r="CA24" s="20">
        <f>BX24-CH24</f>
        <v>0</v>
      </c>
      <c r="CB24" s="18">
        <f t="shared" ref="CB24" si="54">CA24/BZ24</f>
        <v>0</v>
      </c>
      <c r="CC24" s="79">
        <v>0.21992410000000001</v>
      </c>
      <c r="CD24" s="37" t="s">
        <v>9</v>
      </c>
      <c r="CE24" s="50">
        <v>45</v>
      </c>
      <c r="CF24" s="27">
        <v>36</v>
      </c>
      <c r="CG24" s="28">
        <v>26</v>
      </c>
      <c r="CH24" s="29">
        <v>21</v>
      </c>
      <c r="CI24" s="132">
        <f t="shared" si="46"/>
        <v>0.58333333333333337</v>
      </c>
      <c r="CJ24" s="13">
        <f>CF24-CP24</f>
        <v>13</v>
      </c>
      <c r="CK24" s="20">
        <f>CH24-CR24</f>
        <v>3</v>
      </c>
      <c r="CL24" s="18">
        <f t="shared" si="53"/>
        <v>0.23076923076923078</v>
      </c>
      <c r="CM24" s="79">
        <v>0.58420000000000005</v>
      </c>
      <c r="CN24" s="79">
        <v>0.99964500000000001</v>
      </c>
      <c r="CO24" s="50">
        <v>37</v>
      </c>
      <c r="CP24" s="27">
        <v>23</v>
      </c>
      <c r="CQ24" s="28">
        <v>25</v>
      </c>
      <c r="CR24" s="29">
        <v>18</v>
      </c>
      <c r="CS24" s="132">
        <f t="shared" si="49"/>
        <v>0.78260869565217395</v>
      </c>
      <c r="CT24" s="61">
        <f>CP24-CZ24</f>
        <v>2</v>
      </c>
      <c r="CU24" s="20">
        <f>CR24-DB24</f>
        <v>2</v>
      </c>
      <c r="CV24" s="21">
        <f>CU24/CT24</f>
        <v>1</v>
      </c>
      <c r="CW24" s="79">
        <v>7.8700000000000006E-2</v>
      </c>
      <c r="CX24" s="79">
        <v>0.45040000000000002</v>
      </c>
      <c r="CY24" s="50">
        <v>35</v>
      </c>
      <c r="CZ24" s="63">
        <v>21</v>
      </c>
      <c r="DA24" s="28">
        <v>25</v>
      </c>
      <c r="DB24" s="29">
        <v>16</v>
      </c>
      <c r="DC24" s="132">
        <f t="shared" si="52"/>
        <v>0.76190476190476186</v>
      </c>
      <c r="DD24" s="79">
        <v>0.3483</v>
      </c>
    </row>
    <row r="25" spans="1:110" s="114" customFormat="1" x14ac:dyDescent="0.2">
      <c r="A25" s="392"/>
      <c r="B25" s="281" t="s">
        <v>0</v>
      </c>
      <c r="C25" s="109">
        <v>507</v>
      </c>
      <c r="D25" s="27">
        <v>488</v>
      </c>
      <c r="E25" s="28">
        <v>83</v>
      </c>
      <c r="F25" s="29">
        <v>79</v>
      </c>
      <c r="G25" s="132">
        <f t="shared" si="18"/>
        <v>0.16188524590163936</v>
      </c>
      <c r="H25" s="13">
        <f>D25-N25</f>
        <v>80</v>
      </c>
      <c r="I25" s="20">
        <f>F25-P25</f>
        <v>8</v>
      </c>
      <c r="J25" s="21">
        <f t="shared" si="20"/>
        <v>0.1</v>
      </c>
      <c r="K25" s="79">
        <v>0.81498499999999996</v>
      </c>
      <c r="L25" s="79">
        <v>0.97270469999999998</v>
      </c>
      <c r="M25" s="109">
        <v>458</v>
      </c>
      <c r="N25" s="33">
        <v>408</v>
      </c>
      <c r="O25" s="28">
        <v>80</v>
      </c>
      <c r="P25" s="29">
        <v>71</v>
      </c>
      <c r="Q25" s="132">
        <f t="shared" si="21"/>
        <v>0.17401960784313725</v>
      </c>
      <c r="R25" s="16">
        <f>N25-X25</f>
        <v>265</v>
      </c>
      <c r="S25" s="20">
        <f>P25-Z25</f>
        <v>44</v>
      </c>
      <c r="T25" s="21">
        <f t="shared" si="24"/>
        <v>0.16603773584905659</v>
      </c>
      <c r="U25" s="79">
        <v>0.63027310000000003</v>
      </c>
      <c r="V25" s="79">
        <v>0.75700000000000001</v>
      </c>
      <c r="W25" s="50">
        <v>180</v>
      </c>
      <c r="X25" s="27">
        <v>143</v>
      </c>
      <c r="Y25" s="28">
        <v>36</v>
      </c>
      <c r="Z25" s="29">
        <v>27</v>
      </c>
      <c r="AA25" s="132">
        <f t="shared" si="25"/>
        <v>0.1888111888111888</v>
      </c>
      <c r="AB25" s="13">
        <f>X25-AH25</f>
        <v>30</v>
      </c>
      <c r="AC25" s="20">
        <f>Z25-AJ25</f>
        <v>5</v>
      </c>
      <c r="AD25" s="21">
        <f t="shared" si="28"/>
        <v>0.16666666666666666</v>
      </c>
      <c r="AE25" s="79">
        <v>0.83422209999999997</v>
      </c>
      <c r="AF25" s="79">
        <v>0.76835120000000001</v>
      </c>
      <c r="AG25" s="50">
        <v>180</v>
      </c>
      <c r="AH25" s="27">
        <v>113</v>
      </c>
      <c r="AI25" s="28">
        <v>34</v>
      </c>
      <c r="AJ25" s="29">
        <v>22</v>
      </c>
      <c r="AK25" s="132">
        <f>AJ25/AH25</f>
        <v>0.19469026548672566</v>
      </c>
      <c r="AL25" s="13">
        <f>AH25-AR25</f>
        <v>34</v>
      </c>
      <c r="AM25" s="20">
        <f>AJ25-AT25</f>
        <v>4</v>
      </c>
      <c r="AN25" s="21">
        <f t="shared" si="31"/>
        <v>0.11764705882352941</v>
      </c>
      <c r="AO25" s="134">
        <v>0.47982780000000003</v>
      </c>
      <c r="AP25" s="134">
        <v>0.92860739999999997</v>
      </c>
      <c r="AQ25" s="50">
        <v>147</v>
      </c>
      <c r="AR25" s="27">
        <v>79</v>
      </c>
      <c r="AS25" s="28">
        <v>28</v>
      </c>
      <c r="AT25" s="29">
        <v>18</v>
      </c>
      <c r="AU25" s="132">
        <f t="shared" si="32"/>
        <v>0.22784810126582278</v>
      </c>
      <c r="AV25" s="13">
        <f>AR25-BB25</f>
        <v>58</v>
      </c>
      <c r="AW25" s="20">
        <f>AT25-BD25</f>
        <v>14</v>
      </c>
      <c r="AX25" s="21">
        <f t="shared" si="35"/>
        <v>0.2413793103448276</v>
      </c>
      <c r="AY25" s="79">
        <v>0.150732</v>
      </c>
      <c r="AZ25" s="79">
        <v>0.14611769999999999</v>
      </c>
      <c r="BA25" s="50">
        <v>65</v>
      </c>
      <c r="BB25" s="27">
        <v>21</v>
      </c>
      <c r="BC25" s="28">
        <v>13</v>
      </c>
      <c r="BD25" s="29">
        <v>4</v>
      </c>
      <c r="BE25" s="132">
        <f t="shared" si="36"/>
        <v>0.19047619047619047</v>
      </c>
      <c r="BF25" s="13">
        <f>BB25-BL25</f>
        <v>2</v>
      </c>
      <c r="BG25" s="20">
        <f>BD25-BN25</f>
        <v>0</v>
      </c>
      <c r="BH25" s="18" t="s">
        <v>9</v>
      </c>
      <c r="BI25" s="79">
        <v>0.67082220000000004</v>
      </c>
      <c r="BJ25" s="37" t="s">
        <v>9</v>
      </c>
      <c r="BK25" s="50">
        <v>65</v>
      </c>
      <c r="BL25" s="27">
        <v>19</v>
      </c>
      <c r="BM25" s="28">
        <v>12</v>
      </c>
      <c r="BN25" s="29">
        <v>4</v>
      </c>
      <c r="BO25" s="132">
        <f t="shared" si="40"/>
        <v>0.21052631578947367</v>
      </c>
      <c r="BP25" s="13">
        <f>BL25-BV25</f>
        <v>19</v>
      </c>
      <c r="BQ25" s="20">
        <f>BN25-BX25</f>
        <v>4</v>
      </c>
      <c r="BR25" s="36">
        <f>BQ25/BP25</f>
        <v>0.21052631578947367</v>
      </c>
      <c r="BS25" s="79">
        <v>0.4892996</v>
      </c>
      <c r="BT25" s="79">
        <v>0.4892996</v>
      </c>
      <c r="BU25" s="50">
        <v>0</v>
      </c>
      <c r="BV25" s="27">
        <v>0</v>
      </c>
      <c r="BW25" s="28">
        <v>0</v>
      </c>
      <c r="BX25" s="29">
        <v>0</v>
      </c>
      <c r="BY25" s="132" t="s">
        <v>9</v>
      </c>
      <c r="BZ25" s="13">
        <f>BV25-CF25</f>
        <v>0</v>
      </c>
      <c r="CA25" s="20">
        <f>BX25-CH25</f>
        <v>0</v>
      </c>
      <c r="CB25" s="18" t="s">
        <v>9</v>
      </c>
      <c r="CC25" s="37" t="s">
        <v>9</v>
      </c>
      <c r="CD25" s="37" t="s">
        <v>9</v>
      </c>
      <c r="CE25" s="50">
        <v>0</v>
      </c>
      <c r="CF25" s="27">
        <v>0</v>
      </c>
      <c r="CG25" s="28">
        <v>0</v>
      </c>
      <c r="CH25" s="29">
        <v>0</v>
      </c>
      <c r="CI25" s="132" t="s">
        <v>9</v>
      </c>
      <c r="CJ25" s="13">
        <f>CF25-CP25</f>
        <v>0</v>
      </c>
      <c r="CK25" s="20">
        <f>CH25-CR25</f>
        <v>0</v>
      </c>
      <c r="CL25" s="18" t="s">
        <v>9</v>
      </c>
      <c r="CM25" s="37" t="s">
        <v>9</v>
      </c>
      <c r="CN25" s="40" t="s">
        <v>9</v>
      </c>
      <c r="CO25" s="50">
        <v>0</v>
      </c>
      <c r="CP25" s="27">
        <v>0</v>
      </c>
      <c r="CQ25" s="28">
        <v>0</v>
      </c>
      <c r="CR25" s="29">
        <v>0</v>
      </c>
      <c r="CS25" s="132" t="s">
        <v>9</v>
      </c>
      <c r="CT25" s="61">
        <f>CP25-CZ25</f>
        <v>0</v>
      </c>
      <c r="CU25" s="20">
        <f>CR25-DB25</f>
        <v>0</v>
      </c>
      <c r="CV25" s="21" t="s">
        <v>9</v>
      </c>
      <c r="CW25" s="37" t="s">
        <v>9</v>
      </c>
      <c r="CX25" s="37" t="s">
        <v>9</v>
      </c>
      <c r="CY25" s="50">
        <v>0</v>
      </c>
      <c r="CZ25" s="63">
        <v>0</v>
      </c>
      <c r="DA25" s="28">
        <v>0</v>
      </c>
      <c r="DB25" s="29">
        <v>0</v>
      </c>
      <c r="DC25" s="132" t="s">
        <v>9</v>
      </c>
      <c r="DD25" s="37" t="s">
        <v>9</v>
      </c>
    </row>
    <row r="26" spans="1:110" x14ac:dyDescent="0.2">
      <c r="A26" s="148"/>
      <c r="B26" s="148"/>
      <c r="I26" s="149"/>
      <c r="J26" s="143"/>
      <c r="K26" s="150"/>
      <c r="L26" s="150"/>
      <c r="N26" s="144"/>
      <c r="O26" s="129"/>
      <c r="P26" s="129"/>
      <c r="R26" s="144"/>
      <c r="S26" s="144"/>
      <c r="T26" s="143"/>
      <c r="U26" s="142"/>
      <c r="V26" s="142"/>
      <c r="Y26" s="129"/>
      <c r="Z26" s="129"/>
      <c r="AD26" s="143"/>
      <c r="AE26" s="142"/>
      <c r="AF26" s="142"/>
      <c r="AN26" s="143"/>
      <c r="AO26" s="142"/>
      <c r="AP26" s="142"/>
      <c r="AX26" s="143"/>
      <c r="AY26" s="142"/>
      <c r="AZ26" s="142"/>
      <c r="BH26" s="143"/>
      <c r="BI26" s="150"/>
      <c r="BJ26" s="150"/>
      <c r="BR26" s="143"/>
      <c r="BS26" s="150"/>
      <c r="BT26" s="150"/>
      <c r="CB26" s="143"/>
      <c r="CC26" s="142"/>
      <c r="CD26" s="142"/>
      <c r="CL26" s="143"/>
      <c r="CM26" s="142"/>
      <c r="CN26" s="142"/>
      <c r="CV26" s="143"/>
      <c r="CW26" s="150"/>
      <c r="CX26" s="150"/>
      <c r="DD26" s="142"/>
    </row>
    <row r="27" spans="1:110" x14ac:dyDescent="0.2">
      <c r="A27" s="148"/>
      <c r="B27" s="148"/>
      <c r="I27" s="149"/>
      <c r="J27" s="143"/>
      <c r="K27" s="150"/>
      <c r="L27" s="150"/>
      <c r="N27" s="144"/>
      <c r="O27" s="129"/>
      <c r="P27" s="129"/>
      <c r="R27" s="144"/>
      <c r="S27" s="144"/>
      <c r="T27" s="143"/>
      <c r="U27" s="142"/>
      <c r="V27" s="142"/>
      <c r="Y27" s="129"/>
      <c r="Z27" s="129"/>
      <c r="AD27" s="143"/>
      <c r="AE27" s="142"/>
      <c r="AF27" s="142"/>
      <c r="AN27" s="143"/>
      <c r="AO27" s="142"/>
      <c r="AP27" s="142"/>
      <c r="AX27" s="143"/>
      <c r="AZ27" s="142"/>
      <c r="BH27" s="143"/>
      <c r="BI27" s="150"/>
      <c r="BJ27" s="150"/>
      <c r="BR27" s="143"/>
      <c r="BS27" s="142"/>
      <c r="BT27" s="142"/>
      <c r="CB27" s="143"/>
      <c r="CC27" s="142"/>
      <c r="CD27" s="142"/>
      <c r="CL27" s="143"/>
      <c r="CM27" s="142"/>
      <c r="CN27" s="151"/>
      <c r="CV27" s="143"/>
      <c r="CW27" s="150"/>
      <c r="CX27" s="150"/>
      <c r="DD27" s="142"/>
    </row>
    <row r="28" spans="1:110" x14ac:dyDescent="0.2">
      <c r="A28" s="148"/>
      <c r="B28" s="148"/>
      <c r="I28" s="149"/>
      <c r="L28" s="143"/>
      <c r="O28" s="152"/>
      <c r="P28" s="152"/>
      <c r="Q28" s="143"/>
      <c r="S28" s="144"/>
      <c r="T28" s="144"/>
      <c r="U28" s="144"/>
      <c r="V28" s="143"/>
      <c r="Y28" s="152"/>
      <c r="Z28" s="152"/>
      <c r="AA28" s="143"/>
      <c r="AF28" s="143"/>
      <c r="AI28" s="143"/>
      <c r="AJ28" s="143"/>
      <c r="AK28" s="143"/>
      <c r="AP28" s="143"/>
      <c r="AS28" s="143"/>
      <c r="AT28" s="143"/>
      <c r="AU28" s="143"/>
      <c r="AZ28" s="143"/>
      <c r="BC28" s="143"/>
      <c r="BD28" s="143"/>
      <c r="BE28" s="143"/>
      <c r="BJ28" s="143"/>
      <c r="BM28" s="143"/>
      <c r="BN28" s="143"/>
      <c r="BO28" s="143"/>
      <c r="BT28" s="143"/>
      <c r="BW28" s="143"/>
      <c r="BX28" s="143"/>
      <c r="BY28" s="143"/>
      <c r="CD28" s="143"/>
      <c r="CG28" s="143"/>
      <c r="CH28" s="143"/>
      <c r="CI28" s="143"/>
      <c r="CJ28" s="153"/>
      <c r="CN28" s="143"/>
      <c r="CQ28" s="143"/>
      <c r="CR28" s="143"/>
      <c r="CS28" s="143"/>
      <c r="CX28" s="143"/>
      <c r="DA28" s="143"/>
      <c r="DB28" s="143"/>
      <c r="DC28" s="143"/>
    </row>
    <row r="29" spans="1:110" x14ac:dyDescent="0.2">
      <c r="L29" s="154"/>
      <c r="V29" s="154"/>
      <c r="AF29" s="154"/>
      <c r="AP29" s="154"/>
      <c r="AZ29" s="154"/>
      <c r="BJ29" s="154"/>
      <c r="BT29" s="154"/>
      <c r="CD29" s="154"/>
      <c r="CN29" s="154"/>
      <c r="CX29" s="154"/>
      <c r="DF29" s="154"/>
    </row>
    <row r="30" spans="1:110" x14ac:dyDescent="0.2">
      <c r="A30" s="148"/>
      <c r="AL30" s="151"/>
      <c r="AM30" s="151"/>
      <c r="AN30" s="151"/>
    </row>
    <row r="31" spans="1:110" x14ac:dyDescent="0.2">
      <c r="A31" s="155"/>
      <c r="AL31" s="131"/>
      <c r="AM31" s="236"/>
      <c r="AN31" s="151"/>
    </row>
    <row r="32" spans="1:110" x14ac:dyDescent="0.2">
      <c r="A32" s="155"/>
    </row>
    <row r="33" spans="1:111" x14ac:dyDescent="0.2">
      <c r="A33" s="148"/>
    </row>
    <row r="34" spans="1:111" x14ac:dyDescent="0.2">
      <c r="A34" s="148"/>
    </row>
    <row r="35" spans="1:111" x14ac:dyDescent="0.2">
      <c r="A35" s="148"/>
    </row>
    <row r="36" spans="1:111" x14ac:dyDescent="0.2">
      <c r="A36" s="148"/>
    </row>
    <row r="37" spans="1:111" x14ac:dyDescent="0.2">
      <c r="A37" s="148"/>
    </row>
    <row r="38" spans="1:111" x14ac:dyDescent="0.2">
      <c r="A38" s="148"/>
    </row>
    <row r="39" spans="1:111" x14ac:dyDescent="0.2">
      <c r="A39" s="148"/>
    </row>
    <row r="40" spans="1:111" x14ac:dyDescent="0.2">
      <c r="A40" s="148"/>
      <c r="B40" s="148"/>
      <c r="I40" s="149"/>
      <c r="L40" s="143"/>
      <c r="O40" s="152"/>
      <c r="P40" s="152"/>
      <c r="Q40" s="143"/>
      <c r="S40" s="144"/>
      <c r="T40" s="144"/>
      <c r="U40" s="144"/>
      <c r="Y40" s="152"/>
      <c r="Z40" s="152"/>
      <c r="AA40" s="143"/>
      <c r="AI40" s="143"/>
      <c r="AJ40" s="143"/>
      <c r="AK40" s="143"/>
      <c r="AS40" s="143"/>
      <c r="AT40" s="143"/>
      <c r="AU40" s="143"/>
      <c r="BC40" s="143"/>
      <c r="BD40" s="143"/>
      <c r="BE40" s="143"/>
      <c r="BM40" s="143"/>
      <c r="BN40" s="143"/>
      <c r="BO40" s="143"/>
      <c r="BW40" s="143"/>
      <c r="BX40" s="143"/>
      <c r="BY40" s="143"/>
      <c r="CG40" s="143"/>
      <c r="CH40" s="143"/>
      <c r="CI40" s="143"/>
      <c r="CJ40" s="153"/>
      <c r="CQ40" s="143"/>
      <c r="CR40" s="143"/>
      <c r="CS40" s="143"/>
      <c r="DA40" s="143"/>
      <c r="DB40" s="143"/>
      <c r="DC40" s="143"/>
    </row>
    <row r="41" spans="1:111" x14ac:dyDescent="0.2">
      <c r="A41" s="148"/>
      <c r="B41" s="148"/>
      <c r="I41" s="149"/>
      <c r="L41" s="143"/>
      <c r="O41" s="152"/>
      <c r="P41" s="152"/>
      <c r="Q41" s="143"/>
      <c r="S41" s="144"/>
      <c r="T41" s="144"/>
      <c r="U41" s="144"/>
      <c r="Y41" s="152"/>
      <c r="Z41" s="152"/>
      <c r="AA41" s="143"/>
      <c r="AI41" s="143"/>
      <c r="AJ41" s="143"/>
      <c r="AK41" s="143"/>
      <c r="AS41" s="143"/>
      <c r="AT41" s="143"/>
      <c r="AU41" s="143"/>
      <c r="BC41" s="143"/>
      <c r="BD41" s="143"/>
      <c r="BE41" s="143"/>
      <c r="BM41" s="143"/>
      <c r="BN41" s="143"/>
      <c r="BO41" s="143"/>
      <c r="BW41" s="143"/>
      <c r="BX41" s="143"/>
      <c r="BY41" s="143"/>
      <c r="CG41" s="143"/>
      <c r="CH41" s="143"/>
      <c r="CI41" s="143"/>
      <c r="CJ41" s="153"/>
      <c r="CQ41" s="143"/>
      <c r="CR41" s="143"/>
      <c r="CS41" s="143"/>
      <c r="DA41" s="143"/>
      <c r="DB41" s="143"/>
      <c r="DC41" s="143"/>
    </row>
    <row r="42" spans="1:111" x14ac:dyDescent="0.2">
      <c r="AY42" s="148"/>
    </row>
    <row r="43" spans="1:111" x14ac:dyDescent="0.2">
      <c r="H43" s="148"/>
      <c r="I43" s="148"/>
      <c r="J43" s="162"/>
      <c r="K43" s="148"/>
      <c r="L43" s="163"/>
      <c r="M43" s="148"/>
      <c r="N43" s="148"/>
      <c r="O43" s="163"/>
      <c r="P43" s="163"/>
      <c r="Q43" s="155"/>
      <c r="R43" s="163"/>
      <c r="S43" s="163"/>
      <c r="T43" s="164"/>
      <c r="U43" s="163"/>
      <c r="V43" s="148"/>
      <c r="W43" s="148"/>
      <c r="X43" s="148"/>
      <c r="Y43" s="163"/>
      <c r="Z43" s="163"/>
      <c r="AA43" s="155"/>
      <c r="AB43" s="148"/>
      <c r="AC43" s="148"/>
      <c r="AD43" s="162"/>
      <c r="AE43" s="148"/>
      <c r="AF43" s="148"/>
      <c r="AG43" s="148"/>
      <c r="AH43" s="148"/>
      <c r="AI43" s="148"/>
      <c r="AJ43" s="148"/>
      <c r="AK43" s="155"/>
      <c r="AL43" s="162"/>
      <c r="AM43" s="148"/>
      <c r="AN43" s="162"/>
      <c r="AO43" s="148"/>
      <c r="AP43" s="163"/>
      <c r="AS43" s="163"/>
      <c r="AT43" s="163"/>
      <c r="AU43" s="155"/>
      <c r="AV43" s="148"/>
      <c r="AW43" s="148"/>
      <c r="AX43" s="162"/>
      <c r="AY43" s="165"/>
      <c r="AZ43" s="163"/>
      <c r="BA43" s="148"/>
      <c r="BB43" s="148"/>
      <c r="BC43" s="163"/>
      <c r="BD43" s="163"/>
      <c r="BE43" s="155"/>
      <c r="BF43" s="148"/>
      <c r="BG43" s="148"/>
      <c r="BH43" s="162"/>
      <c r="BI43" s="148"/>
      <c r="BJ43" s="163"/>
      <c r="BK43" s="148"/>
      <c r="BL43" s="148"/>
      <c r="BM43" s="163"/>
      <c r="BN43" s="163"/>
      <c r="BO43" s="155"/>
      <c r="BP43" s="148"/>
      <c r="BQ43" s="148"/>
      <c r="BR43" s="162"/>
      <c r="BS43" s="148"/>
      <c r="BT43" s="163"/>
      <c r="BU43" s="148"/>
      <c r="BV43" s="148"/>
      <c r="BW43" s="163"/>
      <c r="BX43" s="163"/>
      <c r="BY43" s="155"/>
      <c r="BZ43" s="148"/>
      <c r="CA43" s="148"/>
      <c r="CB43" s="162"/>
      <c r="CC43" s="148"/>
      <c r="CD43" s="163"/>
      <c r="CE43" s="148"/>
      <c r="CF43" s="148"/>
      <c r="CG43" s="163"/>
      <c r="CH43" s="163"/>
      <c r="CI43" s="155"/>
      <c r="CJ43" s="155"/>
      <c r="CK43" s="155"/>
      <c r="CL43" s="155"/>
      <c r="CM43" s="155"/>
      <c r="CN43" s="163"/>
      <c r="CO43" s="148"/>
      <c r="CP43" s="148"/>
      <c r="CQ43" s="163"/>
      <c r="CR43" s="163"/>
      <c r="CS43" s="155"/>
      <c r="CT43" s="155"/>
      <c r="CU43" s="155"/>
      <c r="CV43" s="166"/>
      <c r="CW43" s="155"/>
      <c r="CX43" s="163"/>
      <c r="CY43" s="148"/>
      <c r="CZ43" s="148"/>
      <c r="DA43" s="163"/>
      <c r="DB43" s="163"/>
      <c r="DC43" s="155"/>
      <c r="DD43" s="166"/>
      <c r="DE43" s="148"/>
      <c r="DF43" s="148"/>
      <c r="DG43" s="148"/>
    </row>
    <row r="44" spans="1:111" x14ac:dyDescent="0.2">
      <c r="H44" s="154"/>
      <c r="I44" s="154"/>
      <c r="J44" s="154"/>
      <c r="K44" s="165"/>
      <c r="L44" s="165"/>
      <c r="M44" s="154"/>
      <c r="N44" s="154"/>
      <c r="O44" s="167"/>
      <c r="P44" s="167"/>
      <c r="Q44" s="165"/>
      <c r="R44" s="154"/>
      <c r="S44" s="154"/>
      <c r="T44" s="154"/>
      <c r="U44" s="165"/>
      <c r="V44" s="165"/>
      <c r="W44" s="154"/>
      <c r="X44" s="154"/>
      <c r="Y44" s="167"/>
      <c r="Z44" s="167"/>
      <c r="AA44" s="165"/>
      <c r="AB44" s="154"/>
      <c r="AC44" s="154"/>
      <c r="AD44" s="154"/>
      <c r="AE44" s="165"/>
      <c r="AF44" s="165"/>
      <c r="AG44" s="154"/>
      <c r="AH44" s="154"/>
      <c r="AI44" s="165"/>
      <c r="AJ44" s="165"/>
      <c r="AK44" s="165"/>
      <c r="AL44" s="154"/>
      <c r="AM44" s="154"/>
      <c r="AN44" s="154"/>
      <c r="AO44" s="165"/>
      <c r="AP44" s="165"/>
      <c r="AS44" s="165"/>
      <c r="AT44" s="165"/>
      <c r="AU44" s="165"/>
      <c r="AV44" s="154"/>
      <c r="AW44" s="154"/>
      <c r="AX44" s="154"/>
      <c r="AZ44" s="165"/>
      <c r="BA44" s="154"/>
      <c r="BB44" s="154"/>
      <c r="BC44" s="165"/>
      <c r="BD44" s="165"/>
      <c r="BE44" s="165"/>
      <c r="BF44" s="154"/>
      <c r="BG44" s="154"/>
      <c r="BH44" s="154"/>
      <c r="BI44" s="165"/>
      <c r="BJ44" s="165"/>
      <c r="BK44" s="154"/>
      <c r="BL44" s="154"/>
      <c r="BM44" s="165"/>
      <c r="BN44" s="165"/>
      <c r="BO44" s="165"/>
      <c r="BP44" s="154"/>
      <c r="BQ44" s="154"/>
      <c r="BR44" s="154"/>
      <c r="BS44" s="165"/>
      <c r="BT44" s="165"/>
      <c r="BU44" s="154"/>
      <c r="BV44" s="154"/>
      <c r="BW44" s="165"/>
      <c r="BX44" s="165"/>
      <c r="BY44" s="165"/>
      <c r="BZ44" s="154"/>
      <c r="CA44" s="154"/>
      <c r="CB44" s="154"/>
      <c r="CC44" s="165"/>
      <c r="CD44" s="165"/>
      <c r="CE44" s="154"/>
      <c r="CF44" s="154"/>
      <c r="CG44" s="165"/>
      <c r="CH44" s="165"/>
      <c r="CI44" s="165"/>
      <c r="CJ44" s="154"/>
      <c r="CK44" s="154"/>
      <c r="CL44" s="154"/>
      <c r="CM44" s="165"/>
      <c r="CN44" s="165"/>
      <c r="CO44" s="154"/>
      <c r="CP44" s="154"/>
      <c r="CQ44" s="165"/>
      <c r="CR44" s="165"/>
      <c r="CS44" s="165"/>
      <c r="CT44" s="154"/>
      <c r="CU44" s="154"/>
      <c r="CV44" s="154"/>
      <c r="CW44" s="165"/>
      <c r="CX44" s="165"/>
      <c r="CY44" s="154"/>
      <c r="CZ44" s="154"/>
      <c r="DA44" s="165"/>
      <c r="DB44" s="165"/>
      <c r="DC44" s="165"/>
      <c r="DD44" s="154"/>
      <c r="DE44" s="154"/>
      <c r="DF44" s="154"/>
      <c r="DG44" s="154"/>
    </row>
    <row r="45" spans="1:111" x14ac:dyDescent="0.2">
      <c r="A45" s="148"/>
      <c r="B45" s="148"/>
      <c r="C45" s="148"/>
      <c r="D45" s="148"/>
      <c r="E45" s="148"/>
      <c r="F45" s="148"/>
      <c r="G45" s="155"/>
      <c r="L45" s="143"/>
      <c r="O45" s="152"/>
      <c r="P45" s="152"/>
      <c r="Q45" s="143"/>
      <c r="T45" s="144"/>
      <c r="U45" s="144"/>
      <c r="V45" s="143"/>
      <c r="Y45" s="152"/>
      <c r="Z45" s="152"/>
      <c r="AA45" s="143"/>
      <c r="AF45" s="143"/>
      <c r="AI45" s="143"/>
      <c r="AJ45" s="143"/>
      <c r="AK45" s="143"/>
      <c r="AP45" s="143"/>
      <c r="AS45" s="143"/>
      <c r="AT45" s="143"/>
      <c r="AU45" s="143"/>
      <c r="AZ45" s="143"/>
      <c r="BC45" s="143"/>
      <c r="BD45" s="143"/>
      <c r="BE45" s="143"/>
      <c r="BJ45" s="143"/>
      <c r="BM45" s="143"/>
      <c r="BN45" s="143"/>
      <c r="BO45" s="143"/>
      <c r="BT45" s="143"/>
      <c r="BW45" s="143"/>
      <c r="BX45" s="143"/>
      <c r="BY45" s="143"/>
      <c r="CD45" s="143"/>
      <c r="CG45" s="143"/>
      <c r="CH45" s="143"/>
      <c r="CI45" s="143"/>
      <c r="CJ45" s="153"/>
      <c r="CN45" s="143"/>
      <c r="CQ45" s="143"/>
      <c r="CR45" s="143"/>
      <c r="CS45" s="143"/>
      <c r="CW45" s="142"/>
      <c r="CX45" s="131"/>
      <c r="DA45" s="131"/>
      <c r="DB45" s="131"/>
    </row>
    <row r="46" spans="1:111" x14ac:dyDescent="0.2">
      <c r="A46" s="148"/>
      <c r="B46" s="148"/>
      <c r="C46" s="148"/>
      <c r="D46" s="148"/>
      <c r="E46" s="148"/>
      <c r="F46" s="148"/>
      <c r="G46" s="155"/>
      <c r="L46" s="143"/>
      <c r="O46" s="152"/>
      <c r="P46" s="152"/>
      <c r="Q46" s="143"/>
      <c r="T46" s="144"/>
      <c r="U46" s="144"/>
      <c r="V46" s="143"/>
      <c r="Y46" s="152"/>
      <c r="Z46" s="152"/>
      <c r="AA46" s="143"/>
      <c r="AF46" s="143"/>
      <c r="AI46" s="143"/>
      <c r="AJ46" s="143"/>
      <c r="AK46" s="143"/>
      <c r="AP46" s="143"/>
      <c r="AS46" s="143"/>
      <c r="AT46" s="143"/>
      <c r="AU46" s="143"/>
      <c r="AZ46" s="143"/>
      <c r="BC46" s="143"/>
      <c r="BD46" s="143"/>
      <c r="BE46" s="143"/>
      <c r="BJ46" s="143"/>
      <c r="BM46" s="143"/>
      <c r="BN46" s="143"/>
      <c r="BO46" s="143"/>
      <c r="BT46" s="143"/>
      <c r="BW46" s="143"/>
      <c r="BX46" s="143"/>
      <c r="BY46" s="143"/>
      <c r="CB46" s="153"/>
      <c r="CD46" s="143"/>
      <c r="CG46" s="143"/>
      <c r="CH46" s="143"/>
      <c r="CI46" s="143"/>
      <c r="CN46" s="143"/>
      <c r="CQ46" s="143"/>
      <c r="CR46" s="143"/>
      <c r="CS46" s="143"/>
      <c r="CW46" s="142"/>
      <c r="CX46" s="131"/>
      <c r="DA46" s="131"/>
      <c r="DB46" s="131"/>
    </row>
    <row r="47" spans="1:111" x14ac:dyDescent="0.2">
      <c r="A47" s="148"/>
      <c r="B47" s="148"/>
      <c r="C47" s="148"/>
      <c r="D47" s="148"/>
      <c r="E47" s="148"/>
      <c r="F47" s="148"/>
      <c r="G47" s="155"/>
      <c r="L47" s="143"/>
      <c r="O47" s="152"/>
      <c r="P47" s="152"/>
      <c r="Q47" s="143"/>
      <c r="T47" s="144"/>
      <c r="U47" s="144"/>
      <c r="V47" s="143"/>
      <c r="Y47" s="152"/>
      <c r="Z47" s="152"/>
      <c r="AA47" s="143"/>
      <c r="AF47" s="143"/>
      <c r="AI47" s="143"/>
      <c r="AJ47" s="143"/>
      <c r="AK47" s="143"/>
      <c r="AP47" s="143"/>
      <c r="AS47" s="143"/>
      <c r="AT47" s="143"/>
      <c r="AU47" s="143"/>
      <c r="AZ47" s="143"/>
      <c r="BC47" s="143"/>
      <c r="BD47" s="143"/>
      <c r="BE47" s="143"/>
      <c r="BJ47" s="143"/>
      <c r="BM47" s="143"/>
      <c r="BN47" s="143"/>
      <c r="BO47" s="143"/>
      <c r="BT47" s="143"/>
      <c r="BW47" s="143"/>
      <c r="BX47" s="143"/>
      <c r="BY47" s="143"/>
      <c r="CB47" s="153"/>
      <c r="CD47" s="143"/>
      <c r="CG47" s="143"/>
      <c r="CH47" s="143"/>
      <c r="CI47" s="143"/>
      <c r="CN47" s="143"/>
      <c r="CQ47" s="143"/>
      <c r="CR47" s="143"/>
      <c r="CS47" s="143"/>
      <c r="CW47" s="142"/>
      <c r="CX47" s="131"/>
      <c r="DA47" s="131"/>
      <c r="DB47" s="131"/>
    </row>
    <row r="48" spans="1:111" x14ac:dyDescent="0.2">
      <c r="A48" s="148"/>
      <c r="B48" s="148"/>
      <c r="C48" s="148"/>
      <c r="D48" s="148"/>
      <c r="E48" s="148"/>
      <c r="F48" s="148"/>
      <c r="G48" s="155"/>
      <c r="L48" s="143"/>
      <c r="M48" s="153"/>
      <c r="N48" s="153"/>
      <c r="O48" s="152"/>
      <c r="P48" s="152"/>
      <c r="Q48" s="143"/>
      <c r="T48" s="144"/>
      <c r="U48" s="144"/>
      <c r="V48" s="143"/>
      <c r="W48" s="153"/>
      <c r="X48" s="153"/>
      <c r="Y48" s="152"/>
      <c r="Z48" s="152"/>
      <c r="AA48" s="143"/>
      <c r="AF48" s="143"/>
      <c r="AG48" s="153"/>
      <c r="AH48" s="153"/>
      <c r="AI48" s="143"/>
      <c r="AJ48" s="143"/>
      <c r="AK48" s="143"/>
      <c r="AP48" s="143"/>
      <c r="AS48" s="143"/>
      <c r="AT48" s="143"/>
      <c r="AU48" s="143"/>
      <c r="AZ48" s="143"/>
      <c r="BA48" s="153"/>
      <c r="BB48" s="153"/>
      <c r="BC48" s="143"/>
      <c r="BD48" s="143"/>
      <c r="BE48" s="143"/>
      <c r="BJ48" s="143"/>
      <c r="BK48" s="153"/>
      <c r="BL48" s="153"/>
      <c r="BM48" s="143"/>
      <c r="BN48" s="143"/>
      <c r="BO48" s="143"/>
      <c r="BQ48" s="153"/>
      <c r="BT48" s="143"/>
      <c r="BU48" s="153"/>
      <c r="BV48" s="153"/>
      <c r="BW48" s="143"/>
      <c r="BX48" s="143"/>
      <c r="BY48" s="143"/>
      <c r="BZ48" s="153"/>
      <c r="CB48" s="153"/>
      <c r="CD48" s="143"/>
      <c r="CE48" s="153"/>
      <c r="CF48" s="153"/>
      <c r="CG48" s="143"/>
      <c r="CH48" s="143"/>
      <c r="CI48" s="143"/>
      <c r="CJ48" s="153"/>
      <c r="CN48" s="143"/>
      <c r="CO48" s="153"/>
      <c r="CP48" s="153"/>
      <c r="CQ48" s="143"/>
      <c r="CR48" s="143"/>
      <c r="CS48" s="143"/>
      <c r="CW48" s="142"/>
      <c r="CX48" s="131"/>
      <c r="CY48" s="153"/>
      <c r="CZ48" s="153"/>
      <c r="DA48" s="131"/>
      <c r="DB48" s="131"/>
      <c r="DE48" s="153"/>
      <c r="DF48" s="153"/>
      <c r="DG48" s="153"/>
    </row>
    <row r="49" spans="1:106" x14ac:dyDescent="0.2">
      <c r="A49" s="148"/>
      <c r="B49" s="148"/>
      <c r="C49" s="148"/>
      <c r="D49" s="148"/>
      <c r="E49" s="148"/>
      <c r="F49" s="148"/>
      <c r="G49" s="155"/>
      <c r="L49" s="143"/>
      <c r="O49" s="152"/>
      <c r="P49" s="152"/>
      <c r="Q49" s="143"/>
      <c r="T49" s="144"/>
      <c r="U49" s="144"/>
      <c r="V49" s="143"/>
      <c r="Y49" s="152"/>
      <c r="Z49" s="152"/>
      <c r="AA49" s="143"/>
      <c r="AF49" s="143"/>
      <c r="AI49" s="143"/>
      <c r="AJ49" s="143"/>
      <c r="AK49" s="143"/>
      <c r="AP49" s="143"/>
      <c r="AS49" s="143"/>
      <c r="AT49" s="143"/>
      <c r="AU49" s="143"/>
      <c r="AZ49" s="143"/>
      <c r="BC49" s="143"/>
      <c r="BD49" s="143"/>
      <c r="BE49" s="143"/>
      <c r="BJ49" s="143"/>
      <c r="BM49" s="143"/>
      <c r="BN49" s="143"/>
      <c r="BO49" s="143"/>
      <c r="BQ49" s="153"/>
      <c r="BT49" s="143"/>
      <c r="BW49" s="143"/>
      <c r="BX49" s="143"/>
      <c r="BY49" s="143"/>
      <c r="BZ49" s="153"/>
      <c r="CB49" s="153"/>
      <c r="CD49" s="143"/>
      <c r="CG49" s="143"/>
      <c r="CH49" s="143"/>
      <c r="CI49" s="143"/>
      <c r="CN49" s="143"/>
      <c r="CQ49" s="143"/>
      <c r="CR49" s="143"/>
      <c r="CS49" s="143"/>
      <c r="CT49" s="153"/>
      <c r="CW49" s="142"/>
      <c r="CX49" s="131"/>
      <c r="DA49" s="131"/>
      <c r="DB49" s="131"/>
    </row>
    <row r="50" spans="1:106" x14ac:dyDescent="0.2">
      <c r="A50" s="148"/>
      <c r="B50" s="148"/>
      <c r="C50" s="148"/>
      <c r="D50" s="148"/>
      <c r="E50" s="148"/>
      <c r="F50" s="148"/>
      <c r="G50" s="155"/>
      <c r="L50" s="143"/>
      <c r="O50" s="152"/>
      <c r="P50" s="152"/>
      <c r="Q50" s="143"/>
      <c r="T50" s="144"/>
      <c r="U50" s="144"/>
      <c r="V50" s="143"/>
      <c r="Y50" s="152"/>
      <c r="Z50" s="152"/>
      <c r="AA50" s="143"/>
      <c r="AF50" s="143"/>
      <c r="AI50" s="143"/>
      <c r="AJ50" s="143"/>
      <c r="AK50" s="143"/>
      <c r="AP50" s="143"/>
      <c r="AS50" s="143"/>
      <c r="AT50" s="143"/>
      <c r="AU50" s="143"/>
      <c r="AZ50" s="143"/>
      <c r="BC50" s="143"/>
      <c r="BD50" s="143"/>
      <c r="BE50" s="143"/>
      <c r="BJ50" s="143"/>
      <c r="BM50" s="143"/>
      <c r="BN50" s="143"/>
      <c r="BO50" s="143"/>
      <c r="BQ50" s="153"/>
      <c r="BT50" s="143"/>
      <c r="BW50" s="143"/>
      <c r="BX50" s="143"/>
      <c r="BY50" s="143"/>
      <c r="BZ50" s="153"/>
      <c r="CB50" s="153"/>
      <c r="CD50" s="143"/>
      <c r="CG50" s="143"/>
      <c r="CH50" s="143"/>
      <c r="CI50" s="143"/>
      <c r="CN50" s="143"/>
      <c r="CQ50" s="143"/>
      <c r="CR50" s="143"/>
      <c r="CS50" s="143"/>
      <c r="CT50" s="153"/>
      <c r="CW50" s="142"/>
      <c r="CX50" s="131"/>
      <c r="DA50" s="131"/>
      <c r="DB50" s="131"/>
    </row>
    <row r="51" spans="1:106" x14ac:dyDescent="0.2">
      <c r="A51" s="148"/>
      <c r="B51" s="148"/>
      <c r="C51" s="148"/>
      <c r="D51" s="148"/>
      <c r="E51" s="148"/>
      <c r="F51" s="148"/>
      <c r="G51" s="155"/>
      <c r="L51" s="143"/>
      <c r="O51" s="152"/>
      <c r="P51" s="152"/>
      <c r="Q51" s="143"/>
      <c r="T51" s="144"/>
      <c r="U51" s="144"/>
      <c r="V51" s="143"/>
      <c r="Y51" s="152"/>
      <c r="Z51" s="152"/>
      <c r="AA51" s="143"/>
      <c r="AF51" s="143"/>
      <c r="AI51" s="143"/>
      <c r="AJ51" s="143"/>
      <c r="AK51" s="143"/>
      <c r="AP51" s="143"/>
      <c r="AS51" s="143"/>
      <c r="AT51" s="143"/>
      <c r="AU51" s="143"/>
      <c r="AZ51" s="143"/>
      <c r="BC51" s="143"/>
      <c r="BD51" s="143"/>
      <c r="BE51" s="143"/>
      <c r="BJ51" s="143"/>
      <c r="BM51" s="143"/>
      <c r="BN51" s="143"/>
      <c r="BO51" s="143"/>
      <c r="BT51" s="143"/>
      <c r="BW51" s="143"/>
      <c r="BX51" s="143"/>
      <c r="BY51" s="143"/>
      <c r="CB51" s="153"/>
      <c r="CD51" s="143"/>
      <c r="CG51" s="143"/>
      <c r="CH51" s="143"/>
      <c r="CI51" s="143"/>
      <c r="CN51" s="143"/>
      <c r="CQ51" s="143"/>
      <c r="CR51" s="143"/>
      <c r="CS51" s="143"/>
      <c r="CW51" s="142"/>
      <c r="CX51" s="131"/>
      <c r="DA51" s="131"/>
      <c r="DB51" s="131"/>
    </row>
    <row r="52" spans="1:106" x14ac:dyDescent="0.2">
      <c r="A52" s="155"/>
      <c r="B52" s="148"/>
      <c r="C52" s="148"/>
      <c r="D52" s="148"/>
      <c r="E52" s="148"/>
      <c r="F52" s="148"/>
      <c r="G52" s="155"/>
      <c r="L52" s="143"/>
      <c r="O52" s="152"/>
      <c r="P52" s="152"/>
      <c r="Q52" s="143"/>
      <c r="T52" s="144"/>
      <c r="U52" s="144"/>
      <c r="V52" s="143"/>
      <c r="Y52" s="152"/>
      <c r="Z52" s="152"/>
      <c r="AA52" s="143"/>
      <c r="AF52" s="143"/>
      <c r="AI52" s="143"/>
      <c r="AJ52" s="143"/>
      <c r="AK52" s="143"/>
      <c r="AP52" s="143"/>
      <c r="AS52" s="143"/>
      <c r="AT52" s="143"/>
      <c r="AU52" s="143"/>
      <c r="AZ52" s="143"/>
      <c r="BC52" s="143"/>
      <c r="BD52" s="143"/>
      <c r="BE52" s="143"/>
      <c r="BJ52" s="143"/>
      <c r="BM52" s="143"/>
      <c r="BN52" s="143"/>
      <c r="BO52" s="143"/>
      <c r="BT52" s="143"/>
      <c r="BW52" s="143"/>
      <c r="BX52" s="143"/>
      <c r="BY52" s="143"/>
      <c r="CB52" s="153"/>
      <c r="CD52" s="143"/>
      <c r="CG52" s="143"/>
      <c r="CH52" s="143"/>
      <c r="CI52" s="143"/>
      <c r="CN52" s="143"/>
      <c r="CQ52" s="143"/>
      <c r="CR52" s="143"/>
      <c r="CS52" s="143"/>
      <c r="CW52" s="142"/>
      <c r="CX52" s="131"/>
      <c r="DA52" s="131"/>
      <c r="DB52" s="131"/>
    </row>
  </sheetData>
  <customSheetViews>
    <customSheetView guid="{127B6458-1888-E743-A436-D6EF9EF5889D}" scale="120">
      <pane xSplit="2" ySplit="1" topLeftCell="CT2" activePane="bottomRight" state="frozenSplit"/>
      <selection pane="bottomRight" activeCell="DB4" sqref="DB4"/>
      <pageMargins left="0.75" right="0.75" top="1" bottom="1" header="0.5" footer="0.5"/>
      <pageSetup orientation="portrait" horizontalDpi="4294967292" verticalDpi="4294967292"/>
    </customSheetView>
  </customSheetViews>
  <mergeCells count="29">
    <mergeCell ref="CY1:DD1"/>
    <mergeCell ref="C1:L1"/>
    <mergeCell ref="M1:V1"/>
    <mergeCell ref="W1:AF1"/>
    <mergeCell ref="AG1:AP1"/>
    <mergeCell ref="AQ1:AZ1"/>
    <mergeCell ref="BA1:BJ1"/>
    <mergeCell ref="BK1:BT1"/>
    <mergeCell ref="BU1:CD1"/>
    <mergeCell ref="CE1:CN1"/>
    <mergeCell ref="CO1:CX1"/>
    <mergeCell ref="BK16:BT16"/>
    <mergeCell ref="BU16:CD16"/>
    <mergeCell ref="CE16:CN16"/>
    <mergeCell ref="CO16:CX16"/>
    <mergeCell ref="CY16:DD16"/>
    <mergeCell ref="BA16:BJ16"/>
    <mergeCell ref="C16:L16"/>
    <mergeCell ref="M16:V16"/>
    <mergeCell ref="W16:AF16"/>
    <mergeCell ref="AG16:AP16"/>
    <mergeCell ref="AQ16:AZ16"/>
    <mergeCell ref="A6:A7"/>
    <mergeCell ref="A3:A4"/>
    <mergeCell ref="A24:A25"/>
    <mergeCell ref="A21:A22"/>
    <mergeCell ref="A12:A13"/>
    <mergeCell ref="A9:A10"/>
    <mergeCell ref="A18:A19"/>
  </mergeCells>
  <phoneticPr fontId="4" type="noConversion"/>
  <conditionalFormatting sqref="K6:L7 U6:V7 AE6:AF7 AO6:AP7 AY6:AZ7 BI6:BJ7 BS6:BT7 CC6:CD7">
    <cfRule type="cellIs" dxfId="162" priority="7" operator="lessThan">
      <formula>0.025</formula>
    </cfRule>
  </conditionalFormatting>
  <conditionalFormatting sqref="K6:L7 U6:V7 AE6:AF7 AO6:AP7 AY6:AZ7 BI6:BJ7 BS6:BT7 CC6:CD7 CM6:CN7 CW6:CX7 DD6:DD7 DD21:DD22 CW21:CX22 CM21:CN22 CC21:CD22 BS21:BT22 BI21:BJ22 AY21:AZ22 AO21:AP22 AE21:AF22 U21:V22 K21:L22">
    <cfRule type="cellIs" dxfId="161" priority="6" operator="greaterThan">
      <formula>0.05</formula>
    </cfRule>
  </conditionalFormatting>
  <conditionalFormatting sqref="K6:L7 U6:V7 AE6:AF7 AO6:AP7 AY6:AZ7 BI6:BJ7 BS6:BT7 CC6:CD7 CM6:CN7 CW6:CX7 DD6:DD7 DD21:DD22 CW21:CX22 CM21:CN22 CC21:CD22 BS21:BT22 BI21:BJ22 AY21:AZ22 AO21:AP22 AE21:AF22 U21:V22 K21:L22">
    <cfRule type="cellIs" dxfId="160" priority="5" operator="lessThan">
      <formula>0.05</formula>
    </cfRule>
  </conditionalFormatting>
  <conditionalFormatting sqref="K3:L4 K18:L19 K9:L10 K24:L25 U3:V4 U9:V10 U18:V19 U24:V25 AE3:AF4 AE9:AF10 AE12:AF13 AE24:AF25 AE18:AF19 AO3:AP4 AO9:AP10 AO18:AP19 AO24:AP25 AY3:AZ4 AY9:AZ10 AY18:AZ19 AY24:AZ25 BI3:BJ4 BI9:BJ10 BI18:BJ19 BI24:BJ25 BS3:BT4 BS9:BT10 BS18:BT19 BS24:BT25 CC3:CD4 CC9:CD10 CC18:CD19 CC24:CD25 CM3:CN4 CM9:CN10 CM18:CN19 CM24:CN25 CW3:CX4 CW9:CX10 CW18:CX19 CW24:CX25 DD3:DD4 DD9:DD10 DD18:DD19 DD24:DD25 DD12:DD13 CW12:CX13 CM12:CN13 CC12:CD13 BS12:BT13 BI12:BJ13 AY12:AZ13 AO12:AP13 U12:V13 K12:L13">
    <cfRule type="cellIs" dxfId="159" priority="1" operator="lessThan">
      <formula>0.0000000001</formula>
    </cfRule>
    <cfRule type="cellIs" dxfId="158" priority="2" operator="lessThan">
      <formula>0.0083</formula>
    </cfRule>
    <cfRule type="cellIs" dxfId="157" priority="3" operator="lessThan">
      <formula>0.05</formula>
    </cfRule>
    <cfRule type="cellIs" dxfId="156" priority="4" operator="greaterThan">
      <formula>0.05</formula>
    </cfRule>
  </conditionalFormatting>
  <pageMargins left="0.75" right="0.75" top="1" bottom="1" header="0.5" footer="0.5"/>
  <pageSetup paperSize="9" orientation="landscape"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10"/>
  <sheetViews>
    <sheetView topLeftCell="X1" zoomScale="120" zoomScaleNormal="120" zoomScalePageLayoutView="120" workbookViewId="0">
      <selection activeCell="D13" sqref="D13"/>
    </sheetView>
  </sheetViews>
  <sheetFormatPr baseColWidth="10" defaultColWidth="15.83203125" defaultRowHeight="16" x14ac:dyDescent="0.2"/>
  <cols>
    <col min="1" max="16384" width="15.83203125" style="3"/>
  </cols>
  <sheetData>
    <row r="1" spans="1:129" s="175" customFormat="1" ht="32" customHeight="1" x14ac:dyDescent="0.2">
      <c r="A1" s="171"/>
      <c r="B1" s="171"/>
      <c r="C1" s="384" t="s">
        <v>33</v>
      </c>
      <c r="D1" s="385"/>
      <c r="E1" s="385"/>
      <c r="F1" s="385"/>
      <c r="G1" s="385"/>
      <c r="H1" s="385"/>
      <c r="I1" s="385"/>
      <c r="J1" s="385"/>
      <c r="K1" s="385"/>
      <c r="L1" s="387"/>
      <c r="M1" s="384" t="s">
        <v>10</v>
      </c>
      <c r="N1" s="385"/>
      <c r="O1" s="385"/>
      <c r="P1" s="385"/>
      <c r="Q1" s="385"/>
      <c r="R1" s="385"/>
      <c r="S1" s="385"/>
      <c r="T1" s="385"/>
      <c r="U1" s="385"/>
      <c r="V1" s="387"/>
      <c r="W1" s="384" t="s">
        <v>11</v>
      </c>
      <c r="X1" s="385"/>
      <c r="Y1" s="385"/>
      <c r="Z1" s="385"/>
      <c r="AA1" s="385"/>
      <c r="AB1" s="385"/>
      <c r="AC1" s="385"/>
      <c r="AD1" s="385"/>
      <c r="AE1" s="385"/>
      <c r="AF1" s="387"/>
      <c r="AG1" s="384" t="s">
        <v>12</v>
      </c>
      <c r="AH1" s="385"/>
      <c r="AI1" s="385"/>
      <c r="AJ1" s="385"/>
      <c r="AK1" s="385"/>
      <c r="AL1" s="385"/>
      <c r="AM1" s="385"/>
      <c r="AN1" s="385"/>
      <c r="AO1" s="385"/>
      <c r="AP1" s="387"/>
      <c r="AQ1" s="384" t="s">
        <v>13</v>
      </c>
      <c r="AR1" s="385"/>
      <c r="AS1" s="385"/>
      <c r="AT1" s="385"/>
      <c r="AU1" s="385"/>
      <c r="AV1" s="385"/>
      <c r="AW1" s="385"/>
      <c r="AX1" s="385"/>
      <c r="AY1" s="385"/>
      <c r="AZ1" s="387"/>
      <c r="BA1" s="384" t="s">
        <v>26</v>
      </c>
      <c r="BB1" s="385"/>
      <c r="BC1" s="385"/>
      <c r="BD1" s="385"/>
      <c r="BE1" s="385"/>
      <c r="BF1" s="385"/>
      <c r="BG1" s="385"/>
      <c r="BH1" s="385"/>
      <c r="BI1" s="385"/>
      <c r="BJ1" s="387"/>
      <c r="BK1" s="384" t="s">
        <v>15</v>
      </c>
      <c r="BL1" s="385"/>
      <c r="BM1" s="385"/>
      <c r="BN1" s="385"/>
      <c r="BO1" s="385"/>
      <c r="BP1" s="385"/>
      <c r="BQ1" s="385"/>
      <c r="BR1" s="385"/>
      <c r="BS1" s="385"/>
      <c r="BT1" s="387"/>
      <c r="BU1" s="384" t="s">
        <v>16</v>
      </c>
      <c r="BV1" s="385"/>
      <c r="BW1" s="385"/>
      <c r="BX1" s="385"/>
      <c r="BY1" s="385"/>
      <c r="BZ1" s="385"/>
      <c r="CA1" s="385"/>
      <c r="CB1" s="385"/>
      <c r="CC1" s="385"/>
      <c r="CD1" s="387"/>
      <c r="CE1" s="388" t="s">
        <v>17</v>
      </c>
      <c r="CF1" s="389"/>
      <c r="CG1" s="389"/>
      <c r="CH1" s="389"/>
      <c r="CI1" s="389"/>
      <c r="CJ1" s="389"/>
      <c r="CK1" s="389"/>
      <c r="CL1" s="389"/>
      <c r="CM1" s="389"/>
      <c r="CN1" s="390"/>
      <c r="CO1" s="384" t="s">
        <v>18</v>
      </c>
      <c r="CP1" s="385"/>
      <c r="CQ1" s="385"/>
      <c r="CR1" s="385"/>
      <c r="CS1" s="385"/>
      <c r="CT1" s="385"/>
      <c r="CU1" s="385"/>
      <c r="CV1" s="385"/>
      <c r="CW1" s="385"/>
      <c r="CX1" s="387"/>
      <c r="CY1" s="384" t="s">
        <v>19</v>
      </c>
      <c r="CZ1" s="385"/>
      <c r="DA1" s="385"/>
      <c r="DB1" s="385"/>
      <c r="DC1" s="385"/>
      <c r="DD1" s="385"/>
      <c r="DE1" s="172"/>
      <c r="DF1" s="173"/>
      <c r="DG1" s="174"/>
      <c r="DH1" s="261"/>
      <c r="DI1" s="261"/>
      <c r="DJ1" s="261"/>
      <c r="DK1" s="261"/>
      <c r="DL1" s="261"/>
      <c r="DM1" s="261"/>
      <c r="DN1" s="261"/>
      <c r="DO1" s="261"/>
      <c r="DP1" s="261"/>
      <c r="DQ1" s="261"/>
      <c r="DR1" s="261"/>
      <c r="DS1" s="261"/>
      <c r="DT1" s="261"/>
      <c r="DU1" s="261"/>
      <c r="DV1" s="261"/>
      <c r="DW1" s="261"/>
      <c r="DX1" s="261"/>
      <c r="DY1" s="261"/>
    </row>
    <row r="2" spans="1:129" ht="91" customHeight="1" x14ac:dyDescent="0.2">
      <c r="A2" s="280" t="s">
        <v>78</v>
      </c>
      <c r="B2" s="280"/>
      <c r="C2" s="298" t="s">
        <v>56</v>
      </c>
      <c r="D2" s="65" t="s">
        <v>55</v>
      </c>
      <c r="E2" s="65" t="s">
        <v>52</v>
      </c>
      <c r="F2" s="119" t="s">
        <v>53</v>
      </c>
      <c r="G2" s="120" t="s">
        <v>54</v>
      </c>
      <c r="H2" s="120" t="s">
        <v>57</v>
      </c>
      <c r="I2" s="119" t="s">
        <v>58</v>
      </c>
      <c r="J2" s="120" t="s">
        <v>59</v>
      </c>
      <c r="K2" s="65" t="s">
        <v>35</v>
      </c>
      <c r="L2" s="65" t="s">
        <v>60</v>
      </c>
      <c r="M2" s="65" t="s">
        <v>56</v>
      </c>
      <c r="N2" s="65" t="s">
        <v>55</v>
      </c>
      <c r="O2" s="65" t="s">
        <v>52</v>
      </c>
      <c r="P2" s="119" t="s">
        <v>53</v>
      </c>
      <c r="Q2" s="120" t="s">
        <v>54</v>
      </c>
      <c r="R2" s="120" t="s">
        <v>57</v>
      </c>
      <c r="S2" s="119" t="s">
        <v>58</v>
      </c>
      <c r="T2" s="120" t="s">
        <v>59</v>
      </c>
      <c r="U2" s="65" t="s">
        <v>35</v>
      </c>
      <c r="V2" s="65" t="s">
        <v>60</v>
      </c>
      <c r="W2" s="65" t="s">
        <v>56</v>
      </c>
      <c r="X2" s="65" t="s">
        <v>55</v>
      </c>
      <c r="Y2" s="65" t="s">
        <v>52</v>
      </c>
      <c r="Z2" s="119" t="s">
        <v>53</v>
      </c>
      <c r="AA2" s="120" t="s">
        <v>54</v>
      </c>
      <c r="AB2" s="120" t="s">
        <v>57</v>
      </c>
      <c r="AC2" s="119" t="s">
        <v>58</v>
      </c>
      <c r="AD2" s="120" t="s">
        <v>59</v>
      </c>
      <c r="AE2" s="65" t="s">
        <v>35</v>
      </c>
      <c r="AF2" s="65" t="s">
        <v>60</v>
      </c>
      <c r="AG2" s="65" t="s">
        <v>56</v>
      </c>
      <c r="AH2" s="65" t="s">
        <v>55</v>
      </c>
      <c r="AI2" s="65" t="s">
        <v>52</v>
      </c>
      <c r="AJ2" s="119" t="s">
        <v>53</v>
      </c>
      <c r="AK2" s="120" t="s">
        <v>54</v>
      </c>
      <c r="AL2" s="120" t="s">
        <v>57</v>
      </c>
      <c r="AM2" s="119" t="s">
        <v>58</v>
      </c>
      <c r="AN2" s="120" t="s">
        <v>59</v>
      </c>
      <c r="AO2" s="65" t="s">
        <v>35</v>
      </c>
      <c r="AP2" s="65" t="s">
        <v>60</v>
      </c>
      <c r="AQ2" s="65" t="s">
        <v>56</v>
      </c>
      <c r="AR2" s="65" t="s">
        <v>55</v>
      </c>
      <c r="AS2" s="65" t="s">
        <v>52</v>
      </c>
      <c r="AT2" s="119" t="s">
        <v>53</v>
      </c>
      <c r="AU2" s="120" t="s">
        <v>54</v>
      </c>
      <c r="AV2" s="120" t="s">
        <v>57</v>
      </c>
      <c r="AW2" s="119" t="s">
        <v>58</v>
      </c>
      <c r="AX2" s="120" t="s">
        <v>59</v>
      </c>
      <c r="AY2" s="65" t="s">
        <v>35</v>
      </c>
      <c r="AZ2" s="65" t="s">
        <v>60</v>
      </c>
      <c r="BA2" s="65" t="s">
        <v>56</v>
      </c>
      <c r="BB2" s="65" t="s">
        <v>55</v>
      </c>
      <c r="BC2" s="65" t="s">
        <v>52</v>
      </c>
      <c r="BD2" s="119" t="s">
        <v>53</v>
      </c>
      <c r="BE2" s="120" t="s">
        <v>54</v>
      </c>
      <c r="BF2" s="120" t="s">
        <v>57</v>
      </c>
      <c r="BG2" s="119" t="s">
        <v>58</v>
      </c>
      <c r="BH2" s="120" t="s">
        <v>59</v>
      </c>
      <c r="BI2" s="65" t="s">
        <v>35</v>
      </c>
      <c r="BJ2" s="65" t="s">
        <v>60</v>
      </c>
      <c r="BK2" s="65" t="s">
        <v>56</v>
      </c>
      <c r="BL2" s="65" t="s">
        <v>55</v>
      </c>
      <c r="BM2" s="65" t="s">
        <v>52</v>
      </c>
      <c r="BN2" s="119" t="s">
        <v>53</v>
      </c>
      <c r="BO2" s="120" t="s">
        <v>54</v>
      </c>
      <c r="BP2" s="120" t="s">
        <v>57</v>
      </c>
      <c r="BQ2" s="119" t="s">
        <v>58</v>
      </c>
      <c r="BR2" s="120" t="s">
        <v>59</v>
      </c>
      <c r="BS2" s="65" t="s">
        <v>35</v>
      </c>
      <c r="BT2" s="65" t="s">
        <v>60</v>
      </c>
      <c r="BU2" s="65" t="s">
        <v>56</v>
      </c>
      <c r="BV2" s="65" t="s">
        <v>55</v>
      </c>
      <c r="BW2" s="65" t="s">
        <v>52</v>
      </c>
      <c r="BX2" s="119" t="s">
        <v>53</v>
      </c>
      <c r="BY2" s="120" t="s">
        <v>54</v>
      </c>
      <c r="BZ2" s="120" t="s">
        <v>57</v>
      </c>
      <c r="CA2" s="119" t="s">
        <v>58</v>
      </c>
      <c r="CB2" s="120" t="s">
        <v>59</v>
      </c>
      <c r="CC2" s="65" t="s">
        <v>35</v>
      </c>
      <c r="CD2" s="65" t="s">
        <v>60</v>
      </c>
      <c r="CE2" s="65" t="s">
        <v>56</v>
      </c>
      <c r="CF2" s="65" t="s">
        <v>55</v>
      </c>
      <c r="CG2" s="65" t="s">
        <v>52</v>
      </c>
      <c r="CH2" s="119" t="s">
        <v>53</v>
      </c>
      <c r="CI2" s="120" t="s">
        <v>54</v>
      </c>
      <c r="CJ2" s="120" t="s">
        <v>57</v>
      </c>
      <c r="CK2" s="119" t="s">
        <v>58</v>
      </c>
      <c r="CL2" s="120" t="s">
        <v>59</v>
      </c>
      <c r="CM2" s="65" t="s">
        <v>35</v>
      </c>
      <c r="CN2" s="65" t="s">
        <v>60</v>
      </c>
      <c r="CO2" s="65" t="s">
        <v>56</v>
      </c>
      <c r="CP2" s="65" t="s">
        <v>55</v>
      </c>
      <c r="CQ2" s="65" t="s">
        <v>52</v>
      </c>
      <c r="CR2" s="119" t="s">
        <v>53</v>
      </c>
      <c r="CS2" s="120" t="s">
        <v>54</v>
      </c>
      <c r="CT2" s="120" t="s">
        <v>57</v>
      </c>
      <c r="CU2" s="119" t="s">
        <v>58</v>
      </c>
      <c r="CV2" s="120" t="s">
        <v>59</v>
      </c>
      <c r="CW2" s="65" t="s">
        <v>35</v>
      </c>
      <c r="CX2" s="65" t="s">
        <v>60</v>
      </c>
      <c r="CY2" s="65" t="s">
        <v>56</v>
      </c>
      <c r="CZ2" s="65" t="s">
        <v>55</v>
      </c>
      <c r="DA2" s="65" t="s">
        <v>52</v>
      </c>
      <c r="DB2" s="119" t="s">
        <v>53</v>
      </c>
      <c r="DC2" s="120" t="s">
        <v>54</v>
      </c>
      <c r="DD2" s="238" t="s">
        <v>35</v>
      </c>
      <c r="DE2" s="268"/>
      <c r="DF2" s="268"/>
      <c r="DG2" s="268"/>
      <c r="DH2" s="170"/>
      <c r="DI2" s="170"/>
      <c r="DJ2" s="170"/>
      <c r="DK2" s="170"/>
      <c r="DL2" s="170"/>
      <c r="DM2" s="170"/>
      <c r="DN2" s="170"/>
      <c r="DO2" s="170"/>
      <c r="DP2" s="170"/>
      <c r="DQ2" s="170"/>
      <c r="DR2" s="170"/>
      <c r="DS2" s="170"/>
      <c r="DT2" s="170"/>
      <c r="DU2" s="170"/>
      <c r="DV2" s="170"/>
      <c r="DW2" s="170"/>
      <c r="DX2" s="170"/>
      <c r="DY2" s="170"/>
    </row>
    <row r="3" spans="1:129" s="168" customFormat="1" x14ac:dyDescent="0.2">
      <c r="A3" s="391" t="s">
        <v>20</v>
      </c>
      <c r="B3" s="314" t="s">
        <v>31</v>
      </c>
      <c r="C3" s="315">
        <v>15492</v>
      </c>
      <c r="D3" s="316">
        <v>14785</v>
      </c>
      <c r="E3" s="317">
        <v>1836</v>
      </c>
      <c r="F3" s="318">
        <v>1773</v>
      </c>
      <c r="G3" s="319">
        <f>F3/D3</f>
        <v>0.11991883665877578</v>
      </c>
      <c r="H3" s="320">
        <f>D3-N3</f>
        <v>1939</v>
      </c>
      <c r="I3" s="321">
        <f>F3-P3</f>
        <v>211</v>
      </c>
      <c r="J3" s="322">
        <f>I3/H3</f>
        <v>0.10881897885507993</v>
      </c>
      <c r="K3" s="323">
        <v>6.34722309362502E-3</v>
      </c>
      <c r="L3" s="323">
        <v>0.92756038759696602</v>
      </c>
      <c r="M3" s="315">
        <v>13854</v>
      </c>
      <c r="N3" s="324">
        <v>12846</v>
      </c>
      <c r="O3" s="317">
        <v>1698</v>
      </c>
      <c r="P3" s="318">
        <v>1562</v>
      </c>
      <c r="Q3" s="319">
        <f>P3/N3</f>
        <v>0.12159427059006694</v>
      </c>
      <c r="R3" s="325">
        <f>N3-X3</f>
        <v>2349</v>
      </c>
      <c r="S3" s="326">
        <f>P3-Z3</f>
        <v>200</v>
      </c>
      <c r="T3" s="327">
        <f>S3/R3</f>
        <v>8.5142613878246065E-2</v>
      </c>
      <c r="U3" s="328">
        <v>0.90070707185265098</v>
      </c>
      <c r="V3" s="329">
        <v>0.99999999989180099</v>
      </c>
      <c r="W3" s="315">
        <v>11258</v>
      </c>
      <c r="X3" s="316">
        <v>10497</v>
      </c>
      <c r="Y3" s="317">
        <v>1449</v>
      </c>
      <c r="Z3" s="318">
        <v>1362</v>
      </c>
      <c r="AA3" s="319">
        <f>Z3/X3</f>
        <v>0.12975135753072306</v>
      </c>
      <c r="AB3" s="320">
        <f>X3-AH3</f>
        <v>1476</v>
      </c>
      <c r="AC3" s="330">
        <f>Z3-AJ3</f>
        <v>236</v>
      </c>
      <c r="AD3" s="322">
        <f>AC3/AB3</f>
        <v>0.15989159891598917</v>
      </c>
      <c r="AE3" s="331">
        <v>0.119776245086106</v>
      </c>
      <c r="AF3" s="332">
        <v>1.0591209406662E-4</v>
      </c>
      <c r="AG3" s="315">
        <v>10985</v>
      </c>
      <c r="AH3" s="316">
        <v>9021</v>
      </c>
      <c r="AI3" s="317">
        <v>1223</v>
      </c>
      <c r="AJ3" s="318">
        <v>1126</v>
      </c>
      <c r="AK3" s="319">
        <f>AJ3/AH3</f>
        <v>0.12481986476000444</v>
      </c>
      <c r="AL3" s="320">
        <f>AH3-AR3</f>
        <v>773</v>
      </c>
      <c r="AM3" s="330">
        <f>AJ3-AT3</f>
        <v>205</v>
      </c>
      <c r="AN3" s="322">
        <f>AM3/AL3</f>
        <v>0.2652005174644243</v>
      </c>
      <c r="AO3" s="332">
        <v>9.0693157800506403E-26</v>
      </c>
      <c r="AP3" s="332">
        <v>1.5605935326342901E-35</v>
      </c>
      <c r="AQ3" s="315">
        <v>9523</v>
      </c>
      <c r="AR3" s="316">
        <v>8248</v>
      </c>
      <c r="AS3" s="317">
        <v>1098</v>
      </c>
      <c r="AT3" s="318">
        <v>921</v>
      </c>
      <c r="AU3" s="319">
        <f>AT3/AR3</f>
        <v>0.11166343355965082</v>
      </c>
      <c r="AV3" s="320">
        <f>AR3-BB3</f>
        <v>1351</v>
      </c>
      <c r="AW3" s="330">
        <f>AT3-BD3</f>
        <v>156</v>
      </c>
      <c r="AX3" s="322">
        <f>AW3/AV3</f>
        <v>0.1154700222057735</v>
      </c>
      <c r="AY3" s="333">
        <v>0.99755883680238999</v>
      </c>
      <c r="AZ3" s="331">
        <v>0.50653355845063897</v>
      </c>
      <c r="BA3" s="315">
        <v>7653</v>
      </c>
      <c r="BB3" s="316">
        <v>6897</v>
      </c>
      <c r="BC3" s="317">
        <v>856</v>
      </c>
      <c r="BD3" s="318">
        <v>765</v>
      </c>
      <c r="BE3" s="319">
        <f>BD3/BB3</f>
        <v>0.11091779034362767</v>
      </c>
      <c r="BF3" s="320">
        <f>BB3-BL3</f>
        <v>2686</v>
      </c>
      <c r="BG3" s="330">
        <f>BD3-BN3</f>
        <v>263</v>
      </c>
      <c r="BH3" s="327">
        <f>BG3/BF3</f>
        <v>9.7915115413253914E-2</v>
      </c>
      <c r="BI3" s="323">
        <v>0.80158996910149904</v>
      </c>
      <c r="BJ3" s="323">
        <v>0.99817118733332999</v>
      </c>
      <c r="BK3" s="315">
        <v>5634</v>
      </c>
      <c r="BL3" s="316">
        <v>4211</v>
      </c>
      <c r="BM3" s="317">
        <v>673</v>
      </c>
      <c r="BN3" s="318">
        <v>502</v>
      </c>
      <c r="BO3" s="319">
        <f>BN3/BL3</f>
        <v>0.11921158869627167</v>
      </c>
      <c r="BP3" s="320">
        <f>BL3-BV3</f>
        <v>2130</v>
      </c>
      <c r="BQ3" s="330">
        <f>BN3-BX3</f>
        <v>159</v>
      </c>
      <c r="BR3" s="327">
        <f>BQ3/BP3</f>
        <v>7.464788732394366E-2</v>
      </c>
      <c r="BS3" s="323">
        <v>0.55934529793982402</v>
      </c>
      <c r="BT3" s="334">
        <v>1</v>
      </c>
      <c r="BU3" s="315">
        <v>4321</v>
      </c>
      <c r="BV3" s="316">
        <v>2081</v>
      </c>
      <c r="BW3" s="317">
        <v>435</v>
      </c>
      <c r="BX3" s="318">
        <v>343</v>
      </c>
      <c r="BY3" s="319">
        <f>BX3/BW3</f>
        <v>0.78850574712643673</v>
      </c>
      <c r="BZ3" s="320">
        <f>BV3-CF3</f>
        <v>914</v>
      </c>
      <c r="CA3" s="330">
        <f>BX3-CH3</f>
        <v>260</v>
      </c>
      <c r="CB3" s="327">
        <f>CA3/BZ3</f>
        <v>0.28446389496717722</v>
      </c>
      <c r="CC3" s="332">
        <v>1.5173311135363401E-43</v>
      </c>
      <c r="CD3" s="332">
        <v>3.7924564877868099E-78</v>
      </c>
      <c r="CE3" s="315">
        <v>2081</v>
      </c>
      <c r="CF3" s="316">
        <v>1167</v>
      </c>
      <c r="CG3" s="317">
        <v>176</v>
      </c>
      <c r="CH3" s="318">
        <v>83</v>
      </c>
      <c r="CI3" s="319">
        <f>CH3/CF3</f>
        <v>7.1122536418166238E-2</v>
      </c>
      <c r="CJ3" s="320">
        <f>CF3-CP3</f>
        <v>711</v>
      </c>
      <c r="CK3" s="330">
        <f>CH3-CR3</f>
        <v>32</v>
      </c>
      <c r="CL3" s="327">
        <f>CK3/CJ3</f>
        <v>4.5007032348804502E-2</v>
      </c>
      <c r="CM3" s="335">
        <v>0.99480044440980098</v>
      </c>
      <c r="CN3" s="333">
        <v>0.99999969611634099</v>
      </c>
      <c r="CO3" s="315">
        <v>983</v>
      </c>
      <c r="CP3" s="316">
        <v>456</v>
      </c>
      <c r="CQ3" s="317">
        <v>110</v>
      </c>
      <c r="CR3" s="318">
        <v>51</v>
      </c>
      <c r="CS3" s="319">
        <f>CR3/CP3</f>
        <v>0.1118421052631579</v>
      </c>
      <c r="CT3" s="320">
        <f>CP3-CZ3</f>
        <v>291</v>
      </c>
      <c r="CU3" s="330">
        <f>CR3-DB3</f>
        <v>22</v>
      </c>
      <c r="CV3" s="327">
        <f>CU3/CT3</f>
        <v>7.560137457044673E-2</v>
      </c>
      <c r="CW3" s="323">
        <v>0.54183792508319395</v>
      </c>
      <c r="CX3" s="323">
        <v>0.99423749504987002</v>
      </c>
      <c r="CY3" s="315">
        <v>621</v>
      </c>
      <c r="CZ3" s="316">
        <v>165</v>
      </c>
      <c r="DA3" s="317">
        <v>63</v>
      </c>
      <c r="DB3" s="318">
        <v>29</v>
      </c>
      <c r="DC3" s="319">
        <f>DB3/CZ3</f>
        <v>0.17575757575757575</v>
      </c>
      <c r="DD3" s="332">
        <v>3.5149780006213502E-4</v>
      </c>
      <c r="DE3" s="170"/>
      <c r="DF3" s="170" t="s">
        <v>21</v>
      </c>
      <c r="DG3" s="170"/>
      <c r="DH3" s="170"/>
      <c r="DI3" s="170"/>
      <c r="DJ3" s="170"/>
      <c r="DK3" s="170"/>
      <c r="DL3" s="170"/>
      <c r="DM3" s="170"/>
      <c r="DN3" s="170"/>
      <c r="DO3" s="170"/>
      <c r="DP3" s="170"/>
      <c r="DQ3" s="170"/>
      <c r="DR3" s="170"/>
      <c r="DS3" s="170"/>
      <c r="DT3" s="170"/>
      <c r="DU3" s="170"/>
      <c r="DV3" s="170"/>
      <c r="DW3" s="170"/>
      <c r="DX3" s="170"/>
      <c r="DY3" s="170"/>
    </row>
    <row r="4" spans="1:129" s="169" customFormat="1" x14ac:dyDescent="0.2">
      <c r="A4" s="391"/>
      <c r="B4" s="314" t="s">
        <v>32</v>
      </c>
      <c r="C4" s="315">
        <v>10664</v>
      </c>
      <c r="D4" s="316">
        <v>9849</v>
      </c>
      <c r="E4" s="317">
        <v>676</v>
      </c>
      <c r="F4" s="318">
        <v>640</v>
      </c>
      <c r="G4" s="319">
        <f>F4/D4</f>
        <v>6.4981216367143879E-2</v>
      </c>
      <c r="H4" s="320">
        <f>D4-N4</f>
        <v>1577</v>
      </c>
      <c r="I4" s="321">
        <f>F4-P4</f>
        <v>91</v>
      </c>
      <c r="J4" s="322">
        <f>I4/H4</f>
        <v>5.770450221940393E-2</v>
      </c>
      <c r="K4" s="323">
        <v>9.1914990000000005E-3</v>
      </c>
      <c r="L4" s="323">
        <v>0.85579168250000004</v>
      </c>
      <c r="M4" s="315">
        <v>8521</v>
      </c>
      <c r="N4" s="324">
        <v>8272</v>
      </c>
      <c r="O4" s="317">
        <v>592</v>
      </c>
      <c r="P4" s="318">
        <v>549</v>
      </c>
      <c r="Q4" s="319">
        <f>P4/N4</f>
        <v>6.636847195357834E-2</v>
      </c>
      <c r="R4" s="325">
        <f>N4-X4</f>
        <v>2270</v>
      </c>
      <c r="S4" s="326">
        <f>P4-Z4</f>
        <v>114</v>
      </c>
      <c r="T4" s="327">
        <f>S4/R4</f>
        <v>5.0220264317180616E-2</v>
      </c>
      <c r="U4" s="329">
        <v>0.99999999408908602</v>
      </c>
      <c r="V4" s="329">
        <v>0.999994394855656</v>
      </c>
      <c r="W4" s="315">
        <v>7258</v>
      </c>
      <c r="X4" s="316">
        <v>6002</v>
      </c>
      <c r="Y4" s="317">
        <v>487</v>
      </c>
      <c r="Z4" s="318">
        <v>435</v>
      </c>
      <c r="AA4" s="319">
        <f>Z4/X4</f>
        <v>7.2475841386204595E-2</v>
      </c>
      <c r="AB4" s="320">
        <f>X4-AH4</f>
        <v>370</v>
      </c>
      <c r="AC4" s="330">
        <f>Z4-AJ4</f>
        <v>148</v>
      </c>
      <c r="AD4" s="322">
        <f>AC4/AB4</f>
        <v>0.4</v>
      </c>
      <c r="AE4" s="332">
        <v>1.66010021100394E-5</v>
      </c>
      <c r="AF4" s="332">
        <v>1.4667813087908599E-82</v>
      </c>
      <c r="AG4" s="315">
        <v>6213</v>
      </c>
      <c r="AH4" s="316">
        <v>5632</v>
      </c>
      <c r="AI4" s="317">
        <v>321</v>
      </c>
      <c r="AJ4" s="318">
        <v>287</v>
      </c>
      <c r="AK4" s="319">
        <f>AJ4/AH4</f>
        <v>5.0958806818181816E-2</v>
      </c>
      <c r="AL4" s="320">
        <f>AH4-AR4</f>
        <v>1307</v>
      </c>
      <c r="AM4" s="330">
        <f>AJ4-AT4</f>
        <v>100</v>
      </c>
      <c r="AN4" s="322">
        <f>AM4/AL4</f>
        <v>7.6511094108645747E-2</v>
      </c>
      <c r="AO4" s="331">
        <v>0.81275265272951103</v>
      </c>
      <c r="AP4" s="332">
        <v>8.2810827988272402E-6</v>
      </c>
      <c r="AQ4" s="315">
        <v>5124</v>
      </c>
      <c r="AR4" s="316">
        <v>4325</v>
      </c>
      <c r="AS4" s="317">
        <v>234</v>
      </c>
      <c r="AT4" s="318">
        <v>187</v>
      </c>
      <c r="AU4" s="319">
        <f>AT4/AR4</f>
        <v>4.3236994219653178E-2</v>
      </c>
      <c r="AV4" s="320">
        <f>AR4-BB4</f>
        <v>1547</v>
      </c>
      <c r="AW4" s="330">
        <f>AT4-BD4</f>
        <v>90</v>
      </c>
      <c r="AX4" s="322">
        <f>AW4/AV4</f>
        <v>5.8177117000646414E-2</v>
      </c>
      <c r="AY4" s="333">
        <v>0.97610093897958095</v>
      </c>
      <c r="AZ4" s="331">
        <v>3.4732248070470798E-3</v>
      </c>
      <c r="BA4" s="315">
        <v>3987</v>
      </c>
      <c r="BB4" s="316">
        <v>2778</v>
      </c>
      <c r="BC4" s="317">
        <v>186</v>
      </c>
      <c r="BD4" s="318">
        <v>97</v>
      </c>
      <c r="BE4" s="319">
        <f>BD4/BB4</f>
        <v>3.4917206623470122E-2</v>
      </c>
      <c r="BF4" s="320">
        <f>BB4-BL4</f>
        <v>1124</v>
      </c>
      <c r="BG4" s="330">
        <f>BD4-BN4</f>
        <v>41</v>
      </c>
      <c r="BH4" s="327">
        <f>BG4/BF4</f>
        <v>3.6476868327402136E-2</v>
      </c>
      <c r="BI4" s="336">
        <v>0.99999990748692802</v>
      </c>
      <c r="BJ4" s="323">
        <v>0.97883301308505</v>
      </c>
      <c r="BK4" s="315">
        <v>2342</v>
      </c>
      <c r="BL4" s="316">
        <v>1654</v>
      </c>
      <c r="BM4" s="317">
        <v>102</v>
      </c>
      <c r="BN4" s="318">
        <v>56</v>
      </c>
      <c r="BO4" s="319">
        <f>BN4/BL4</f>
        <v>3.3857315598548973E-2</v>
      </c>
      <c r="BP4" s="320">
        <f>BL4-BV4</f>
        <v>746</v>
      </c>
      <c r="BQ4" s="330">
        <f>BN4-BX4</f>
        <v>13</v>
      </c>
      <c r="BR4" s="327">
        <f>BQ4/BP4</f>
        <v>1.7426273458445041E-2</v>
      </c>
      <c r="BS4" s="336">
        <v>0.99980613465192403</v>
      </c>
      <c r="BT4" s="336">
        <v>0.99999865050349901</v>
      </c>
      <c r="BU4" s="315">
        <v>1653</v>
      </c>
      <c r="BV4" s="316">
        <v>908</v>
      </c>
      <c r="BW4" s="317">
        <v>87</v>
      </c>
      <c r="BX4" s="318">
        <v>43</v>
      </c>
      <c r="BY4" s="319">
        <f>BX4/BW4</f>
        <v>0.4942528735632184</v>
      </c>
      <c r="BZ4" s="320">
        <f>BV4-CF4</f>
        <v>576</v>
      </c>
      <c r="CA4" s="330">
        <f>BX4-CH4</f>
        <v>25</v>
      </c>
      <c r="CB4" s="327">
        <f>CA4/BZ4</f>
        <v>4.3402777777777776E-2</v>
      </c>
      <c r="CC4" s="331">
        <v>0.87902913701161201</v>
      </c>
      <c r="CD4" s="331">
        <v>0.91220340031323099</v>
      </c>
      <c r="CE4" s="315">
        <v>1081</v>
      </c>
      <c r="CF4" s="316">
        <v>332</v>
      </c>
      <c r="CG4" s="317">
        <v>42</v>
      </c>
      <c r="CH4" s="318">
        <v>18</v>
      </c>
      <c r="CI4" s="319">
        <f>CH4/CF4</f>
        <v>5.4216867469879519E-2</v>
      </c>
      <c r="CJ4" s="320">
        <f>CF4-CP4</f>
        <v>236</v>
      </c>
      <c r="CK4" s="330">
        <f>CH4-CR4</f>
        <v>11</v>
      </c>
      <c r="CL4" s="327">
        <f>CK4/CJ4</f>
        <v>4.6610169491525424E-2</v>
      </c>
      <c r="CM4" s="335">
        <v>6.0971578284431102E-2</v>
      </c>
      <c r="CN4" s="331">
        <v>0.29770078748604201</v>
      </c>
      <c r="CO4" s="315">
        <v>432</v>
      </c>
      <c r="CP4" s="316">
        <v>96</v>
      </c>
      <c r="CQ4" s="317">
        <v>29</v>
      </c>
      <c r="CR4" s="318">
        <v>7</v>
      </c>
      <c r="CS4" s="319">
        <f>CR4/CP4</f>
        <v>7.2916666666666671E-2</v>
      </c>
      <c r="CT4" s="320">
        <f>CP4-CZ4</f>
        <v>44</v>
      </c>
      <c r="CU4" s="330">
        <f>CR4-DB4</f>
        <v>1</v>
      </c>
      <c r="CV4" s="327">
        <f>CU4/CT4</f>
        <v>2.2727272727272728E-2</v>
      </c>
      <c r="CW4" s="323">
        <v>0.47469360369811098</v>
      </c>
      <c r="CX4" s="323">
        <v>0.960323327418526</v>
      </c>
      <c r="CY4" s="315">
        <v>124</v>
      </c>
      <c r="CZ4" s="316">
        <v>52</v>
      </c>
      <c r="DA4" s="317">
        <v>18</v>
      </c>
      <c r="DB4" s="318">
        <v>6</v>
      </c>
      <c r="DC4" s="319">
        <f>DB4/CZ4</f>
        <v>0.11538461538461539</v>
      </c>
      <c r="DD4" s="331">
        <v>0.85531846268536305</v>
      </c>
      <c r="DE4" s="170"/>
      <c r="DF4" s="170" t="s">
        <v>21</v>
      </c>
      <c r="DG4" s="170"/>
      <c r="DH4" s="170"/>
      <c r="DI4" s="170"/>
      <c r="DJ4" s="170"/>
      <c r="DK4" s="170"/>
      <c r="DL4" s="170"/>
      <c r="DM4" s="170"/>
      <c r="DN4" s="170"/>
      <c r="DO4" s="170"/>
      <c r="DP4" s="170"/>
      <c r="DQ4" s="170"/>
      <c r="DR4" s="170"/>
      <c r="DS4" s="170"/>
      <c r="DT4" s="170"/>
      <c r="DU4" s="170"/>
      <c r="DV4" s="170"/>
      <c r="DW4" s="170"/>
      <c r="DX4" s="170"/>
      <c r="DY4" s="170"/>
    </row>
    <row r="7" spans="1:129" x14ac:dyDescent="0.2">
      <c r="J7" s="170"/>
    </row>
    <row r="8" spans="1:129" x14ac:dyDescent="0.2">
      <c r="K8" s="96"/>
      <c r="AJ8" s="237"/>
      <c r="BM8" s="237"/>
      <c r="BN8" s="237"/>
      <c r="BW8" s="237"/>
    </row>
    <row r="9" spans="1:129" x14ac:dyDescent="0.2">
      <c r="K9" s="97"/>
      <c r="L9" s="97"/>
      <c r="M9" s="97"/>
      <c r="N9" s="97"/>
      <c r="DA9" s="237"/>
      <c r="DB9" s="237"/>
    </row>
    <row r="10" spans="1:129" x14ac:dyDescent="0.2">
      <c r="K10" s="97"/>
      <c r="L10" s="97"/>
      <c r="M10" s="97"/>
      <c r="N10" s="97"/>
    </row>
  </sheetData>
  <customSheetViews>
    <customSheetView guid="{127B6458-1888-E743-A436-D6EF9EF5889D}" scale="120" topLeftCell="CO1">
      <selection activeCell="CS4" sqref="CS4"/>
      <pageMargins left="0.7" right="0.7" top="0.75" bottom="0.75" header="0.3" footer="0.3"/>
    </customSheetView>
  </customSheetViews>
  <mergeCells count="12">
    <mergeCell ref="CY1:DD1"/>
    <mergeCell ref="BA1:BJ1"/>
    <mergeCell ref="C1:L1"/>
    <mergeCell ref="M1:V1"/>
    <mergeCell ref="W1:AF1"/>
    <mergeCell ref="AG1:AP1"/>
    <mergeCell ref="AQ1:AZ1"/>
    <mergeCell ref="A3:A4"/>
    <mergeCell ref="BK1:BT1"/>
    <mergeCell ref="BU1:CD1"/>
    <mergeCell ref="CE1:CN1"/>
    <mergeCell ref="CO1:CX1"/>
  </mergeCells>
  <phoneticPr fontId="4" type="noConversion"/>
  <conditionalFormatting sqref="DD3:DD4 CW3:CX4 CM3:CN4 CC3:CD4 BS3:BT4 BI3:BJ4 AY3:AZ4 AO3:AP4 AE3:AF4 U3:V4 K3:L4">
    <cfRule type="cellIs" dxfId="155" priority="5" operator="greaterThan">
      <formula>0.05</formula>
    </cfRule>
  </conditionalFormatting>
  <conditionalFormatting sqref="DD3 CC3:CD3 AZ4 AO3:AP3 AP4 AF3:AF4 AE4 K3">
    <cfRule type="cellIs" dxfId="154" priority="4" operator="lessThan">
      <formula>0.05</formula>
    </cfRule>
  </conditionalFormatting>
  <conditionalFormatting sqref="K4">
    <cfRule type="cellIs" dxfId="153" priority="1" operator="lessThan">
      <formula>0.05</formula>
    </cfRule>
  </conditionalFormatting>
  <pageMargins left="0.7" right="0.7" top="0.75" bottom="0.75" header="0.3" footer="0.3"/>
  <pageSetup paperSize="9"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4"/>
  <sheetViews>
    <sheetView topLeftCell="A8" zoomScale="111" zoomScaleNormal="111" zoomScalePageLayoutView="111" workbookViewId="0">
      <selection activeCell="H18" sqref="H18"/>
    </sheetView>
  </sheetViews>
  <sheetFormatPr baseColWidth="10" defaultColWidth="15.83203125" defaultRowHeight="16" x14ac:dyDescent="0.2"/>
  <cols>
    <col min="1" max="16384" width="15.83203125" style="3"/>
  </cols>
  <sheetData>
    <row r="1" spans="1:57" s="175" customFormat="1" x14ac:dyDescent="0.2">
      <c r="A1" s="171"/>
      <c r="B1" s="171"/>
      <c r="C1" s="392" t="s">
        <v>37</v>
      </c>
      <c r="D1" s="392"/>
      <c r="E1" s="392"/>
      <c r="F1" s="392"/>
      <c r="G1" s="392"/>
      <c r="H1" s="403" t="s">
        <v>38</v>
      </c>
      <c r="I1" s="403"/>
      <c r="J1" s="403"/>
      <c r="K1" s="403"/>
      <c r="L1" s="403"/>
      <c r="M1" s="403" t="s">
        <v>39</v>
      </c>
      <c r="N1" s="403"/>
      <c r="O1" s="403"/>
      <c r="P1" s="403"/>
      <c r="Q1" s="403"/>
      <c r="R1" s="403" t="s">
        <v>30</v>
      </c>
      <c r="S1" s="403"/>
      <c r="T1" s="403"/>
      <c r="U1" s="403"/>
      <c r="V1" s="403"/>
      <c r="W1" s="403" t="s">
        <v>40</v>
      </c>
      <c r="X1" s="403"/>
      <c r="Y1" s="403"/>
      <c r="Z1" s="403"/>
      <c r="AA1" s="403"/>
      <c r="AB1" s="403" t="s">
        <v>41</v>
      </c>
      <c r="AC1" s="403"/>
      <c r="AD1" s="403"/>
      <c r="AE1" s="403"/>
      <c r="AF1" s="403"/>
      <c r="AG1" s="403" t="s">
        <v>42</v>
      </c>
      <c r="AH1" s="403"/>
      <c r="AI1" s="403"/>
      <c r="AJ1" s="403"/>
      <c r="AK1" s="403"/>
      <c r="AL1" s="403" t="s">
        <v>43</v>
      </c>
      <c r="AM1" s="403"/>
      <c r="AN1" s="403"/>
      <c r="AO1" s="403"/>
      <c r="AP1" s="403"/>
      <c r="AQ1" s="403" t="s">
        <v>44</v>
      </c>
      <c r="AR1" s="403"/>
      <c r="AS1" s="403"/>
      <c r="AT1" s="403"/>
      <c r="AU1" s="403"/>
      <c r="AV1" s="403" t="s">
        <v>45</v>
      </c>
      <c r="AW1" s="403"/>
      <c r="AX1" s="403"/>
      <c r="AY1" s="403"/>
      <c r="AZ1" s="403"/>
      <c r="BA1" s="403" t="s">
        <v>36</v>
      </c>
      <c r="BB1" s="403"/>
      <c r="BC1" s="403"/>
      <c r="BD1" s="403"/>
      <c r="BE1" s="403"/>
    </row>
    <row r="2" spans="1:57" s="92" customFormat="1" ht="144" x14ac:dyDescent="0.2">
      <c r="A2" s="300" t="s">
        <v>79</v>
      </c>
      <c r="B2" s="281"/>
      <c r="C2" s="298" t="s">
        <v>62</v>
      </c>
      <c r="D2" s="65" t="s">
        <v>63</v>
      </c>
      <c r="E2" s="65" t="s">
        <v>61</v>
      </c>
      <c r="F2" s="65" t="s">
        <v>64</v>
      </c>
      <c r="G2" s="65" t="s">
        <v>35</v>
      </c>
      <c r="H2" s="65" t="s">
        <v>62</v>
      </c>
      <c r="I2" s="65" t="s">
        <v>63</v>
      </c>
      <c r="J2" s="65" t="s">
        <v>61</v>
      </c>
      <c r="K2" s="65" t="s">
        <v>64</v>
      </c>
      <c r="L2" s="65" t="s">
        <v>35</v>
      </c>
      <c r="M2" s="65" t="s">
        <v>62</v>
      </c>
      <c r="N2" s="65" t="s">
        <v>63</v>
      </c>
      <c r="O2" s="65" t="s">
        <v>61</v>
      </c>
      <c r="P2" s="65" t="s">
        <v>64</v>
      </c>
      <c r="Q2" s="65" t="s">
        <v>35</v>
      </c>
      <c r="R2" s="65" t="s">
        <v>62</v>
      </c>
      <c r="S2" s="65" t="s">
        <v>63</v>
      </c>
      <c r="T2" s="65" t="s">
        <v>61</v>
      </c>
      <c r="U2" s="65" t="s">
        <v>64</v>
      </c>
      <c r="V2" s="65" t="s">
        <v>35</v>
      </c>
      <c r="W2" s="65" t="s">
        <v>62</v>
      </c>
      <c r="X2" s="65" t="s">
        <v>63</v>
      </c>
      <c r="Y2" s="65" t="s">
        <v>61</v>
      </c>
      <c r="Z2" s="65" t="s">
        <v>64</v>
      </c>
      <c r="AA2" s="65" t="s">
        <v>35</v>
      </c>
      <c r="AB2" s="65" t="s">
        <v>62</v>
      </c>
      <c r="AC2" s="65" t="s">
        <v>63</v>
      </c>
      <c r="AD2" s="65" t="s">
        <v>61</v>
      </c>
      <c r="AE2" s="65" t="s">
        <v>64</v>
      </c>
      <c r="AF2" s="65" t="s">
        <v>35</v>
      </c>
      <c r="AG2" s="65" t="s">
        <v>62</v>
      </c>
      <c r="AH2" s="65" t="s">
        <v>63</v>
      </c>
      <c r="AI2" s="65" t="s">
        <v>61</v>
      </c>
      <c r="AJ2" s="65" t="s">
        <v>64</v>
      </c>
      <c r="AK2" s="65" t="s">
        <v>35</v>
      </c>
      <c r="AL2" s="65" t="s">
        <v>62</v>
      </c>
      <c r="AM2" s="65" t="s">
        <v>63</v>
      </c>
      <c r="AN2" s="65" t="s">
        <v>61</v>
      </c>
      <c r="AO2" s="65" t="s">
        <v>64</v>
      </c>
      <c r="AP2" s="65" t="s">
        <v>35</v>
      </c>
      <c r="AQ2" s="65" t="s">
        <v>62</v>
      </c>
      <c r="AR2" s="65" t="s">
        <v>63</v>
      </c>
      <c r="AS2" s="65" t="s">
        <v>61</v>
      </c>
      <c r="AT2" s="65" t="s">
        <v>64</v>
      </c>
      <c r="AU2" s="65" t="s">
        <v>35</v>
      </c>
      <c r="AV2" s="65" t="s">
        <v>62</v>
      </c>
      <c r="AW2" s="65" t="s">
        <v>63</v>
      </c>
      <c r="AX2" s="65" t="s">
        <v>61</v>
      </c>
      <c r="AY2" s="65" t="s">
        <v>64</v>
      </c>
      <c r="AZ2" s="65" t="s">
        <v>35</v>
      </c>
      <c r="BA2" s="65" t="s">
        <v>62</v>
      </c>
      <c r="BB2" s="65" t="s">
        <v>63</v>
      </c>
      <c r="BC2" s="65" t="s">
        <v>61</v>
      </c>
      <c r="BD2" s="65" t="s">
        <v>64</v>
      </c>
      <c r="BE2" s="65" t="s">
        <v>35</v>
      </c>
    </row>
    <row r="3" spans="1:57" s="90" customFormat="1" x14ac:dyDescent="0.2">
      <c r="A3" s="386" t="s">
        <v>2</v>
      </c>
      <c r="B3" s="281" t="s">
        <v>1</v>
      </c>
      <c r="C3" s="299">
        <f>97+E3</f>
        <v>153</v>
      </c>
      <c r="D3" s="270">
        <f>47+F3</f>
        <v>82</v>
      </c>
      <c r="E3" s="271">
        <v>56</v>
      </c>
      <c r="F3" s="272">
        <v>35</v>
      </c>
      <c r="G3" s="273">
        <v>6.5171980250724695E-2</v>
      </c>
      <c r="H3" s="269">
        <f>84+J3</f>
        <v>133</v>
      </c>
      <c r="I3" s="270">
        <f>55+K3</f>
        <v>86</v>
      </c>
      <c r="J3" s="271">
        <v>49</v>
      </c>
      <c r="K3" s="272">
        <v>31</v>
      </c>
      <c r="L3" s="273">
        <v>0.67323470844177102</v>
      </c>
      <c r="M3" s="269">
        <f>60+O3</f>
        <v>102</v>
      </c>
      <c r="N3" s="270">
        <f>41+P3</f>
        <v>70</v>
      </c>
      <c r="O3" s="271">
        <v>42</v>
      </c>
      <c r="P3" s="272">
        <v>29</v>
      </c>
      <c r="Q3" s="273">
        <v>0.55756899534988502</v>
      </c>
      <c r="R3" s="269">
        <f>38+47</f>
        <v>85</v>
      </c>
      <c r="S3" s="270">
        <f>34+28</f>
        <v>62</v>
      </c>
      <c r="T3" s="271">
        <v>38</v>
      </c>
      <c r="U3" s="272">
        <v>28</v>
      </c>
      <c r="V3" s="273">
        <v>0.54405776587749899</v>
      </c>
      <c r="W3" s="269">
        <f>34+Y3</f>
        <v>57</v>
      </c>
      <c r="X3" s="270">
        <f>23+Z3</f>
        <v>36</v>
      </c>
      <c r="Y3" s="271">
        <v>23</v>
      </c>
      <c r="Z3" s="272">
        <v>13</v>
      </c>
      <c r="AA3" s="274">
        <v>0.87145147730629202</v>
      </c>
      <c r="AB3" s="269">
        <f>23+AD3</f>
        <v>38</v>
      </c>
      <c r="AC3" s="270">
        <f>17+AE3</f>
        <v>26</v>
      </c>
      <c r="AD3" s="271">
        <v>15</v>
      </c>
      <c r="AE3" s="272">
        <v>9</v>
      </c>
      <c r="AF3" s="273">
        <v>0.89541226104728</v>
      </c>
      <c r="AG3" s="269">
        <f>16+AI3</f>
        <v>25</v>
      </c>
      <c r="AH3" s="270">
        <f>13+AI3</f>
        <v>22</v>
      </c>
      <c r="AI3" s="271">
        <v>9</v>
      </c>
      <c r="AJ3" s="272">
        <v>7</v>
      </c>
      <c r="AK3" s="273">
        <v>0.96347826086956501</v>
      </c>
      <c r="AL3" s="269">
        <f>19+AN3</f>
        <v>27</v>
      </c>
      <c r="AM3" s="270">
        <f>16+AO3</f>
        <v>23</v>
      </c>
      <c r="AN3" s="271">
        <v>8</v>
      </c>
      <c r="AO3" s="272">
        <v>7</v>
      </c>
      <c r="AP3" s="274">
        <v>0.66256410256410203</v>
      </c>
      <c r="AQ3" s="269">
        <v>34</v>
      </c>
      <c r="AR3" s="270">
        <v>29</v>
      </c>
      <c r="AS3" s="271">
        <v>9</v>
      </c>
      <c r="AT3" s="272">
        <v>8</v>
      </c>
      <c r="AU3" s="273">
        <v>0.600094876660341</v>
      </c>
      <c r="AV3" s="269">
        <v>26</v>
      </c>
      <c r="AW3" s="270">
        <v>16</v>
      </c>
      <c r="AX3" s="271">
        <v>6</v>
      </c>
      <c r="AY3" s="272">
        <v>5</v>
      </c>
      <c r="AZ3" s="274">
        <v>0.22450592885375401</v>
      </c>
      <c r="BA3" s="269">
        <v>23</v>
      </c>
      <c r="BB3" s="270">
        <v>12</v>
      </c>
      <c r="BC3" s="271">
        <v>5</v>
      </c>
      <c r="BD3" s="272">
        <v>4</v>
      </c>
      <c r="BE3" s="274">
        <v>0.185354691075514</v>
      </c>
    </row>
    <row r="4" spans="1:57" s="90" customFormat="1" x14ac:dyDescent="0.2">
      <c r="A4" s="386"/>
      <c r="B4" s="281" t="s">
        <v>0</v>
      </c>
      <c r="C4" s="299">
        <f>145+E4</f>
        <v>201</v>
      </c>
      <c r="D4" s="270">
        <f>43+F4</f>
        <v>78</v>
      </c>
      <c r="E4" s="271">
        <v>56</v>
      </c>
      <c r="F4" s="272">
        <v>35</v>
      </c>
      <c r="G4" s="275">
        <v>2.1197272423709598E-5</v>
      </c>
      <c r="H4" s="269">
        <f>137+J4</f>
        <v>186</v>
      </c>
      <c r="I4" s="270">
        <f>49+K4</f>
        <v>80</v>
      </c>
      <c r="J4" s="271">
        <v>49</v>
      </c>
      <c r="K4" s="272">
        <v>31</v>
      </c>
      <c r="L4" s="275">
        <v>7.8041218401293496E-4</v>
      </c>
      <c r="M4" s="269">
        <f>56+O4</f>
        <v>98</v>
      </c>
      <c r="N4" s="270">
        <f>32+P4</f>
        <v>61</v>
      </c>
      <c r="O4" s="271">
        <v>42</v>
      </c>
      <c r="P4" s="272">
        <v>29</v>
      </c>
      <c r="Q4" s="273">
        <v>0.16051312252049799</v>
      </c>
      <c r="R4" s="269">
        <f>38+38</f>
        <v>76</v>
      </c>
      <c r="S4" s="270">
        <f>23+28</f>
        <v>51</v>
      </c>
      <c r="T4" s="271">
        <v>38</v>
      </c>
      <c r="U4" s="272">
        <v>28</v>
      </c>
      <c r="V4" s="273">
        <v>0.16444612490299701</v>
      </c>
      <c r="W4" s="269">
        <f>29+Y4</f>
        <v>52</v>
      </c>
      <c r="X4" s="270">
        <f>16+Z4</f>
        <v>29</v>
      </c>
      <c r="Y4" s="271">
        <v>23</v>
      </c>
      <c r="Z4" s="272">
        <v>13</v>
      </c>
      <c r="AA4" s="274">
        <v>0.57325768450721204</v>
      </c>
      <c r="AB4" s="269">
        <f>19+AD4</f>
        <v>34</v>
      </c>
      <c r="AC4" s="270">
        <f>10+AE4</f>
        <v>19</v>
      </c>
      <c r="AD4" s="271">
        <v>15</v>
      </c>
      <c r="AE4" s="272">
        <v>9</v>
      </c>
      <c r="AF4" s="273">
        <v>0.46815805806774002</v>
      </c>
      <c r="AG4" s="269">
        <f>11+AI4</f>
        <v>20</v>
      </c>
      <c r="AH4" s="270">
        <f>9+AI4</f>
        <v>18</v>
      </c>
      <c r="AI4" s="271">
        <v>9</v>
      </c>
      <c r="AJ4" s="272">
        <v>7</v>
      </c>
      <c r="AK4" s="273">
        <v>1</v>
      </c>
      <c r="AL4" s="269">
        <f>11+AN4</f>
        <v>19</v>
      </c>
      <c r="AM4" s="270">
        <f>9+AO4</f>
        <v>16</v>
      </c>
      <c r="AN4" s="271">
        <v>8</v>
      </c>
      <c r="AO4" s="272">
        <v>7</v>
      </c>
      <c r="AP4" s="274">
        <v>0.62435500515995801</v>
      </c>
      <c r="AQ4" s="269">
        <v>27</v>
      </c>
      <c r="AR4" s="270">
        <v>19</v>
      </c>
      <c r="AS4" s="271">
        <v>9</v>
      </c>
      <c r="AT4" s="272">
        <v>8</v>
      </c>
      <c r="AU4" s="274">
        <v>0.14872200263504601</v>
      </c>
      <c r="AV4" s="269">
        <v>15</v>
      </c>
      <c r="AW4" s="270">
        <v>8</v>
      </c>
      <c r="AX4" s="271">
        <v>6</v>
      </c>
      <c r="AY4" s="272">
        <v>5</v>
      </c>
      <c r="AZ4" s="274">
        <v>8.3916083916083795E-2</v>
      </c>
      <c r="BA4" s="269">
        <v>11</v>
      </c>
      <c r="BB4" s="270">
        <v>7</v>
      </c>
      <c r="BC4" s="271">
        <v>5</v>
      </c>
      <c r="BD4" s="272">
        <v>4</v>
      </c>
      <c r="BE4" s="274">
        <v>0.34848484848484801</v>
      </c>
    </row>
    <row r="5" spans="1:57" s="49" customFormat="1" x14ac:dyDescent="0.2">
      <c r="A5" s="293"/>
      <c r="B5" s="293"/>
      <c r="C5" s="111"/>
      <c r="D5" s="45"/>
      <c r="E5" s="45"/>
      <c r="F5" s="45"/>
      <c r="G5" s="45"/>
      <c r="H5" s="45"/>
      <c r="I5" s="45"/>
      <c r="J5" s="45"/>
      <c r="K5" s="45"/>
      <c r="L5" s="40"/>
      <c r="M5" s="45"/>
      <c r="N5" s="45"/>
      <c r="O5" s="45"/>
      <c r="P5" s="45"/>
      <c r="Q5" s="45"/>
      <c r="R5" s="45"/>
      <c r="S5" s="45"/>
      <c r="T5" s="45"/>
      <c r="U5" s="45"/>
      <c r="V5" s="45"/>
      <c r="W5" s="45"/>
      <c r="X5" s="45"/>
      <c r="Y5" s="45"/>
      <c r="Z5" s="45"/>
      <c r="AA5" s="79"/>
      <c r="AB5" s="45"/>
      <c r="AC5" s="45"/>
      <c r="AD5" s="45"/>
      <c r="AE5" s="45"/>
      <c r="AF5" s="79"/>
      <c r="AG5" s="45"/>
      <c r="AH5" s="45"/>
      <c r="AI5" s="45"/>
      <c r="AJ5" s="45"/>
      <c r="AK5" s="79"/>
      <c r="AL5" s="45"/>
      <c r="AM5" s="45"/>
      <c r="AN5" s="45"/>
      <c r="AO5" s="45"/>
      <c r="AP5" s="79"/>
      <c r="AQ5" s="45"/>
      <c r="AR5" s="45"/>
      <c r="AS5" s="45"/>
      <c r="AT5" s="45"/>
      <c r="AU5" s="79"/>
      <c r="AV5" s="45"/>
      <c r="AW5" s="45"/>
      <c r="AX5" s="45"/>
      <c r="AY5" s="45"/>
      <c r="AZ5" s="79"/>
      <c r="BA5" s="45"/>
      <c r="BB5" s="45"/>
      <c r="BC5" s="45"/>
      <c r="BD5" s="45"/>
      <c r="BE5" s="79"/>
    </row>
    <row r="6" spans="1:57" s="90" customFormat="1" x14ac:dyDescent="0.2">
      <c r="A6" s="386" t="s">
        <v>3</v>
      </c>
      <c r="B6" s="281" t="s">
        <v>1</v>
      </c>
      <c r="C6" s="299">
        <f>100+E6</f>
        <v>135</v>
      </c>
      <c r="D6" s="270">
        <f>12+F6</f>
        <v>27</v>
      </c>
      <c r="E6" s="271">
        <v>35</v>
      </c>
      <c r="F6" s="272">
        <v>15</v>
      </c>
      <c r="G6" s="275">
        <v>2.1844829674995601E-4</v>
      </c>
      <c r="H6" s="269">
        <f>94+J6</f>
        <v>126</v>
      </c>
      <c r="I6" s="270">
        <f>17+K6</f>
        <v>31</v>
      </c>
      <c r="J6" s="271">
        <v>32</v>
      </c>
      <c r="K6" s="272">
        <v>14</v>
      </c>
      <c r="L6" s="275">
        <v>4.72533661624348E-3</v>
      </c>
      <c r="M6" s="269">
        <f>85+O6</f>
        <v>110</v>
      </c>
      <c r="N6" s="270">
        <f>11+P6</f>
        <v>22</v>
      </c>
      <c r="O6" s="271">
        <v>25</v>
      </c>
      <c r="P6" s="272">
        <v>11</v>
      </c>
      <c r="Q6" s="275">
        <v>1.49308250870148E-3</v>
      </c>
      <c r="R6" s="269">
        <f>61+22</f>
        <v>83</v>
      </c>
      <c r="S6" s="270">
        <f>9+11</f>
        <v>20</v>
      </c>
      <c r="T6" s="271">
        <v>22</v>
      </c>
      <c r="U6" s="272">
        <v>11</v>
      </c>
      <c r="V6" s="275">
        <v>1.7571946020612499E-3</v>
      </c>
      <c r="W6" s="269">
        <f>43+Y6</f>
        <v>56</v>
      </c>
      <c r="X6" s="270">
        <f>5+Z6</f>
        <v>9</v>
      </c>
      <c r="Y6" s="271">
        <v>13</v>
      </c>
      <c r="Z6" s="272">
        <v>4</v>
      </c>
      <c r="AA6" s="274">
        <v>0.114819512710744</v>
      </c>
      <c r="AB6" s="269">
        <f>21+AD6</f>
        <v>21</v>
      </c>
      <c r="AC6" s="270">
        <f>4+AE6</f>
        <v>4</v>
      </c>
      <c r="AD6" s="271">
        <v>0</v>
      </c>
      <c r="AE6" s="272">
        <v>0</v>
      </c>
      <c r="AF6" s="273" t="s">
        <v>9</v>
      </c>
      <c r="AG6" s="269">
        <f>14+AI6</f>
        <v>14</v>
      </c>
      <c r="AH6" s="270">
        <f>3+AI6</f>
        <v>3</v>
      </c>
      <c r="AI6" s="271">
        <v>0</v>
      </c>
      <c r="AJ6" s="272">
        <v>0</v>
      </c>
      <c r="AK6" s="274" t="s">
        <v>9</v>
      </c>
      <c r="AL6" s="269">
        <f>13+AN6</f>
        <v>13</v>
      </c>
      <c r="AM6" s="270">
        <f>3+AO6</f>
        <v>3</v>
      </c>
      <c r="AN6" s="271">
        <v>0</v>
      </c>
      <c r="AO6" s="272">
        <v>0</v>
      </c>
      <c r="AP6" s="274" t="s">
        <v>9</v>
      </c>
      <c r="AQ6" s="269">
        <v>17</v>
      </c>
      <c r="AR6" s="270">
        <v>5</v>
      </c>
      <c r="AS6" s="271">
        <v>0</v>
      </c>
      <c r="AT6" s="272">
        <v>0</v>
      </c>
      <c r="AU6" s="274" t="s">
        <v>9</v>
      </c>
      <c r="AV6" s="269">
        <v>13</v>
      </c>
      <c r="AW6" s="270">
        <v>3</v>
      </c>
      <c r="AX6" s="271">
        <v>0</v>
      </c>
      <c r="AY6" s="272">
        <v>0</v>
      </c>
      <c r="AZ6" s="273" t="s">
        <v>9</v>
      </c>
      <c r="BA6" s="269">
        <v>12</v>
      </c>
      <c r="BB6" s="270">
        <v>2</v>
      </c>
      <c r="BC6" s="271">
        <v>0</v>
      </c>
      <c r="BD6" s="272">
        <v>0</v>
      </c>
      <c r="BE6" s="273" t="s">
        <v>9</v>
      </c>
    </row>
    <row r="7" spans="1:57" s="90" customFormat="1" x14ac:dyDescent="0.2">
      <c r="A7" s="386"/>
      <c r="B7" s="281" t="s">
        <v>0</v>
      </c>
      <c r="C7" s="299">
        <f>98+F7</f>
        <v>113</v>
      </c>
      <c r="D7" s="270">
        <f>35+F7</f>
        <v>50</v>
      </c>
      <c r="E7" s="271">
        <v>35</v>
      </c>
      <c r="F7" s="272">
        <v>15</v>
      </c>
      <c r="G7" s="273">
        <v>0.65584736016168899</v>
      </c>
      <c r="H7" s="269">
        <f>95+J7</f>
        <v>127</v>
      </c>
      <c r="I7" s="270">
        <f>40+K7</f>
        <v>54</v>
      </c>
      <c r="J7" s="271">
        <v>32</v>
      </c>
      <c r="K7" s="272">
        <v>14</v>
      </c>
      <c r="L7" s="273">
        <v>0.51542701655286005</v>
      </c>
      <c r="M7" s="269">
        <f>84+O7</f>
        <v>109</v>
      </c>
      <c r="N7" s="270">
        <f>30+P7</f>
        <v>41</v>
      </c>
      <c r="O7" s="271">
        <v>25</v>
      </c>
      <c r="P7" s="272">
        <v>11</v>
      </c>
      <c r="Q7" s="273">
        <v>0.30061891715642503</v>
      </c>
      <c r="R7" s="269">
        <f>64+22</f>
        <v>86</v>
      </c>
      <c r="S7" s="270">
        <f>25+11</f>
        <v>36</v>
      </c>
      <c r="T7" s="271">
        <v>22</v>
      </c>
      <c r="U7" s="272">
        <v>11</v>
      </c>
      <c r="V7" s="273">
        <v>0.25796330098586201</v>
      </c>
      <c r="W7" s="269">
        <f>58+Y7</f>
        <v>71</v>
      </c>
      <c r="X7" s="270">
        <f>22+Z7</f>
        <v>26</v>
      </c>
      <c r="Y7" s="271">
        <v>13</v>
      </c>
      <c r="Z7" s="272">
        <v>4</v>
      </c>
      <c r="AA7" s="274">
        <v>0.78634790001715404</v>
      </c>
      <c r="AB7" s="269">
        <f>28+AD7</f>
        <v>28</v>
      </c>
      <c r="AC7" s="270">
        <f>14+AE7</f>
        <v>14</v>
      </c>
      <c r="AD7" s="271">
        <v>0</v>
      </c>
      <c r="AE7" s="272">
        <v>0</v>
      </c>
      <c r="AF7" s="273" t="s">
        <v>9</v>
      </c>
      <c r="AG7" s="269">
        <f>4+AI7</f>
        <v>4</v>
      </c>
      <c r="AH7" s="270">
        <f>3+AI7</f>
        <v>3</v>
      </c>
      <c r="AI7" s="271">
        <v>0</v>
      </c>
      <c r="AJ7" s="272">
        <v>0</v>
      </c>
      <c r="AK7" s="273" t="s">
        <v>9</v>
      </c>
      <c r="AL7" s="269">
        <f>5+AN7</f>
        <v>5</v>
      </c>
      <c r="AM7" s="270">
        <f>4+AO7</f>
        <v>4</v>
      </c>
      <c r="AN7" s="271">
        <v>0</v>
      </c>
      <c r="AO7" s="272">
        <v>0</v>
      </c>
      <c r="AP7" s="274" t="s">
        <v>9</v>
      </c>
      <c r="AQ7" s="269">
        <v>9</v>
      </c>
      <c r="AR7" s="270">
        <v>6</v>
      </c>
      <c r="AS7" s="271">
        <v>0</v>
      </c>
      <c r="AT7" s="272">
        <v>0</v>
      </c>
      <c r="AU7" s="274" t="s">
        <v>9</v>
      </c>
      <c r="AV7" s="269">
        <v>5</v>
      </c>
      <c r="AW7" s="270">
        <v>4</v>
      </c>
      <c r="AX7" s="271">
        <v>0</v>
      </c>
      <c r="AY7" s="272">
        <v>0</v>
      </c>
      <c r="AZ7" s="273" t="s">
        <v>9</v>
      </c>
      <c r="BA7" s="269">
        <v>3</v>
      </c>
      <c r="BB7" s="270">
        <v>2</v>
      </c>
      <c r="BC7" s="271">
        <v>0</v>
      </c>
      <c r="BD7" s="272">
        <v>0</v>
      </c>
      <c r="BE7" s="273" t="s">
        <v>9</v>
      </c>
    </row>
    <row r="8" spans="1:57" s="49" customFormat="1" x14ac:dyDescent="0.2">
      <c r="A8" s="293"/>
      <c r="B8" s="293"/>
      <c r="C8" s="111"/>
      <c r="D8" s="45"/>
      <c r="E8" s="45"/>
      <c r="F8" s="45"/>
      <c r="G8" s="45"/>
      <c r="H8" s="45"/>
      <c r="I8" s="45"/>
      <c r="J8" s="45"/>
      <c r="K8" s="45"/>
      <c r="L8" s="44"/>
      <c r="M8" s="45"/>
      <c r="N8" s="45"/>
      <c r="O8" s="45"/>
      <c r="P8" s="45"/>
      <c r="Q8" s="45"/>
      <c r="R8" s="45"/>
      <c r="S8" s="45"/>
      <c r="T8" s="45"/>
      <c r="U8" s="45"/>
      <c r="V8" s="45"/>
      <c r="W8" s="45"/>
      <c r="X8" s="45"/>
      <c r="Y8" s="45"/>
      <c r="Z8" s="45"/>
      <c r="AA8" s="79"/>
      <c r="AB8" s="45"/>
      <c r="AC8" s="45"/>
      <c r="AD8" s="45"/>
      <c r="AE8" s="45"/>
      <c r="AF8" s="79"/>
      <c r="AG8" s="45"/>
      <c r="AH8" s="45"/>
      <c r="AI8" s="45"/>
      <c r="AJ8" s="45"/>
      <c r="AK8" s="79"/>
      <c r="AL8" s="45"/>
      <c r="AM8" s="45"/>
      <c r="AN8" s="45"/>
      <c r="AO8" s="45"/>
      <c r="AP8" s="79"/>
      <c r="AQ8" s="45"/>
      <c r="AR8" s="45"/>
      <c r="AS8" s="45"/>
      <c r="AT8" s="45"/>
      <c r="AU8" s="79"/>
      <c r="AV8" s="45"/>
      <c r="AW8" s="45"/>
      <c r="AX8" s="45"/>
      <c r="AY8" s="45"/>
      <c r="AZ8" s="79"/>
      <c r="BA8" s="45"/>
      <c r="BB8" s="45"/>
      <c r="BC8" s="45"/>
      <c r="BD8" s="45"/>
      <c r="BE8" s="79"/>
    </row>
    <row r="9" spans="1:57" s="90" customFormat="1" x14ac:dyDescent="0.2">
      <c r="A9" s="386" t="s">
        <v>4</v>
      </c>
      <c r="B9" s="281" t="s">
        <v>1</v>
      </c>
      <c r="C9" s="299">
        <f>415+E9</f>
        <v>586</v>
      </c>
      <c r="D9" s="270">
        <f>111+F9</f>
        <v>183</v>
      </c>
      <c r="E9" s="271">
        <v>171</v>
      </c>
      <c r="F9" s="272">
        <v>72</v>
      </c>
      <c r="G9" s="275">
        <v>2.2827479311402299E-4</v>
      </c>
      <c r="H9" s="269">
        <f>360+J9</f>
        <v>504</v>
      </c>
      <c r="I9" s="270">
        <f>111+K9</f>
        <v>172</v>
      </c>
      <c r="J9" s="271">
        <v>144</v>
      </c>
      <c r="K9" s="272">
        <v>61</v>
      </c>
      <c r="L9" s="275">
        <v>9.5208602608669798E-3</v>
      </c>
      <c r="M9" s="269">
        <f>268+O9</f>
        <v>385</v>
      </c>
      <c r="N9" s="270">
        <f>83+P9</f>
        <v>134</v>
      </c>
      <c r="O9" s="271">
        <v>117</v>
      </c>
      <c r="P9" s="272">
        <v>51</v>
      </c>
      <c r="Q9" s="273">
        <v>1.19174184234758E-2</v>
      </c>
      <c r="R9" s="269">
        <f>146+92</f>
        <v>238</v>
      </c>
      <c r="S9" s="270">
        <f>60+44</f>
        <v>104</v>
      </c>
      <c r="T9" s="271">
        <v>92</v>
      </c>
      <c r="U9" s="272">
        <v>44</v>
      </c>
      <c r="V9" s="273">
        <v>0.18798584591878401</v>
      </c>
      <c r="W9" s="269">
        <f>127+Y9</f>
        <v>198</v>
      </c>
      <c r="X9" s="270">
        <f>48+Z9</f>
        <v>81</v>
      </c>
      <c r="Y9" s="271">
        <v>71</v>
      </c>
      <c r="Z9" s="272">
        <v>33</v>
      </c>
      <c r="AA9" s="274">
        <v>0.148934511148649</v>
      </c>
      <c r="AB9" s="269">
        <f>87+AD9</f>
        <v>132</v>
      </c>
      <c r="AC9" s="270">
        <f>33+AE9</f>
        <v>52</v>
      </c>
      <c r="AD9" s="271">
        <v>45</v>
      </c>
      <c r="AE9" s="272">
        <v>19</v>
      </c>
      <c r="AF9" s="273">
        <v>0.38437055479125198</v>
      </c>
      <c r="AG9" s="269">
        <f>41+AI9</f>
        <v>57</v>
      </c>
      <c r="AH9" s="270">
        <f>22+AJ9</f>
        <v>30</v>
      </c>
      <c r="AI9" s="271">
        <v>16</v>
      </c>
      <c r="AJ9" s="272">
        <v>8</v>
      </c>
      <c r="AK9" s="274">
        <v>0.70681990272045403</v>
      </c>
      <c r="AL9" s="269">
        <f>21+AN9</f>
        <v>35</v>
      </c>
      <c r="AM9" s="270">
        <f>14+AO9</f>
        <v>20</v>
      </c>
      <c r="AN9" s="271">
        <v>14</v>
      </c>
      <c r="AO9" s="272">
        <v>6</v>
      </c>
      <c r="AP9" s="274">
        <v>0.95957182698973098</v>
      </c>
      <c r="AQ9" s="269">
        <v>43</v>
      </c>
      <c r="AR9" s="270">
        <v>23</v>
      </c>
      <c r="AS9" s="271">
        <v>10</v>
      </c>
      <c r="AT9" s="272">
        <v>6</v>
      </c>
      <c r="AU9" s="274">
        <v>0.45856087773274301</v>
      </c>
      <c r="AV9" s="269">
        <v>28</v>
      </c>
      <c r="AW9" s="270">
        <v>16</v>
      </c>
      <c r="AX9" s="271">
        <v>6</v>
      </c>
      <c r="AY9" s="272">
        <v>4</v>
      </c>
      <c r="AZ9" s="274">
        <v>0.479227053140096</v>
      </c>
      <c r="BA9" s="269">
        <v>17</v>
      </c>
      <c r="BB9" s="270">
        <v>12</v>
      </c>
      <c r="BC9" s="271">
        <v>6</v>
      </c>
      <c r="BD9" s="272">
        <v>3</v>
      </c>
      <c r="BE9" s="273">
        <v>0.97236586942469205</v>
      </c>
    </row>
    <row r="10" spans="1:57" s="90" customFormat="1" x14ac:dyDescent="0.2">
      <c r="A10" s="386"/>
      <c r="B10" s="281" t="s">
        <v>0</v>
      </c>
      <c r="C10" s="299">
        <f>317+E10</f>
        <v>488</v>
      </c>
      <c r="D10" s="270">
        <f>76+F10</f>
        <v>148</v>
      </c>
      <c r="E10" s="271">
        <v>171</v>
      </c>
      <c r="F10" s="272">
        <v>72</v>
      </c>
      <c r="G10" s="275">
        <v>2.98778358260661E-5</v>
      </c>
      <c r="H10" s="269">
        <f>277+J10</f>
        <v>421</v>
      </c>
      <c r="I10" s="270">
        <f>69+K10</f>
        <v>130</v>
      </c>
      <c r="J10" s="271">
        <v>144</v>
      </c>
      <c r="K10" s="272">
        <v>61</v>
      </c>
      <c r="L10" s="275">
        <v>2.0717735363448499E-4</v>
      </c>
      <c r="M10" s="269">
        <f>147+O10</f>
        <v>264</v>
      </c>
      <c r="N10" s="270">
        <f>39+P10</f>
        <v>90</v>
      </c>
      <c r="O10" s="271">
        <v>117</v>
      </c>
      <c r="P10" s="272">
        <v>51</v>
      </c>
      <c r="Q10" s="73">
        <v>2.7839050349083199E-3</v>
      </c>
      <c r="R10" s="269">
        <f>101+92</f>
        <v>193</v>
      </c>
      <c r="S10" s="270">
        <f>30+44</f>
        <v>74</v>
      </c>
      <c r="T10" s="271">
        <v>92</v>
      </c>
      <c r="U10" s="272">
        <v>44</v>
      </c>
      <c r="V10" s="273">
        <v>7.3063161212805101E-3</v>
      </c>
      <c r="W10" s="269">
        <f>84+Y10</f>
        <v>155</v>
      </c>
      <c r="X10" s="270">
        <f>29+Z10</f>
        <v>62</v>
      </c>
      <c r="Y10" s="271">
        <v>71</v>
      </c>
      <c r="Z10" s="272">
        <v>33</v>
      </c>
      <c r="AA10" s="274">
        <v>8.8649634749703596E-2</v>
      </c>
      <c r="AB10" s="269">
        <f>60+AD10</f>
        <v>105</v>
      </c>
      <c r="AC10" s="270">
        <f>21+AE10</f>
        <v>40</v>
      </c>
      <c r="AD10" s="271">
        <v>45</v>
      </c>
      <c r="AE10" s="272">
        <v>19</v>
      </c>
      <c r="AF10" s="273">
        <v>0.290366973120188</v>
      </c>
      <c r="AG10" s="269">
        <f>9+AI10</f>
        <v>25</v>
      </c>
      <c r="AH10" s="270">
        <f>2+AJ10</f>
        <v>10</v>
      </c>
      <c r="AI10" s="271">
        <v>16</v>
      </c>
      <c r="AJ10" s="272">
        <v>8</v>
      </c>
      <c r="AK10" s="274">
        <v>0.17568986404630399</v>
      </c>
      <c r="AL10" s="269">
        <f>10+AN10</f>
        <v>24</v>
      </c>
      <c r="AM10" s="270">
        <f>2+AO10</f>
        <v>8</v>
      </c>
      <c r="AN10" s="271">
        <v>14</v>
      </c>
      <c r="AO10" s="272">
        <v>6</v>
      </c>
      <c r="AP10" s="274">
        <v>0.23448647193431099</v>
      </c>
      <c r="AQ10" s="269">
        <v>35</v>
      </c>
      <c r="AR10" s="270">
        <v>15</v>
      </c>
      <c r="AS10" s="271">
        <v>10</v>
      </c>
      <c r="AT10" s="272">
        <v>6</v>
      </c>
      <c r="AU10" s="274">
        <v>0.17927326659251</v>
      </c>
      <c r="AV10" s="269">
        <v>19</v>
      </c>
      <c r="AW10" s="270">
        <v>9</v>
      </c>
      <c r="AX10" s="271">
        <v>6</v>
      </c>
      <c r="AY10" s="272">
        <v>4</v>
      </c>
      <c r="AZ10" s="274">
        <v>0.25851393188854399</v>
      </c>
      <c r="BA10" s="269">
        <v>0</v>
      </c>
      <c r="BB10" s="270">
        <v>0</v>
      </c>
      <c r="BC10" s="271">
        <v>6</v>
      </c>
      <c r="BD10" s="272">
        <v>3</v>
      </c>
      <c r="BE10" s="273" t="s">
        <v>9</v>
      </c>
    </row>
    <row r="11" spans="1:57" s="49" customFormat="1" x14ac:dyDescent="0.2">
      <c r="A11" s="293"/>
      <c r="B11" s="293"/>
      <c r="C11" s="111"/>
      <c r="D11" s="45"/>
      <c r="E11" s="45"/>
      <c r="F11" s="45"/>
      <c r="G11" s="45"/>
      <c r="H11" s="45"/>
      <c r="I11" s="45"/>
      <c r="J11" s="45"/>
      <c r="K11" s="45"/>
      <c r="L11" s="40"/>
      <c r="M11" s="45"/>
      <c r="N11" s="45"/>
      <c r="O11" s="45"/>
      <c r="P11" s="45"/>
      <c r="Q11" s="45"/>
      <c r="R11" s="45"/>
      <c r="S11" s="45"/>
      <c r="T11" s="45"/>
      <c r="U11" s="45"/>
      <c r="V11" s="45"/>
      <c r="W11" s="45"/>
      <c r="X11" s="45"/>
      <c r="Y11" s="45"/>
      <c r="Z11" s="45"/>
      <c r="AA11" s="79"/>
      <c r="AB11" s="45"/>
      <c r="AC11" s="45"/>
      <c r="AD11" s="45"/>
      <c r="AE11" s="45"/>
      <c r="AF11" s="79"/>
      <c r="AG11" s="45"/>
      <c r="AH11" s="45"/>
      <c r="AI11" s="45"/>
      <c r="AJ11" s="45"/>
      <c r="AK11" s="79"/>
      <c r="AL11" s="45"/>
      <c r="AM11" s="45"/>
      <c r="AN11" s="45"/>
      <c r="AO11" s="45"/>
      <c r="AP11" s="79"/>
      <c r="AQ11" s="45"/>
      <c r="AR11" s="45"/>
      <c r="AS11" s="45"/>
      <c r="AT11" s="45"/>
      <c r="AU11" s="79"/>
      <c r="AV11" s="45"/>
      <c r="AW11" s="45"/>
      <c r="AX11" s="45"/>
      <c r="AY11" s="45"/>
      <c r="AZ11" s="79"/>
      <c r="BA11" s="45"/>
      <c r="BB11" s="45"/>
      <c r="BC11" s="45"/>
      <c r="BD11" s="45"/>
      <c r="BE11" s="79"/>
    </row>
    <row r="12" spans="1:57" s="90" customFormat="1" x14ac:dyDescent="0.2">
      <c r="A12" s="386" t="s">
        <v>5</v>
      </c>
      <c r="B12" s="281" t="s">
        <v>1</v>
      </c>
      <c r="C12" s="373">
        <f>440+E12</f>
        <v>578</v>
      </c>
      <c r="D12" s="370">
        <f>105+F12</f>
        <v>169</v>
      </c>
      <c r="E12" s="371">
        <v>138</v>
      </c>
      <c r="F12" s="415">
        <v>64</v>
      </c>
      <c r="G12" s="363">
        <v>6.4274377140958296E-7</v>
      </c>
      <c r="H12" s="364">
        <f>382+J12</f>
        <v>506</v>
      </c>
      <c r="I12" s="270">
        <f>104+K12</f>
        <v>163</v>
      </c>
      <c r="J12" s="271">
        <v>124</v>
      </c>
      <c r="K12" s="272">
        <v>59</v>
      </c>
      <c r="L12" s="275">
        <v>2.77284647735886E-5</v>
      </c>
      <c r="M12" s="269">
        <f>298+O12</f>
        <v>402</v>
      </c>
      <c r="N12" s="270">
        <f>81+P12</f>
        <v>130</v>
      </c>
      <c r="O12" s="271">
        <v>104</v>
      </c>
      <c r="P12" s="272">
        <v>49</v>
      </c>
      <c r="Q12" s="73">
        <v>1.8368965323526201E-4</v>
      </c>
      <c r="R12" s="269">
        <f>215+83</f>
        <v>298</v>
      </c>
      <c r="S12" s="270">
        <f>68+42</f>
        <v>110</v>
      </c>
      <c r="T12" s="271">
        <v>83</v>
      </c>
      <c r="U12" s="272">
        <v>46</v>
      </c>
      <c r="V12" s="275">
        <v>4.0825237187236299E-5</v>
      </c>
      <c r="W12" s="269">
        <f>186+Y12</f>
        <v>249</v>
      </c>
      <c r="X12" s="270">
        <f>55+Z12</f>
        <v>86</v>
      </c>
      <c r="Y12" s="271">
        <v>63</v>
      </c>
      <c r="Z12" s="272">
        <v>31</v>
      </c>
      <c r="AA12" s="73">
        <v>4.0616072259046397E-3</v>
      </c>
      <c r="AB12" s="269">
        <f>124+AD12</f>
        <v>163</v>
      </c>
      <c r="AC12" s="270">
        <f>43+AE12</f>
        <v>62</v>
      </c>
      <c r="AD12" s="271">
        <v>39</v>
      </c>
      <c r="AE12" s="272">
        <v>19</v>
      </c>
      <c r="AF12" s="273">
        <v>8.3655785188605294E-2</v>
      </c>
      <c r="AG12" s="269">
        <f>58+AI12</f>
        <v>72</v>
      </c>
      <c r="AH12" s="270">
        <f>28+AJ12</f>
        <v>36</v>
      </c>
      <c r="AI12" s="271">
        <v>14</v>
      </c>
      <c r="AJ12" s="272">
        <v>8</v>
      </c>
      <c r="AK12" s="274">
        <v>0.38340346404435299</v>
      </c>
      <c r="AL12" s="269">
        <f>44+AN12</f>
        <v>58</v>
      </c>
      <c r="AM12" s="270">
        <f>21+AO12</f>
        <v>28</v>
      </c>
      <c r="AN12" s="271">
        <v>14</v>
      </c>
      <c r="AO12" s="272">
        <v>7</v>
      </c>
      <c r="AP12" s="274">
        <v>0.56211303638698595</v>
      </c>
      <c r="AQ12" s="269">
        <v>53</v>
      </c>
      <c r="AR12" s="270">
        <v>28</v>
      </c>
      <c r="AS12" s="271">
        <v>12</v>
      </c>
      <c r="AT12" s="272">
        <v>6</v>
      </c>
      <c r="AU12" s="274">
        <v>0.70970118182737396</v>
      </c>
      <c r="AV12" s="269">
        <v>42</v>
      </c>
      <c r="AW12" s="270">
        <v>18</v>
      </c>
      <c r="AX12" s="271">
        <v>7</v>
      </c>
      <c r="AY12" s="272">
        <v>4</v>
      </c>
      <c r="AZ12" s="274">
        <v>0.33491949538162602</v>
      </c>
      <c r="BA12" s="269">
        <f>23+11</f>
        <v>34</v>
      </c>
      <c r="BB12" s="270">
        <v>18</v>
      </c>
      <c r="BC12" s="271">
        <v>6</v>
      </c>
      <c r="BD12" s="272">
        <v>4</v>
      </c>
      <c r="BE12" s="274">
        <v>0.38876529477196797</v>
      </c>
    </row>
    <row r="13" spans="1:57" s="90" customFormat="1" x14ac:dyDescent="0.2">
      <c r="A13" s="386"/>
      <c r="B13" s="409" t="s">
        <v>0</v>
      </c>
      <c r="C13" s="410">
        <f>346+E13</f>
        <v>484</v>
      </c>
      <c r="D13" s="411">
        <f>78+F13</f>
        <v>142</v>
      </c>
      <c r="E13" s="412">
        <v>138</v>
      </c>
      <c r="F13" s="416">
        <v>64</v>
      </c>
      <c r="G13" s="414">
        <v>3.0915047533117597E-7</v>
      </c>
      <c r="H13" s="365">
        <f>273+J13</f>
        <v>397</v>
      </c>
      <c r="I13" s="362">
        <f>77+K13</f>
        <v>136</v>
      </c>
      <c r="J13" s="271">
        <v>124</v>
      </c>
      <c r="K13" s="272">
        <v>59</v>
      </c>
      <c r="L13" s="275">
        <v>1.4722459623882499E-4</v>
      </c>
      <c r="M13" s="269">
        <f>190+O13</f>
        <v>294</v>
      </c>
      <c r="N13" s="270">
        <f>52+P13</f>
        <v>101</v>
      </c>
      <c r="O13" s="271">
        <v>104</v>
      </c>
      <c r="P13" s="272">
        <v>49</v>
      </c>
      <c r="Q13" s="73">
        <v>5.6033322954667799E-4</v>
      </c>
      <c r="R13" s="269">
        <f>121+83</f>
        <v>204</v>
      </c>
      <c r="S13" s="270">
        <f>34+42</f>
        <v>76</v>
      </c>
      <c r="T13" s="271">
        <v>83</v>
      </c>
      <c r="U13" s="272">
        <v>46</v>
      </c>
      <c r="V13" s="275">
        <v>8.5907234634690901E-6</v>
      </c>
      <c r="W13" s="269">
        <f>105+Y13</f>
        <v>168</v>
      </c>
      <c r="X13" s="270">
        <f>29+Z13</f>
        <v>60</v>
      </c>
      <c r="Y13" s="271">
        <v>63</v>
      </c>
      <c r="Z13" s="272">
        <v>31</v>
      </c>
      <c r="AA13" s="73">
        <v>4.0338877498636997E-3</v>
      </c>
      <c r="AB13" s="269">
        <f>64+AD13</f>
        <v>103</v>
      </c>
      <c r="AC13" s="270">
        <f>16+AE13</f>
        <v>35</v>
      </c>
      <c r="AD13" s="271">
        <v>39</v>
      </c>
      <c r="AE13" s="272">
        <v>19</v>
      </c>
      <c r="AF13" s="273">
        <v>1.2541701464419399E-2</v>
      </c>
      <c r="AG13" s="269">
        <f>20+AI13</f>
        <v>34</v>
      </c>
      <c r="AH13" s="270">
        <f>9+AJ13</f>
        <v>17</v>
      </c>
      <c r="AI13" s="271">
        <v>14</v>
      </c>
      <c r="AJ13" s="272">
        <v>8</v>
      </c>
      <c r="AK13" s="274">
        <v>0.36414104775569101</v>
      </c>
      <c r="AL13" s="269">
        <f>17+AN13</f>
        <v>31</v>
      </c>
      <c r="AM13" s="270">
        <f>8+AO13</f>
        <v>15</v>
      </c>
      <c r="AN13" s="271">
        <v>14</v>
      </c>
      <c r="AO13" s="272">
        <v>7</v>
      </c>
      <c r="AP13" s="274">
        <v>0.57807683594535497</v>
      </c>
      <c r="AQ13" s="269">
        <v>26</v>
      </c>
      <c r="AR13" s="270">
        <v>16</v>
      </c>
      <c r="AS13" s="271">
        <v>12</v>
      </c>
      <c r="AT13" s="272">
        <v>6</v>
      </c>
      <c r="AU13" s="274">
        <v>0.93665365459685002</v>
      </c>
      <c r="AV13" s="269">
        <v>20</v>
      </c>
      <c r="AW13" s="270">
        <v>9</v>
      </c>
      <c r="AX13" s="271">
        <v>7</v>
      </c>
      <c r="AY13" s="272">
        <v>4</v>
      </c>
      <c r="AZ13" s="274">
        <v>0.36996904024767802</v>
      </c>
      <c r="BA13" s="269">
        <f>6+11</f>
        <v>17</v>
      </c>
      <c r="BB13" s="270">
        <v>5</v>
      </c>
      <c r="BC13" s="271">
        <v>6</v>
      </c>
      <c r="BD13" s="272">
        <v>4</v>
      </c>
      <c r="BE13" s="274">
        <v>2.7634130575307E-2</v>
      </c>
    </row>
    <row r="14" spans="1:57" x14ac:dyDescent="0.2">
      <c r="B14" s="369"/>
      <c r="C14" s="366"/>
      <c r="D14" s="170"/>
      <c r="E14" s="170"/>
      <c r="F14" s="170"/>
      <c r="G14" s="170"/>
      <c r="H14" s="367"/>
    </row>
    <row r="15" spans="1:57" ht="19" x14ac:dyDescent="0.2">
      <c r="B15" s="377"/>
      <c r="C15" s="413"/>
      <c r="D15" s="170"/>
      <c r="E15" s="170"/>
      <c r="G15" s="366"/>
      <c r="H15" s="367"/>
    </row>
    <row r="16" spans="1:57" ht="19" x14ac:dyDescent="0.2">
      <c r="B16" s="379"/>
      <c r="C16" s="378"/>
      <c r="D16" s="374"/>
      <c r="E16" s="367"/>
      <c r="G16" s="366"/>
      <c r="H16" s="367"/>
    </row>
    <row r="17" spans="1:40" x14ac:dyDescent="0.2">
      <c r="B17" s="366"/>
      <c r="C17" s="374"/>
      <c r="D17" s="374"/>
      <c r="E17" s="367"/>
      <c r="G17" s="366"/>
      <c r="H17" s="367"/>
    </row>
    <row r="18" spans="1:40" ht="176" x14ac:dyDescent="0.2">
      <c r="A18" s="1" t="s">
        <v>82</v>
      </c>
      <c r="B18" s="380"/>
      <c r="C18" s="376" t="s">
        <v>65</v>
      </c>
      <c r="D18" s="376" t="s">
        <v>83</v>
      </c>
      <c r="E18" s="372" t="s">
        <v>84</v>
      </c>
      <c r="F18" s="368" t="s">
        <v>66</v>
      </c>
      <c r="G18" s="375" t="s">
        <v>35</v>
      </c>
      <c r="H18" s="237"/>
      <c r="I18" s="148"/>
      <c r="J18" s="148"/>
      <c r="K18" s="148"/>
      <c r="L18" s="148"/>
    </row>
    <row r="19" spans="1:40" x14ac:dyDescent="0.2">
      <c r="A19"/>
      <c r="B19" s="3" t="s">
        <v>1</v>
      </c>
      <c r="C19" s="3">
        <f>2588+E19</f>
        <v>2697</v>
      </c>
      <c r="D19" s="3">
        <f>95+F19</f>
        <v>160</v>
      </c>
      <c r="E19" s="3">
        <v>109</v>
      </c>
      <c r="F19" s="3">
        <v>65</v>
      </c>
      <c r="G19" s="96">
        <v>1.2915160000000001E-56</v>
      </c>
      <c r="H19" s="237"/>
      <c r="I19" s="130"/>
      <c r="J19" s="208"/>
      <c r="K19" s="208"/>
      <c r="L19" s="208"/>
    </row>
    <row r="20" spans="1:40" x14ac:dyDescent="0.2">
      <c r="A20"/>
      <c r="B20" s="3" t="s">
        <v>0</v>
      </c>
      <c r="C20" s="3">
        <f>1187+E20</f>
        <v>1296</v>
      </c>
      <c r="D20" s="3">
        <f>15+F20</f>
        <v>80</v>
      </c>
      <c r="E20" s="3">
        <v>109</v>
      </c>
      <c r="F20" s="3">
        <v>65</v>
      </c>
      <c r="G20" s="96">
        <v>5.1474810000000004E-65</v>
      </c>
      <c r="H20" s="237"/>
      <c r="I20" s="130"/>
      <c r="J20" s="208"/>
      <c r="K20" s="208"/>
      <c r="L20" s="208"/>
    </row>
    <row r="21" spans="1:40" s="2" customFormat="1" x14ac:dyDescent="0.2">
      <c r="H21" s="237"/>
      <c r="I21" s="130"/>
      <c r="J21" s="208"/>
      <c r="K21" s="130"/>
      <c r="L21" s="359"/>
    </row>
    <row r="22" spans="1:40" s="2" customFormat="1" x14ac:dyDescent="0.2">
      <c r="H22" s="237"/>
      <c r="I22" s="130"/>
      <c r="J22" s="208"/>
      <c r="K22" s="130"/>
      <c r="L22" s="208"/>
    </row>
    <row r="23" spans="1:40" s="2" customFormat="1" x14ac:dyDescent="0.2">
      <c r="A23" s="5"/>
      <c r="B23" s="95"/>
      <c r="C23" s="95"/>
      <c r="D23" s="95"/>
      <c r="E23" s="95"/>
      <c r="H23" s="360"/>
      <c r="I23" s="361"/>
      <c r="J23" s="361"/>
      <c r="K23" s="361"/>
      <c r="L23" s="359"/>
      <c r="M23" s="95"/>
      <c r="AB23" s="5"/>
      <c r="AC23" s="95"/>
      <c r="AD23" s="95"/>
      <c r="AE23" s="95"/>
      <c r="AF23" s="95"/>
      <c r="AJ23" s="5"/>
      <c r="AK23" s="95"/>
      <c r="AL23" s="95"/>
      <c r="AM23" s="95"/>
      <c r="AN23" s="95"/>
    </row>
    <row r="24" spans="1:40" s="2" customFormat="1" x14ac:dyDescent="0.2">
      <c r="H24" s="237"/>
      <c r="I24" s="130"/>
      <c r="J24" s="130"/>
      <c r="K24" s="130"/>
      <c r="L24" s="130"/>
    </row>
    <row r="25" spans="1:40" s="2" customFormat="1" x14ac:dyDescent="0.2">
      <c r="H25" s="237"/>
      <c r="I25" s="130"/>
      <c r="J25" s="361"/>
      <c r="K25" s="361"/>
      <c r="L25" s="361"/>
    </row>
    <row r="26" spans="1:40" s="2" customFormat="1" x14ac:dyDescent="0.2">
      <c r="H26" s="237"/>
      <c r="I26" s="361"/>
      <c r="J26" s="361"/>
      <c r="K26" s="361"/>
      <c r="L26" s="361"/>
    </row>
    <row r="27" spans="1:40" s="2" customFormat="1" x14ac:dyDescent="0.2">
      <c r="H27" s="237"/>
      <c r="I27" s="130"/>
      <c r="J27" s="361"/>
      <c r="K27" s="361"/>
      <c r="L27" s="361"/>
    </row>
    <row r="28" spans="1:40" s="2" customFormat="1" x14ac:dyDescent="0.2">
      <c r="H28" s="237"/>
      <c r="I28" s="361"/>
      <c r="J28" s="130"/>
      <c r="K28" s="361"/>
      <c r="L28" s="361"/>
    </row>
    <row r="29" spans="1:40" s="2" customFormat="1" x14ac:dyDescent="0.2">
      <c r="H29" s="237"/>
      <c r="I29" s="361"/>
      <c r="J29" s="130"/>
      <c r="K29" s="130"/>
      <c r="L29" s="361"/>
    </row>
    <row r="30" spans="1:40" s="2" customFormat="1" x14ac:dyDescent="0.2">
      <c r="H30" s="237"/>
      <c r="I30" s="237"/>
      <c r="J30" s="237"/>
      <c r="K30" s="237"/>
      <c r="L30" s="237"/>
    </row>
    <row r="31" spans="1:40" s="2" customFormat="1" x14ac:dyDescent="0.2">
      <c r="H31" s="237"/>
      <c r="I31" s="148"/>
      <c r="J31" s="148"/>
      <c r="K31" s="148"/>
      <c r="L31" s="148"/>
    </row>
    <row r="32" spans="1:40" s="2" customFormat="1" x14ac:dyDescent="0.2">
      <c r="H32" s="237"/>
      <c r="I32" s="208"/>
      <c r="J32" s="130"/>
      <c r="K32" s="208"/>
      <c r="L32" s="208"/>
    </row>
    <row r="33" spans="8:12" s="2" customFormat="1" x14ac:dyDescent="0.2">
      <c r="H33" s="237"/>
      <c r="I33" s="208"/>
      <c r="J33" s="130"/>
      <c r="K33" s="208"/>
      <c r="L33" s="208"/>
    </row>
    <row r="34" spans="8:12" s="2" customFormat="1" x14ac:dyDescent="0.2">
      <c r="H34" s="237"/>
      <c r="I34" s="130"/>
      <c r="J34" s="130"/>
      <c r="K34" s="359"/>
      <c r="L34" s="359"/>
    </row>
    <row r="35" spans="8:12" s="2" customFormat="1" x14ac:dyDescent="0.2">
      <c r="H35" s="237"/>
      <c r="I35" s="130"/>
      <c r="J35" s="130"/>
      <c r="K35" s="130"/>
      <c r="L35" s="208"/>
    </row>
    <row r="36" spans="8:12" s="2" customFormat="1" x14ac:dyDescent="0.2">
      <c r="H36" s="360"/>
      <c r="I36" s="361"/>
      <c r="J36" s="361"/>
      <c r="K36" s="361"/>
      <c r="L36" s="359"/>
    </row>
    <row r="37" spans="8:12" s="2" customFormat="1" x14ac:dyDescent="0.2">
      <c r="H37" s="237"/>
      <c r="I37" s="130"/>
      <c r="J37" s="237"/>
      <c r="K37" s="130"/>
      <c r="L37" s="130"/>
    </row>
    <row r="38" spans="8:12" s="2" customFormat="1" x14ac:dyDescent="0.2">
      <c r="H38" s="237"/>
      <c r="I38" s="130"/>
      <c r="J38" s="237"/>
      <c r="K38" s="361"/>
      <c r="L38" s="361"/>
    </row>
    <row r="39" spans="8:12" s="2" customFormat="1" x14ac:dyDescent="0.2">
      <c r="H39" s="237"/>
      <c r="I39" s="361"/>
      <c r="J39" s="237"/>
      <c r="K39" s="361"/>
      <c r="L39" s="361"/>
    </row>
    <row r="40" spans="8:12" s="2" customFormat="1" x14ac:dyDescent="0.2">
      <c r="H40" s="237"/>
      <c r="I40" s="361"/>
      <c r="J40" s="237"/>
      <c r="K40" s="361"/>
      <c r="L40" s="361"/>
    </row>
    <row r="41" spans="8:12" s="2" customFormat="1" x14ac:dyDescent="0.2">
      <c r="H41" s="237"/>
      <c r="I41" s="361"/>
      <c r="J41" s="237"/>
      <c r="K41" s="361"/>
      <c r="L41" s="361"/>
    </row>
    <row r="42" spans="8:12" s="2" customFormat="1" x14ac:dyDescent="0.2">
      <c r="H42" s="237"/>
      <c r="I42" s="361"/>
      <c r="J42" s="237"/>
      <c r="K42" s="237"/>
      <c r="L42" s="361"/>
    </row>
    <row r="43" spans="8:12" s="2" customFormat="1" x14ac:dyDescent="0.2">
      <c r="H43" s="237"/>
      <c r="I43" s="237"/>
      <c r="J43" s="237"/>
      <c r="K43" s="237"/>
      <c r="L43" s="237"/>
    </row>
    <row r="44" spans="8:12" s="2" customFormat="1" x14ac:dyDescent="0.2">
      <c r="H44" s="237"/>
      <c r="I44" s="237"/>
      <c r="J44" s="237"/>
      <c r="K44" s="237"/>
      <c r="L44" s="237"/>
    </row>
  </sheetData>
  <customSheetViews>
    <customSheetView guid="{127B6458-1888-E743-A436-D6EF9EF5889D}">
      <selection activeCell="Q12" sqref="Q12"/>
      <pageMargins left="0.7" right="0.7" top="0.75" bottom="0.75" header="0.3" footer="0.3"/>
    </customSheetView>
  </customSheetViews>
  <mergeCells count="15">
    <mergeCell ref="AL1:AP1"/>
    <mergeCell ref="AQ1:AU1"/>
    <mergeCell ref="AV1:AZ1"/>
    <mergeCell ref="BA1:BE1"/>
    <mergeCell ref="AB1:AF1"/>
    <mergeCell ref="A12:A13"/>
    <mergeCell ref="A9:A10"/>
    <mergeCell ref="A6:A7"/>
    <mergeCell ref="A3:A4"/>
    <mergeCell ref="AG1:AK1"/>
    <mergeCell ref="C1:G1"/>
    <mergeCell ref="H1:L1"/>
    <mergeCell ref="M1:Q1"/>
    <mergeCell ref="R1:V1"/>
    <mergeCell ref="W1:AA1"/>
  </mergeCells>
  <phoneticPr fontId="4" type="noConversion"/>
  <conditionalFormatting sqref="G3:G4 G9:G10 G12:G13 L3:L4 L9:L10 L12:L13 Q3:Q4 Q9:Q10 Q12:Q13 V3:V4 V9:V10 V12:V13 AA3:AA4 AA9:AA10 AA12:AA13 AF3:AF4 AF9:AF10 AF12:AF13 AK3:AK4 AK9:AK10 AK12:AK13 AP3:AP4 AP9:AP10 AP12:AP13 AU3:AU4 AU9:AU10 AU12:AU13 AZ3:AZ4 AZ9:AZ10 AZ12:AZ13 BE3:BE4 BE9:BE10 BE12:BE13">
    <cfRule type="cellIs" dxfId="80" priority="310" operator="lessThan">
      <formula>0.05</formula>
    </cfRule>
  </conditionalFormatting>
  <conditionalFormatting sqref="G3:G4 G9:G10 G12:G13 L3:L4 L9:L10 L12:L13 Q3:Q4 Q9:Q10 Q12:Q13 V3:V4 V9:V10 V12:V13 AA3:AA4 AA9:AA10 AA12:AA13 AF3:AF4 AF9:AF10 AF12:AF13 AK3:AK4 AK9:AK10 AK12:AK13 AP3:AP4 AP9:AP10 AP12:AP13 AU3:AU4 AU9:AU10 AU12:AU13 AZ3:AZ4 AZ9:AZ10 AZ12:AZ13 BE3:BE4 BE9:BE10 BE12:BE13">
    <cfRule type="cellIs" dxfId="79" priority="309" operator="lessThan">
      <formula>0.00417</formula>
    </cfRule>
  </conditionalFormatting>
  <conditionalFormatting sqref="G3:G4 G9:G10 G12:G13 L3:L4 L9:L10 L12:L13 Q3:Q4 Q9:Q10 Q12:Q13 V3:V4 V9:V10 V12:V13 AA3:AA4 AA9:AA10 AA12:AA13 AF3:AF4 AF9:AF10 AF12:AF13 AK3:AK4 AK9:AK10 AK12:AK13 AP3:AP4 AP9:AP10 AP12:AP13 AU3:AU4 AU9:AU10 AU12:AU13 AZ3:AZ4 AZ9:AZ10 AZ12:AZ13 BE3:BE4 BE9:BE10 BE12:BE13">
    <cfRule type="cellIs" dxfId="78" priority="308" operator="lessThan">
      <formula>0.0000000001</formula>
    </cfRule>
  </conditionalFormatting>
  <conditionalFormatting sqref="G6:G7 L6:L7 Q6:Q7 V6:V7 AA6:AA7">
    <cfRule type="cellIs" dxfId="77" priority="304" operator="greaterThan">
      <formula>0.05</formula>
    </cfRule>
    <cfRule type="cellIs" dxfId="76" priority="305" operator="lessThan">
      <formula>0.0000000001</formula>
    </cfRule>
    <cfRule type="cellIs" dxfId="75" priority="306" operator="lessThan">
      <formula>0.0125</formula>
    </cfRule>
    <cfRule type="cellIs" dxfId="74" priority="307" operator="lessThan">
      <formula>0.05</formula>
    </cfRule>
  </conditionalFormatting>
  <conditionalFormatting sqref="G3:G4 G9:G10 G12:G13 L3:L4 L9:L10 L12:L13 Q3:Q4 Q9:Q10 Q12:Q13 V3:V4 V9:V10 V12:V13 AA3:AA4 AA9:AA10 AA12:AA13 AF3:AF4 AF9:AF10 AF12:AF13 AK3:AK4 AK9:AK10 AK12:AK13 AP3:AP4 AP9:AP10 AP12:AP13 AU3:AU4 AU9:AU10 AU12:AU13 AZ3:AZ4 AZ9:AZ10 AZ12:AZ13 BE3:BE4 BE9 BE12:BE13">
    <cfRule type="cellIs" dxfId="73" priority="303" operator="greaterThan">
      <formula>0.05</formula>
    </cfRule>
  </conditionalFormatting>
  <conditionalFormatting sqref="G19:G20">
    <cfRule type="cellIs" dxfId="72" priority="301" operator="lessThan">
      <formula>0.0025</formula>
    </cfRule>
  </conditionalFormatting>
  <pageMargins left="0.7" right="0.7" top="0.75" bottom="0.75" header="0.3" footer="0.3"/>
  <pageSetup paperSize="9"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6"/>
  <sheetViews>
    <sheetView zoomScale="130" zoomScaleNormal="130" zoomScalePageLayoutView="130" workbookViewId="0">
      <pane xSplit="1" ySplit="2" topLeftCell="AJ3" activePane="bottomRight" state="frozen"/>
      <selection pane="topRight" activeCell="B1" sqref="B1"/>
      <selection pane="bottomLeft" activeCell="A3" sqref="A3"/>
      <selection pane="bottomRight" activeCell="A2" sqref="A2"/>
    </sheetView>
  </sheetViews>
  <sheetFormatPr baseColWidth="10" defaultRowHeight="16" x14ac:dyDescent="0.2"/>
  <cols>
    <col min="1" max="1" width="27.33203125" style="90" customWidth="1"/>
    <col min="2" max="10" width="10.83203125" style="90"/>
    <col min="11" max="11" width="11.83203125" style="90" bestFit="1" customWidth="1"/>
    <col min="12" max="56" width="10.83203125" style="90"/>
    <col min="57" max="61" width="10.83203125" style="404"/>
    <col min="62" max="16384" width="10.83203125" style="90"/>
  </cols>
  <sheetData>
    <row r="1" spans="1:61" s="55" customFormat="1" x14ac:dyDescent="0.2">
      <c r="B1" s="386" t="s">
        <v>33</v>
      </c>
      <c r="C1" s="386"/>
      <c r="D1" s="386"/>
      <c r="E1" s="386"/>
      <c r="F1" s="386"/>
      <c r="G1" s="384" t="s">
        <v>38</v>
      </c>
      <c r="H1" s="385"/>
      <c r="I1" s="385"/>
      <c r="J1" s="385"/>
      <c r="K1" s="387"/>
      <c r="L1" s="385" t="s">
        <v>39</v>
      </c>
      <c r="M1" s="385"/>
      <c r="N1" s="385"/>
      <c r="O1" s="385"/>
      <c r="P1" s="387"/>
      <c r="Q1" s="385" t="s">
        <v>30</v>
      </c>
      <c r="R1" s="385"/>
      <c r="S1" s="385"/>
      <c r="T1" s="385"/>
      <c r="U1" s="387"/>
      <c r="V1" s="385" t="s">
        <v>40</v>
      </c>
      <c r="W1" s="385"/>
      <c r="X1" s="385"/>
      <c r="Y1" s="385"/>
      <c r="Z1" s="387"/>
      <c r="AA1" s="385" t="s">
        <v>41</v>
      </c>
      <c r="AB1" s="385"/>
      <c r="AC1" s="385"/>
      <c r="AD1" s="385"/>
      <c r="AE1" s="387"/>
      <c r="AF1" s="385" t="s">
        <v>42</v>
      </c>
      <c r="AG1" s="385"/>
      <c r="AH1" s="385"/>
      <c r="AI1" s="385"/>
      <c r="AJ1" s="387"/>
      <c r="AK1" s="385" t="s">
        <v>43</v>
      </c>
      <c r="AL1" s="385"/>
      <c r="AM1" s="385"/>
      <c r="AN1" s="385"/>
      <c r="AO1" s="387"/>
      <c r="AP1" s="385" t="s">
        <v>46</v>
      </c>
      <c r="AQ1" s="385"/>
      <c r="AR1" s="385"/>
      <c r="AS1" s="385"/>
      <c r="AT1" s="387"/>
      <c r="AU1" s="385" t="s">
        <v>45</v>
      </c>
      <c r="AV1" s="385"/>
      <c r="AW1" s="385"/>
      <c r="AX1" s="385"/>
      <c r="AY1" s="387"/>
      <c r="AZ1" s="385" t="s">
        <v>36</v>
      </c>
      <c r="BA1" s="385"/>
      <c r="BB1" s="385"/>
      <c r="BC1" s="385"/>
      <c r="BD1" s="387"/>
      <c r="BE1" s="404"/>
      <c r="BF1" s="404"/>
      <c r="BG1" s="404"/>
      <c r="BH1" s="404"/>
      <c r="BI1" s="404"/>
    </row>
    <row r="2" spans="1:61" s="55" customFormat="1" ht="80" x14ac:dyDescent="0.2">
      <c r="A2" s="7" t="s">
        <v>81</v>
      </c>
      <c r="B2" s="279" t="s">
        <v>56</v>
      </c>
      <c r="C2" s="7" t="s">
        <v>55</v>
      </c>
      <c r="D2" s="7" t="s">
        <v>52</v>
      </c>
      <c r="E2" s="103" t="s">
        <v>53</v>
      </c>
      <c r="F2" s="65" t="s">
        <v>35</v>
      </c>
      <c r="G2" s="279" t="s">
        <v>56</v>
      </c>
      <c r="H2" s="7" t="s">
        <v>55</v>
      </c>
      <c r="I2" s="7" t="s">
        <v>52</v>
      </c>
      <c r="J2" s="103" t="s">
        <v>53</v>
      </c>
      <c r="K2" s="65" t="s">
        <v>35</v>
      </c>
      <c r="L2" s="279" t="s">
        <v>56</v>
      </c>
      <c r="M2" s="7" t="s">
        <v>55</v>
      </c>
      <c r="N2" s="7" t="s">
        <v>52</v>
      </c>
      <c r="O2" s="103" t="s">
        <v>53</v>
      </c>
      <c r="P2" s="65" t="s">
        <v>35</v>
      </c>
      <c r="Q2" s="279" t="s">
        <v>56</v>
      </c>
      <c r="R2" s="7" t="s">
        <v>55</v>
      </c>
      <c r="S2" s="7" t="s">
        <v>52</v>
      </c>
      <c r="T2" s="103" t="s">
        <v>53</v>
      </c>
      <c r="U2" s="65" t="s">
        <v>35</v>
      </c>
      <c r="V2" s="279" t="s">
        <v>56</v>
      </c>
      <c r="W2" s="7" t="s">
        <v>55</v>
      </c>
      <c r="X2" s="7" t="s">
        <v>52</v>
      </c>
      <c r="Y2" s="103" t="s">
        <v>53</v>
      </c>
      <c r="Z2" s="65" t="s">
        <v>35</v>
      </c>
      <c r="AA2" s="279" t="s">
        <v>56</v>
      </c>
      <c r="AB2" s="7" t="s">
        <v>55</v>
      </c>
      <c r="AC2" s="7" t="s">
        <v>52</v>
      </c>
      <c r="AD2" s="103" t="s">
        <v>53</v>
      </c>
      <c r="AE2" s="65" t="s">
        <v>35</v>
      </c>
      <c r="AF2" s="279" t="s">
        <v>56</v>
      </c>
      <c r="AG2" s="7" t="s">
        <v>55</v>
      </c>
      <c r="AH2" s="7" t="s">
        <v>52</v>
      </c>
      <c r="AI2" s="103" t="s">
        <v>53</v>
      </c>
      <c r="AJ2" s="65" t="s">
        <v>35</v>
      </c>
      <c r="AK2" s="279" t="s">
        <v>56</v>
      </c>
      <c r="AL2" s="7" t="s">
        <v>55</v>
      </c>
      <c r="AM2" s="7" t="s">
        <v>52</v>
      </c>
      <c r="AN2" s="103" t="s">
        <v>53</v>
      </c>
      <c r="AO2" s="65" t="s">
        <v>35</v>
      </c>
      <c r="AP2" s="279" t="s">
        <v>56</v>
      </c>
      <c r="AQ2" s="7" t="s">
        <v>55</v>
      </c>
      <c r="AR2" s="7" t="s">
        <v>52</v>
      </c>
      <c r="AS2" s="103" t="s">
        <v>53</v>
      </c>
      <c r="AT2" s="65" t="s">
        <v>35</v>
      </c>
      <c r="AU2" s="279" t="s">
        <v>56</v>
      </c>
      <c r="AV2" s="7" t="s">
        <v>55</v>
      </c>
      <c r="AW2" s="7" t="s">
        <v>52</v>
      </c>
      <c r="AX2" s="103" t="s">
        <v>53</v>
      </c>
      <c r="AY2" s="65" t="s">
        <v>35</v>
      </c>
      <c r="AZ2" s="279" t="s">
        <v>56</v>
      </c>
      <c r="BA2" s="7" t="s">
        <v>55</v>
      </c>
      <c r="BB2" s="7" t="s">
        <v>52</v>
      </c>
      <c r="BC2" s="103" t="s">
        <v>53</v>
      </c>
      <c r="BD2" s="238" t="s">
        <v>35</v>
      </c>
      <c r="BE2" s="404"/>
      <c r="BF2" s="407"/>
      <c r="BG2" s="407"/>
      <c r="BH2" s="407"/>
      <c r="BI2" s="407"/>
    </row>
    <row r="3" spans="1:61" s="55" customFormat="1" x14ac:dyDescent="0.2">
      <c r="A3" s="353" t="s">
        <v>27</v>
      </c>
      <c r="B3" s="350">
        <v>12655</v>
      </c>
      <c r="C3" s="348">
        <v>11799</v>
      </c>
      <c r="D3" s="351">
        <v>496</v>
      </c>
      <c r="E3" s="352">
        <v>465</v>
      </c>
      <c r="F3" s="343">
        <v>0.36199999999999999</v>
      </c>
      <c r="G3" s="347">
        <v>12029</v>
      </c>
      <c r="H3" s="349">
        <v>8696</v>
      </c>
      <c r="I3" s="351">
        <v>476</v>
      </c>
      <c r="J3" s="352">
        <v>387</v>
      </c>
      <c r="K3" s="344">
        <v>2.1900000000000002E-6</v>
      </c>
      <c r="L3" s="347">
        <v>8950</v>
      </c>
      <c r="M3" s="348">
        <v>5374</v>
      </c>
      <c r="N3" s="351">
        <v>428</v>
      </c>
      <c r="O3" s="352">
        <v>283</v>
      </c>
      <c r="P3" s="343">
        <v>4.6577850000000002E-3</v>
      </c>
      <c r="Q3" s="347">
        <v>6659</v>
      </c>
      <c r="R3" s="348">
        <v>3566</v>
      </c>
      <c r="S3" s="351">
        <v>264</v>
      </c>
      <c r="T3" s="352">
        <v>176</v>
      </c>
      <c r="U3" s="345">
        <v>6.9725170000000004E-6</v>
      </c>
      <c r="V3" s="347">
        <v>4703</v>
      </c>
      <c r="W3" s="348">
        <v>2168</v>
      </c>
      <c r="X3" s="351">
        <v>179</v>
      </c>
      <c r="Y3" s="352">
        <v>135</v>
      </c>
      <c r="Z3" s="208">
        <v>3.88279E-16</v>
      </c>
      <c r="AA3" s="347">
        <v>3209</v>
      </c>
      <c r="AB3" s="348">
        <v>1044</v>
      </c>
      <c r="AC3" s="351">
        <v>165</v>
      </c>
      <c r="AD3" s="352">
        <v>74</v>
      </c>
      <c r="AE3" s="55">
        <v>4.6786009999999999E-4</v>
      </c>
      <c r="AF3" s="347">
        <v>1598</v>
      </c>
      <c r="AG3" s="348">
        <v>522</v>
      </c>
      <c r="AH3" s="351">
        <v>107</v>
      </c>
      <c r="AI3" s="352">
        <v>36</v>
      </c>
      <c r="AJ3" s="208">
        <v>0.4493357</v>
      </c>
      <c r="AK3" s="347">
        <v>740</v>
      </c>
      <c r="AL3" s="348">
        <v>170</v>
      </c>
      <c r="AM3" s="351">
        <v>52</v>
      </c>
      <c r="AN3" s="352">
        <v>23</v>
      </c>
      <c r="AO3" s="208">
        <v>3.4579620000000001E-4</v>
      </c>
      <c r="AP3" s="347">
        <v>609</v>
      </c>
      <c r="AQ3" s="348">
        <v>130</v>
      </c>
      <c r="AR3" s="351">
        <v>35</v>
      </c>
      <c r="AS3" s="352">
        <v>16</v>
      </c>
      <c r="AT3" s="55">
        <v>7.7301460000000002E-4</v>
      </c>
      <c r="AU3" s="347">
        <v>256</v>
      </c>
      <c r="AV3" s="348">
        <v>19</v>
      </c>
      <c r="AW3" s="351">
        <v>28</v>
      </c>
      <c r="AX3" s="352">
        <v>8</v>
      </c>
      <c r="AY3" s="55">
        <v>2.5020670000000002E-4</v>
      </c>
      <c r="AZ3" s="347">
        <v>16</v>
      </c>
      <c r="BA3" s="348">
        <v>7</v>
      </c>
      <c r="BB3" s="351">
        <v>14</v>
      </c>
      <c r="BC3" s="352">
        <v>6</v>
      </c>
      <c r="BD3" s="55">
        <v>0.82499999999999996</v>
      </c>
      <c r="BE3" s="404"/>
      <c r="BF3" s="404"/>
      <c r="BG3" s="404"/>
      <c r="BH3" s="404"/>
      <c r="BI3" s="406"/>
    </row>
    <row r="4" spans="1:61" s="55" customFormat="1" x14ac:dyDescent="0.2">
      <c r="A4" s="356"/>
      <c r="BE4" s="404"/>
      <c r="BF4" s="406"/>
      <c r="BG4" s="406"/>
      <c r="BH4" s="406"/>
      <c r="BI4" s="408"/>
    </row>
    <row r="5" spans="1:61" s="55" customFormat="1" x14ac:dyDescent="0.2">
      <c r="A5" s="354" t="s">
        <v>28</v>
      </c>
      <c r="B5" s="347">
        <v>18016</v>
      </c>
      <c r="C5" s="348">
        <v>15946</v>
      </c>
      <c r="D5" s="351">
        <v>1536</v>
      </c>
      <c r="E5" s="352">
        <v>1344</v>
      </c>
      <c r="F5" s="343">
        <v>0.105</v>
      </c>
      <c r="G5" s="347">
        <v>16316</v>
      </c>
      <c r="H5" s="349">
        <v>12264</v>
      </c>
      <c r="I5" s="351">
        <v>1448</v>
      </c>
      <c r="J5" s="352">
        <v>1150</v>
      </c>
      <c r="K5" s="344">
        <v>3.7200000000000003E-5</v>
      </c>
      <c r="L5" s="347">
        <v>13676</v>
      </c>
      <c r="M5" s="348">
        <v>8696</v>
      </c>
      <c r="N5" s="351">
        <v>1343</v>
      </c>
      <c r="O5" s="352">
        <v>928</v>
      </c>
      <c r="P5" s="344">
        <v>4.5621879999999998E-6</v>
      </c>
      <c r="Q5" s="347">
        <v>10325</v>
      </c>
      <c r="R5" s="348">
        <v>6016</v>
      </c>
      <c r="S5" s="351">
        <v>1084</v>
      </c>
      <c r="T5" s="352">
        <v>604</v>
      </c>
      <c r="U5" s="55">
        <v>0.96614250000000002</v>
      </c>
      <c r="V5" s="347">
        <v>8042</v>
      </c>
      <c r="W5" s="348">
        <v>4069</v>
      </c>
      <c r="X5" s="351">
        <v>920</v>
      </c>
      <c r="Y5" s="352">
        <v>519</v>
      </c>
      <c r="Z5" s="208">
        <v>9.9906260000000007E-5</v>
      </c>
      <c r="AA5" s="347">
        <v>7511</v>
      </c>
      <c r="AB5" s="348">
        <v>2561</v>
      </c>
      <c r="AC5" s="351">
        <v>859</v>
      </c>
      <c r="AD5" s="352">
        <v>306</v>
      </c>
      <c r="AE5" s="55">
        <v>0.16735800000000001</v>
      </c>
      <c r="AF5" s="347">
        <v>5423</v>
      </c>
      <c r="AG5" s="348">
        <v>809</v>
      </c>
      <c r="AH5" s="351">
        <v>593</v>
      </c>
      <c r="AI5" s="352">
        <v>117</v>
      </c>
      <c r="AJ5" s="55">
        <v>4.496538E-4</v>
      </c>
      <c r="AK5" s="347">
        <v>1352</v>
      </c>
      <c r="AL5" s="348">
        <v>310</v>
      </c>
      <c r="AM5" s="351">
        <v>212</v>
      </c>
      <c r="AN5" s="352">
        <v>52</v>
      </c>
      <c r="AO5" s="55">
        <v>0.30074260000000003</v>
      </c>
      <c r="AP5" s="347">
        <v>934</v>
      </c>
      <c r="AQ5" s="348">
        <v>192</v>
      </c>
      <c r="AR5" s="351">
        <v>128</v>
      </c>
      <c r="AS5" s="352">
        <v>25</v>
      </c>
      <c r="AT5" s="55">
        <v>0.6600644</v>
      </c>
      <c r="AU5" s="347">
        <v>484</v>
      </c>
      <c r="AV5" s="348">
        <v>20</v>
      </c>
      <c r="AW5" s="351">
        <v>75</v>
      </c>
      <c r="AX5" s="352">
        <v>8</v>
      </c>
      <c r="AY5" s="55">
        <v>6.0716850000000003E-3</v>
      </c>
      <c r="AZ5" s="347">
        <v>6</v>
      </c>
      <c r="BA5" s="348">
        <v>3</v>
      </c>
      <c r="BB5" s="351">
        <v>3</v>
      </c>
      <c r="BC5" s="352">
        <v>2</v>
      </c>
      <c r="BD5" s="55">
        <v>0.5</v>
      </c>
      <c r="BE5" s="404"/>
      <c r="BF5" s="404"/>
      <c r="BG5" s="406"/>
      <c r="BH5" s="406"/>
      <c r="BI5" s="404"/>
    </row>
    <row r="6" spans="1:61" s="55" customFormat="1" x14ac:dyDescent="0.2">
      <c r="BE6" s="404"/>
      <c r="BF6" s="405"/>
      <c r="BG6" s="404"/>
      <c r="BH6" s="227"/>
      <c r="BI6" s="227"/>
    </row>
    <row r="7" spans="1:61" s="55" customFormat="1" x14ac:dyDescent="0.2">
      <c r="A7" s="354" t="s">
        <v>29</v>
      </c>
      <c r="B7" s="347">
        <v>62538</v>
      </c>
      <c r="C7" s="348">
        <v>57336</v>
      </c>
      <c r="D7" s="351">
        <v>4954</v>
      </c>
      <c r="E7" s="352">
        <v>4568</v>
      </c>
      <c r="F7" s="343">
        <v>8.4000000000000005E-2</v>
      </c>
      <c r="G7" s="347">
        <v>59900</v>
      </c>
      <c r="H7" s="348">
        <v>44058</v>
      </c>
      <c r="I7" s="351">
        <v>4800</v>
      </c>
      <c r="J7" s="352">
        <v>3647</v>
      </c>
      <c r="K7" s="344">
        <v>3.2799999999999998E-5</v>
      </c>
      <c r="L7" s="347">
        <v>46679</v>
      </c>
      <c r="M7" s="348">
        <v>27662</v>
      </c>
      <c r="N7" s="351">
        <v>4396</v>
      </c>
      <c r="O7" s="352">
        <v>2634</v>
      </c>
      <c r="P7" s="344">
        <v>0.17964089999999999</v>
      </c>
      <c r="Q7" s="347">
        <v>31479</v>
      </c>
      <c r="R7" s="348">
        <v>17904</v>
      </c>
      <c r="S7" s="351">
        <v>3134</v>
      </c>
      <c r="T7" s="352">
        <v>1556</v>
      </c>
      <c r="U7" s="64">
        <v>1</v>
      </c>
      <c r="V7" s="347">
        <v>24436</v>
      </c>
      <c r="W7" s="348">
        <v>10837</v>
      </c>
      <c r="X7" s="351">
        <v>2348</v>
      </c>
      <c r="Y7" s="352">
        <v>1304</v>
      </c>
      <c r="Z7" s="208">
        <v>1.7957919999999999E-30</v>
      </c>
      <c r="AA7" s="347">
        <v>18792</v>
      </c>
      <c r="AB7" s="348">
        <v>5543</v>
      </c>
      <c r="AC7" s="351">
        <v>2188</v>
      </c>
      <c r="AD7" s="352">
        <v>813</v>
      </c>
      <c r="AE7" s="208">
        <v>1.404871E-16</v>
      </c>
      <c r="AF7" s="347">
        <v>9805</v>
      </c>
      <c r="AG7" s="348">
        <v>2149</v>
      </c>
      <c r="AH7" s="351">
        <v>1485</v>
      </c>
      <c r="AI7" s="352">
        <v>339</v>
      </c>
      <c r="AJ7" s="208">
        <v>0.18726029999999999</v>
      </c>
      <c r="AK7" s="347">
        <v>5522</v>
      </c>
      <c r="AL7" s="348">
        <v>874</v>
      </c>
      <c r="AM7" s="351">
        <v>592</v>
      </c>
      <c r="AN7" s="352">
        <v>179</v>
      </c>
      <c r="AO7" s="208">
        <v>4.7539429999999998E-21</v>
      </c>
      <c r="AP7" s="347">
        <v>4443</v>
      </c>
      <c r="AQ7" s="348">
        <v>553</v>
      </c>
      <c r="AR7" s="351">
        <v>389</v>
      </c>
      <c r="AS7" s="352">
        <v>101</v>
      </c>
      <c r="AT7" s="208">
        <v>1.6362410000000001E-14</v>
      </c>
      <c r="AU7" s="347">
        <v>798</v>
      </c>
      <c r="AV7" s="348">
        <v>59</v>
      </c>
      <c r="AW7" s="351">
        <v>297</v>
      </c>
      <c r="AX7" s="352">
        <v>8</v>
      </c>
      <c r="AY7" s="55">
        <v>0.99999300000000002</v>
      </c>
      <c r="AZ7" s="347">
        <v>127</v>
      </c>
      <c r="BA7" s="348">
        <v>6</v>
      </c>
      <c r="BB7" s="351">
        <v>62</v>
      </c>
      <c r="BC7" s="352">
        <v>4</v>
      </c>
      <c r="BD7" s="55">
        <v>0.31771850000000001</v>
      </c>
      <c r="BE7" s="404"/>
      <c r="BF7" s="406"/>
      <c r="BG7" s="406"/>
      <c r="BH7" s="406"/>
      <c r="BI7" s="406"/>
    </row>
    <row r="8" spans="1:61" s="55" customFormat="1" x14ac:dyDescent="0.2">
      <c r="A8" s="292"/>
      <c r="U8" s="64"/>
      <c r="BE8" s="404"/>
      <c r="BF8" s="404"/>
      <c r="BG8" s="404"/>
      <c r="BH8" s="406"/>
      <c r="BI8" s="406"/>
    </row>
    <row r="9" spans="1:61" s="55" customFormat="1" x14ac:dyDescent="0.2">
      <c r="A9" s="354" t="s">
        <v>5</v>
      </c>
      <c r="B9" s="347">
        <v>47080</v>
      </c>
      <c r="C9" s="348">
        <v>43189</v>
      </c>
      <c r="D9" s="351">
        <v>5091</v>
      </c>
      <c r="E9" s="352">
        <v>4729</v>
      </c>
      <c r="F9" s="344">
        <v>6.9800000000000005E-4</v>
      </c>
      <c r="G9" s="347">
        <v>44454</v>
      </c>
      <c r="H9" s="349">
        <v>32894</v>
      </c>
      <c r="I9" s="351">
        <v>4950</v>
      </c>
      <c r="J9" s="352">
        <v>3641</v>
      </c>
      <c r="K9" s="381">
        <v>0.77838510000000005</v>
      </c>
      <c r="L9" s="347">
        <v>28917</v>
      </c>
      <c r="M9" s="348">
        <v>17361</v>
      </c>
      <c r="N9" s="351">
        <v>4585</v>
      </c>
      <c r="O9" s="352">
        <v>2577</v>
      </c>
      <c r="P9" s="55">
        <v>1</v>
      </c>
      <c r="Q9" s="347">
        <v>23857</v>
      </c>
      <c r="R9" s="348">
        <v>12720</v>
      </c>
      <c r="S9" s="351">
        <v>2892</v>
      </c>
      <c r="T9" s="352">
        <v>1433</v>
      </c>
      <c r="U9" s="64">
        <v>0.99999309999999997</v>
      </c>
      <c r="V9" s="347">
        <v>15796</v>
      </c>
      <c r="W9" s="348">
        <v>7220</v>
      </c>
      <c r="X9" s="351">
        <v>2137</v>
      </c>
      <c r="Y9" s="352">
        <v>1188</v>
      </c>
      <c r="Z9" s="208">
        <v>4.5522149999999997E-23</v>
      </c>
      <c r="AA9" s="347">
        <v>13281</v>
      </c>
      <c r="AB9" s="348">
        <v>4210</v>
      </c>
      <c r="AC9" s="351">
        <v>1915</v>
      </c>
      <c r="AD9" s="352">
        <v>697</v>
      </c>
      <c r="AE9" s="208">
        <v>1.275258E-6</v>
      </c>
      <c r="AF9" s="347">
        <v>8907</v>
      </c>
      <c r="AG9" s="348">
        <v>1513</v>
      </c>
      <c r="AH9" s="351">
        <v>1242</v>
      </c>
      <c r="AI9" s="352">
        <v>304</v>
      </c>
      <c r="AJ9" s="208">
        <v>2.2601270000000001E-13</v>
      </c>
      <c r="AK9" s="347">
        <v>3276</v>
      </c>
      <c r="AL9" s="348">
        <v>611</v>
      </c>
      <c r="AM9" s="351">
        <v>559</v>
      </c>
      <c r="AN9" s="352">
        <v>155</v>
      </c>
      <c r="AO9" s="208">
        <v>4.1789810000000003E-9</v>
      </c>
      <c r="AP9" s="347">
        <v>2490</v>
      </c>
      <c r="AQ9" s="348">
        <v>392</v>
      </c>
      <c r="AR9" s="351">
        <v>345</v>
      </c>
      <c r="AS9" s="352">
        <v>84</v>
      </c>
      <c r="AT9" s="208">
        <v>4.6470550000000002E-6</v>
      </c>
      <c r="AU9" s="347">
        <v>825</v>
      </c>
      <c r="AV9" s="348">
        <v>57</v>
      </c>
      <c r="AW9" s="351">
        <v>214</v>
      </c>
      <c r="AX9" s="352">
        <v>22</v>
      </c>
      <c r="AY9" s="55">
        <v>2.0420830000000001E-2</v>
      </c>
      <c r="AZ9" s="347">
        <v>147</v>
      </c>
      <c r="BA9" s="348">
        <v>16</v>
      </c>
      <c r="BB9" s="351">
        <v>51</v>
      </c>
      <c r="BC9" s="352">
        <v>10</v>
      </c>
      <c r="BD9" s="208">
        <v>1.5760590000000001E-2</v>
      </c>
      <c r="BE9" s="404"/>
      <c r="BF9" s="406"/>
      <c r="BG9" s="404"/>
      <c r="BH9" s="406"/>
      <c r="BI9" s="406"/>
    </row>
    <row r="10" spans="1:61" s="55" customFormat="1" x14ac:dyDescent="0.2">
      <c r="A10" s="358"/>
      <c r="AO10" s="208"/>
      <c r="BE10" s="404"/>
      <c r="BF10" s="406"/>
      <c r="BG10" s="404"/>
      <c r="BH10" s="406"/>
      <c r="BI10" s="406"/>
    </row>
    <row r="11" spans="1:61" s="55" customFormat="1" x14ac:dyDescent="0.2">
      <c r="A11" s="358"/>
      <c r="B11" s="386" t="s">
        <v>33</v>
      </c>
      <c r="C11" s="386"/>
      <c r="D11" s="386"/>
      <c r="E11" s="386"/>
      <c r="F11" s="386"/>
      <c r="G11" s="384" t="s">
        <v>38</v>
      </c>
      <c r="H11" s="385"/>
      <c r="I11" s="385"/>
      <c r="J11" s="385"/>
      <c r="K11" s="387"/>
      <c r="L11" s="385" t="s">
        <v>39</v>
      </c>
      <c r="M11" s="385"/>
      <c r="N11" s="385"/>
      <c r="O11" s="385"/>
      <c r="P11" s="387"/>
      <c r="Q11" s="385" t="s">
        <v>30</v>
      </c>
      <c r="R11" s="385"/>
      <c r="S11" s="385"/>
      <c r="T11" s="385"/>
      <c r="U11" s="387"/>
      <c r="V11" s="385" t="s">
        <v>40</v>
      </c>
      <c r="W11" s="385"/>
      <c r="X11" s="385"/>
      <c r="Y11" s="385"/>
      <c r="Z11" s="387"/>
      <c r="AA11" s="385" t="s">
        <v>41</v>
      </c>
      <c r="AB11" s="385"/>
      <c r="AC11" s="385"/>
      <c r="AD11" s="385"/>
      <c r="AE11" s="387"/>
      <c r="AF11" s="385" t="s">
        <v>42</v>
      </c>
      <c r="AG11" s="385"/>
      <c r="AH11" s="385"/>
      <c r="AI11" s="385"/>
      <c r="AJ11" s="387"/>
      <c r="AK11" s="385" t="s">
        <v>43</v>
      </c>
      <c r="AL11" s="385"/>
      <c r="AM11" s="385"/>
      <c r="AN11" s="385"/>
      <c r="AO11" s="387"/>
      <c r="AP11" s="385" t="s">
        <v>46</v>
      </c>
      <c r="AQ11" s="385"/>
      <c r="AR11" s="385"/>
      <c r="AS11" s="385"/>
      <c r="AT11" s="387"/>
      <c r="AU11" s="385" t="s">
        <v>45</v>
      </c>
      <c r="AV11" s="385"/>
      <c r="AW11" s="385"/>
      <c r="AX11" s="385"/>
      <c r="AY11" s="387"/>
      <c r="AZ11" s="385" t="s">
        <v>36</v>
      </c>
      <c r="BA11" s="385"/>
      <c r="BB11" s="385"/>
      <c r="BC11" s="385"/>
      <c r="BD11" s="387"/>
      <c r="BE11" s="404"/>
      <c r="BF11" s="404"/>
      <c r="BG11" s="404"/>
      <c r="BH11" s="406"/>
      <c r="BI11" s="406"/>
    </row>
    <row r="12" spans="1:61" s="55" customFormat="1" ht="80" x14ac:dyDescent="0.2">
      <c r="A12" s="7" t="s">
        <v>80</v>
      </c>
      <c r="B12" s="279" t="s">
        <v>56</v>
      </c>
      <c r="C12" s="7" t="s">
        <v>55</v>
      </c>
      <c r="D12" s="7" t="s">
        <v>52</v>
      </c>
      <c r="E12" s="103" t="s">
        <v>53</v>
      </c>
      <c r="F12" s="65" t="s">
        <v>35</v>
      </c>
      <c r="G12" s="279" t="s">
        <v>56</v>
      </c>
      <c r="H12" s="7" t="s">
        <v>55</v>
      </c>
      <c r="I12" s="7" t="s">
        <v>52</v>
      </c>
      <c r="J12" s="103" t="s">
        <v>53</v>
      </c>
      <c r="K12" s="65" t="s">
        <v>35</v>
      </c>
      <c r="L12" s="279" t="s">
        <v>56</v>
      </c>
      <c r="M12" s="7" t="s">
        <v>55</v>
      </c>
      <c r="N12" s="7" t="s">
        <v>52</v>
      </c>
      <c r="O12" s="103" t="s">
        <v>53</v>
      </c>
      <c r="P12" s="65" t="s">
        <v>35</v>
      </c>
      <c r="Q12" s="279" t="s">
        <v>56</v>
      </c>
      <c r="R12" s="7" t="s">
        <v>55</v>
      </c>
      <c r="S12" s="7" t="s">
        <v>52</v>
      </c>
      <c r="T12" s="103" t="s">
        <v>53</v>
      </c>
      <c r="U12" s="65" t="s">
        <v>35</v>
      </c>
      <c r="V12" s="279" t="s">
        <v>56</v>
      </c>
      <c r="W12" s="7" t="s">
        <v>55</v>
      </c>
      <c r="X12" s="7" t="s">
        <v>52</v>
      </c>
      <c r="Y12" s="103" t="s">
        <v>53</v>
      </c>
      <c r="Z12" s="65" t="s">
        <v>35</v>
      </c>
      <c r="AA12" s="279" t="s">
        <v>56</v>
      </c>
      <c r="AB12" s="7" t="s">
        <v>55</v>
      </c>
      <c r="AC12" s="7" t="s">
        <v>52</v>
      </c>
      <c r="AD12" s="103" t="s">
        <v>53</v>
      </c>
      <c r="AE12" s="65" t="s">
        <v>35</v>
      </c>
      <c r="AF12" s="279" t="s">
        <v>56</v>
      </c>
      <c r="AG12" s="7" t="s">
        <v>55</v>
      </c>
      <c r="AH12" s="7" t="s">
        <v>52</v>
      </c>
      <c r="AI12" s="103" t="s">
        <v>53</v>
      </c>
      <c r="AJ12" s="65" t="s">
        <v>35</v>
      </c>
      <c r="AK12" s="279" t="s">
        <v>56</v>
      </c>
      <c r="AL12" s="7" t="s">
        <v>55</v>
      </c>
      <c r="AM12" s="7" t="s">
        <v>52</v>
      </c>
      <c r="AN12" s="103" t="s">
        <v>53</v>
      </c>
      <c r="AO12" s="65" t="s">
        <v>35</v>
      </c>
      <c r="AP12" s="279" t="s">
        <v>56</v>
      </c>
      <c r="AQ12" s="7" t="s">
        <v>55</v>
      </c>
      <c r="AR12" s="7" t="s">
        <v>52</v>
      </c>
      <c r="AS12" s="103" t="s">
        <v>53</v>
      </c>
      <c r="AT12" s="65" t="s">
        <v>35</v>
      </c>
      <c r="AU12" s="279" t="s">
        <v>56</v>
      </c>
      <c r="AV12" s="7" t="s">
        <v>55</v>
      </c>
      <c r="AW12" s="7" t="s">
        <v>52</v>
      </c>
      <c r="AX12" s="103" t="s">
        <v>53</v>
      </c>
      <c r="AY12" s="65" t="s">
        <v>35</v>
      </c>
      <c r="AZ12" s="279" t="s">
        <v>56</v>
      </c>
      <c r="BA12" s="7" t="s">
        <v>55</v>
      </c>
      <c r="BB12" s="7" t="s">
        <v>52</v>
      </c>
      <c r="BC12" s="103" t="s">
        <v>53</v>
      </c>
      <c r="BD12" s="238" t="s">
        <v>35</v>
      </c>
      <c r="BE12" s="404"/>
      <c r="BF12" s="404"/>
      <c r="BG12" s="404"/>
      <c r="BH12" s="404"/>
      <c r="BI12" s="404"/>
    </row>
    <row r="13" spans="1:61" s="55" customFormat="1" x14ac:dyDescent="0.2">
      <c r="A13" s="357" t="s">
        <v>27</v>
      </c>
      <c r="B13" s="347">
        <v>16233</v>
      </c>
      <c r="C13" s="348">
        <v>14097</v>
      </c>
      <c r="D13" s="351">
        <v>640</v>
      </c>
      <c r="E13" s="352">
        <v>593</v>
      </c>
      <c r="F13" s="344">
        <v>1.356238E-6</v>
      </c>
      <c r="G13" s="347">
        <v>16073</v>
      </c>
      <c r="H13" s="348">
        <v>7940</v>
      </c>
      <c r="I13" s="351">
        <v>636</v>
      </c>
      <c r="J13" s="352">
        <v>503</v>
      </c>
      <c r="K13" s="344">
        <v>8.8447489999999993E-56</v>
      </c>
      <c r="L13" s="347">
        <v>12179</v>
      </c>
      <c r="M13" s="348">
        <v>3424</v>
      </c>
      <c r="N13" s="351">
        <v>533</v>
      </c>
      <c r="O13" s="352">
        <v>361</v>
      </c>
      <c r="P13" s="344">
        <v>2.989851E-84</v>
      </c>
      <c r="Q13" s="347">
        <v>7255</v>
      </c>
      <c r="R13" s="348">
        <v>1828</v>
      </c>
      <c r="S13" s="351">
        <v>400</v>
      </c>
      <c r="T13" s="352">
        <v>272</v>
      </c>
      <c r="U13" s="208">
        <v>4.0358189999999997E-77</v>
      </c>
      <c r="V13" s="347">
        <v>7095</v>
      </c>
      <c r="W13" s="348">
        <v>1554</v>
      </c>
      <c r="X13" s="351">
        <v>311</v>
      </c>
      <c r="Y13" s="352">
        <v>232</v>
      </c>
      <c r="Z13" s="344">
        <v>4.6784299999999997E-92</v>
      </c>
      <c r="AA13" s="347">
        <v>4658</v>
      </c>
      <c r="AB13" s="348">
        <v>623</v>
      </c>
      <c r="AC13" s="351">
        <v>222</v>
      </c>
      <c r="AD13" s="352">
        <v>102</v>
      </c>
      <c r="AE13" s="344">
        <v>2.8667790000000001E-34</v>
      </c>
      <c r="AF13" s="347">
        <v>2907</v>
      </c>
      <c r="AG13" s="348">
        <v>224</v>
      </c>
      <c r="AH13" s="351">
        <v>149</v>
      </c>
      <c r="AI13" s="352">
        <v>61</v>
      </c>
      <c r="AJ13" s="344">
        <v>6.4303559999999997E-32</v>
      </c>
      <c r="AK13" s="347">
        <v>1192</v>
      </c>
      <c r="AL13" s="348">
        <v>142</v>
      </c>
      <c r="AM13" s="351">
        <v>75</v>
      </c>
      <c r="AN13" s="352">
        <v>37</v>
      </c>
      <c r="AO13" s="208">
        <v>6.3699369999999995E-17</v>
      </c>
      <c r="AP13" s="347">
        <v>600</v>
      </c>
      <c r="AQ13" s="348">
        <v>116</v>
      </c>
      <c r="AR13" s="351">
        <v>47</v>
      </c>
      <c r="AS13" s="352">
        <v>18</v>
      </c>
      <c r="AT13" s="55">
        <v>1.257717E-3</v>
      </c>
      <c r="AU13" s="347">
        <v>339</v>
      </c>
      <c r="AV13" s="348">
        <v>12</v>
      </c>
      <c r="AW13" s="351">
        <v>42</v>
      </c>
      <c r="AX13" s="352">
        <v>10</v>
      </c>
      <c r="AY13" s="208">
        <v>1.670145E-8</v>
      </c>
      <c r="AZ13" s="347">
        <v>21</v>
      </c>
      <c r="BA13" s="348">
        <v>4</v>
      </c>
      <c r="BB13" s="351">
        <v>9</v>
      </c>
      <c r="BC13" s="352">
        <v>4</v>
      </c>
      <c r="BD13" s="55">
        <v>2.1000000000000001E-2</v>
      </c>
      <c r="BE13" s="404"/>
      <c r="BF13" s="404"/>
      <c r="BG13" s="404"/>
      <c r="BH13" s="404"/>
      <c r="BI13" s="406"/>
    </row>
    <row r="14" spans="1:61" s="55" customFormat="1" x14ac:dyDescent="0.2">
      <c r="A14" s="355"/>
      <c r="BE14" s="404"/>
      <c r="BF14" s="404"/>
      <c r="BG14" s="404"/>
      <c r="BH14" s="404"/>
      <c r="BI14" s="404"/>
    </row>
    <row r="15" spans="1:61" s="55" customFormat="1" x14ac:dyDescent="0.2">
      <c r="A15" s="354" t="s">
        <v>28</v>
      </c>
      <c r="B15" s="347">
        <v>31942</v>
      </c>
      <c r="C15" s="348">
        <v>28338</v>
      </c>
      <c r="D15" s="351">
        <v>1485</v>
      </c>
      <c r="E15" s="352">
        <v>1303</v>
      </c>
      <c r="F15" s="344">
        <v>0.89440730000000002</v>
      </c>
      <c r="G15" s="347">
        <v>20978</v>
      </c>
      <c r="H15" s="348">
        <v>14879</v>
      </c>
      <c r="I15" s="351">
        <v>1472</v>
      </c>
      <c r="J15" s="352">
        <v>1128</v>
      </c>
      <c r="K15" s="344">
        <v>2.0584900000000001E-7</v>
      </c>
      <c r="L15" s="347">
        <v>15599</v>
      </c>
      <c r="M15" s="348">
        <v>9822</v>
      </c>
      <c r="N15" s="351">
        <v>1246</v>
      </c>
      <c r="O15" s="352">
        <v>893</v>
      </c>
      <c r="P15" s="208">
        <v>9.1611039999999997E-12</v>
      </c>
      <c r="Q15" s="347">
        <v>12866</v>
      </c>
      <c r="R15" s="348">
        <v>6768</v>
      </c>
      <c r="S15" s="351">
        <v>1133</v>
      </c>
      <c r="T15" s="352">
        <v>893</v>
      </c>
      <c r="U15" s="208">
        <v>1.6088490000000001E-81</v>
      </c>
      <c r="V15" s="347">
        <v>10450</v>
      </c>
      <c r="W15" s="348">
        <v>5521</v>
      </c>
      <c r="X15" s="351">
        <v>962</v>
      </c>
      <c r="Y15" s="352">
        <v>564</v>
      </c>
      <c r="Z15" s="208">
        <v>8.6535280000000003E-5</v>
      </c>
      <c r="AA15" s="347">
        <v>7254</v>
      </c>
      <c r="AB15" s="348">
        <v>2273</v>
      </c>
      <c r="AC15" s="351">
        <v>697</v>
      </c>
      <c r="AD15" s="352">
        <v>247</v>
      </c>
      <c r="AE15" s="208">
        <v>8.3259419999999994E-3</v>
      </c>
      <c r="AF15" s="347">
        <v>4696</v>
      </c>
      <c r="AG15" s="348">
        <v>840</v>
      </c>
      <c r="AH15" s="351">
        <v>473</v>
      </c>
      <c r="AI15" s="352">
        <v>107</v>
      </c>
      <c r="AJ15" s="343">
        <v>3.4071140000000001E-3</v>
      </c>
      <c r="AK15" s="347">
        <v>1276</v>
      </c>
      <c r="AL15" s="348">
        <v>227</v>
      </c>
      <c r="AM15" s="351">
        <v>163</v>
      </c>
      <c r="AN15" s="352">
        <v>47</v>
      </c>
      <c r="AO15" s="55">
        <v>1.2981439999999999E-4</v>
      </c>
      <c r="AP15" s="347">
        <v>419</v>
      </c>
      <c r="AQ15" s="348">
        <v>36</v>
      </c>
      <c r="AR15" s="351">
        <v>57</v>
      </c>
      <c r="AS15" s="352">
        <v>17</v>
      </c>
      <c r="AT15" s="208">
        <v>2.3205809999999999E-7</v>
      </c>
      <c r="AU15" s="347">
        <v>390</v>
      </c>
      <c r="AV15" s="348">
        <v>24</v>
      </c>
      <c r="AW15" s="351">
        <v>35</v>
      </c>
      <c r="AX15" s="352">
        <v>5</v>
      </c>
      <c r="AY15" s="55">
        <v>5.2610759999999999E-2</v>
      </c>
      <c r="AZ15" s="347">
        <v>138</v>
      </c>
      <c r="BA15" s="348">
        <v>7</v>
      </c>
      <c r="BB15" s="351">
        <v>7</v>
      </c>
      <c r="BC15" s="352">
        <v>3</v>
      </c>
      <c r="BD15" s="55">
        <v>2.611244E-3</v>
      </c>
      <c r="BE15" s="404"/>
      <c r="BF15" s="407"/>
      <c r="BG15" s="407"/>
      <c r="BH15" s="407"/>
      <c r="BI15" s="407"/>
    </row>
    <row r="16" spans="1:61" s="55" customFormat="1" x14ac:dyDescent="0.2">
      <c r="BE16" s="404"/>
      <c r="BF16" s="406"/>
      <c r="BG16" s="406"/>
      <c r="BH16" s="406"/>
      <c r="BI16" s="406"/>
    </row>
    <row r="17" spans="1:61" s="55" customFormat="1" x14ac:dyDescent="0.2">
      <c r="A17" s="354" t="s">
        <v>29</v>
      </c>
      <c r="B17" s="347">
        <v>74969</v>
      </c>
      <c r="C17" s="348">
        <v>63338</v>
      </c>
      <c r="D17" s="351">
        <v>5441</v>
      </c>
      <c r="E17" s="352">
        <v>5012</v>
      </c>
      <c r="F17" s="344">
        <v>2.5797680000000001E-68</v>
      </c>
      <c r="G17" s="347">
        <v>74572</v>
      </c>
      <c r="H17" s="348">
        <v>36159</v>
      </c>
      <c r="I17" s="351">
        <v>5420</v>
      </c>
      <c r="J17" s="352">
        <v>4084</v>
      </c>
      <c r="K17" s="346">
        <v>0</v>
      </c>
      <c r="L17" s="347">
        <v>62179</v>
      </c>
      <c r="M17" s="348">
        <v>17001</v>
      </c>
      <c r="N17" s="351">
        <v>4731</v>
      </c>
      <c r="O17" s="352">
        <v>2939</v>
      </c>
      <c r="P17" s="55">
        <v>0</v>
      </c>
      <c r="Q17" s="347">
        <v>50353</v>
      </c>
      <c r="R17" s="348">
        <v>8218</v>
      </c>
      <c r="S17" s="351">
        <v>4012</v>
      </c>
      <c r="T17" s="352">
        <v>2144</v>
      </c>
      <c r="U17" s="55">
        <v>0</v>
      </c>
      <c r="V17" s="347">
        <v>38696</v>
      </c>
      <c r="W17" s="348">
        <v>5830</v>
      </c>
      <c r="X17" s="351">
        <v>3251</v>
      </c>
      <c r="Y17" s="352">
        <v>1876</v>
      </c>
      <c r="Z17" s="55">
        <v>0</v>
      </c>
      <c r="AA17" s="347">
        <v>27444</v>
      </c>
      <c r="AB17" s="348">
        <v>2038</v>
      </c>
      <c r="AC17" s="351">
        <v>2375</v>
      </c>
      <c r="AD17" s="352">
        <v>904</v>
      </c>
      <c r="AE17" s="55">
        <v>0</v>
      </c>
      <c r="AF17" s="347">
        <v>17864</v>
      </c>
      <c r="AG17" s="348">
        <v>1091</v>
      </c>
      <c r="AH17" s="351">
        <v>1681</v>
      </c>
      <c r="AI17" s="352">
        <v>465</v>
      </c>
      <c r="AJ17" s="208">
        <v>1.279522E-204</v>
      </c>
      <c r="AK17" s="347">
        <v>7113</v>
      </c>
      <c r="AL17" s="348">
        <v>624</v>
      </c>
      <c r="AM17" s="351">
        <v>728</v>
      </c>
      <c r="AN17" s="352">
        <v>197</v>
      </c>
      <c r="AO17" s="208">
        <v>5.8144569999999998E-55</v>
      </c>
      <c r="AP17" s="347">
        <v>2186</v>
      </c>
      <c r="AQ17" s="348">
        <v>143</v>
      </c>
      <c r="AR17" s="351">
        <v>327</v>
      </c>
      <c r="AS17" s="352">
        <v>96</v>
      </c>
      <c r="AT17" s="208">
        <v>5.5504840000000003E-50</v>
      </c>
      <c r="AU17" s="347">
        <v>2172</v>
      </c>
      <c r="AV17" s="348">
        <v>54</v>
      </c>
      <c r="AW17" s="351">
        <v>244</v>
      </c>
      <c r="AX17" s="352">
        <v>12</v>
      </c>
      <c r="AY17" s="55">
        <v>1.403165E-2</v>
      </c>
      <c r="AZ17" s="347">
        <v>129</v>
      </c>
      <c r="BA17" s="348">
        <v>5</v>
      </c>
      <c r="BB17" s="351">
        <v>47</v>
      </c>
      <c r="BC17" s="352">
        <v>3</v>
      </c>
      <c r="BD17" s="55">
        <v>0.2543646</v>
      </c>
      <c r="BE17" s="404"/>
      <c r="BF17" s="406"/>
      <c r="BG17" s="406"/>
      <c r="BH17" s="227"/>
      <c r="BI17" s="227"/>
    </row>
    <row r="18" spans="1:61" s="55" customFormat="1" x14ac:dyDescent="0.2">
      <c r="K18" s="64"/>
      <c r="BE18" s="404"/>
      <c r="BF18" s="406"/>
      <c r="BG18" s="406"/>
      <c r="BH18" s="404"/>
      <c r="BI18" s="404"/>
    </row>
    <row r="19" spans="1:61" s="55" customFormat="1" x14ac:dyDescent="0.2">
      <c r="A19" s="354" t="s">
        <v>5</v>
      </c>
      <c r="B19" s="347">
        <v>58235</v>
      </c>
      <c r="C19" s="348">
        <v>49488</v>
      </c>
      <c r="D19" s="351">
        <v>5990</v>
      </c>
      <c r="E19" s="352">
        <v>5534</v>
      </c>
      <c r="F19" s="344">
        <v>9.002771999999999E-75</v>
      </c>
      <c r="G19" s="347">
        <v>58046</v>
      </c>
      <c r="H19" s="348">
        <v>28888</v>
      </c>
      <c r="I19" s="351">
        <v>5986</v>
      </c>
      <c r="J19" s="352">
        <v>4515</v>
      </c>
      <c r="K19" s="64">
        <v>0</v>
      </c>
      <c r="L19" s="347">
        <v>48442</v>
      </c>
      <c r="M19" s="348">
        <v>13728</v>
      </c>
      <c r="N19" s="351">
        <v>5218</v>
      </c>
      <c r="O19" s="352">
        <v>3182</v>
      </c>
      <c r="P19" s="55">
        <v>0</v>
      </c>
      <c r="Q19" s="347">
        <v>36586</v>
      </c>
      <c r="R19" s="348">
        <v>6661</v>
      </c>
      <c r="S19" s="351">
        <v>4314</v>
      </c>
      <c r="T19" s="352">
        <v>2292</v>
      </c>
      <c r="U19" s="55">
        <v>0</v>
      </c>
      <c r="V19" s="347">
        <v>28260</v>
      </c>
      <c r="W19" s="348">
        <v>4642</v>
      </c>
      <c r="X19" s="351">
        <v>3439</v>
      </c>
      <c r="Y19" s="352">
        <v>1980</v>
      </c>
      <c r="Z19" s="55">
        <v>0</v>
      </c>
      <c r="AA19" s="347">
        <v>19305</v>
      </c>
      <c r="AB19" s="348">
        <v>1495</v>
      </c>
      <c r="AC19" s="351">
        <v>2352</v>
      </c>
      <c r="AD19" s="352">
        <v>923</v>
      </c>
      <c r="AE19" s="55">
        <v>0</v>
      </c>
      <c r="AF19" s="347">
        <v>13222</v>
      </c>
      <c r="AG19" s="348">
        <v>677</v>
      </c>
      <c r="AH19" s="351">
        <v>1735</v>
      </c>
      <c r="AI19" s="352">
        <v>484</v>
      </c>
      <c r="AJ19" s="208">
        <v>1.3010479999999999E-290</v>
      </c>
      <c r="AK19" s="347">
        <v>5714</v>
      </c>
      <c r="AL19" s="348">
        <v>454</v>
      </c>
      <c r="AM19" s="351">
        <v>833</v>
      </c>
      <c r="AN19" s="352">
        <v>254</v>
      </c>
      <c r="AO19" s="208">
        <v>1.784011E-105</v>
      </c>
      <c r="AP19" s="347">
        <v>1699</v>
      </c>
      <c r="AQ19" s="348">
        <v>175</v>
      </c>
      <c r="AR19" s="351">
        <v>411</v>
      </c>
      <c r="AS19" s="352">
        <v>108</v>
      </c>
      <c r="AT19" s="208">
        <v>4.242798E-47</v>
      </c>
      <c r="AU19" s="347">
        <v>1462</v>
      </c>
      <c r="AV19" s="348">
        <v>43</v>
      </c>
      <c r="AW19" s="351">
        <v>274</v>
      </c>
      <c r="AX19" s="352">
        <v>33</v>
      </c>
      <c r="AY19" s="208">
        <v>6.2070960000000003E-17</v>
      </c>
      <c r="AZ19" s="347">
        <v>142</v>
      </c>
      <c r="BA19" s="348">
        <v>10</v>
      </c>
      <c r="BB19" s="351">
        <v>30</v>
      </c>
      <c r="BC19" s="352">
        <v>6</v>
      </c>
      <c r="BD19" s="208">
        <v>6.3078559999999997E-3</v>
      </c>
      <c r="BE19" s="404"/>
      <c r="BF19" s="406"/>
      <c r="BG19" s="406"/>
      <c r="BH19" s="404"/>
      <c r="BI19" s="404"/>
    </row>
    <row r="20" spans="1:61" x14ac:dyDescent="0.2">
      <c r="BF20" s="406"/>
      <c r="BG20" s="406"/>
    </row>
    <row r="21" spans="1:61" x14ac:dyDescent="0.2">
      <c r="J21" s="343"/>
      <c r="BF21" s="406"/>
      <c r="BG21" s="406"/>
    </row>
    <row r="22" spans="1:61" x14ac:dyDescent="0.2">
      <c r="B22" s="337"/>
      <c r="AL22" s="343"/>
      <c r="AM22" s="343"/>
      <c r="BF22" s="406"/>
      <c r="BH22" s="406"/>
      <c r="BI22" s="406"/>
    </row>
    <row r="23" spans="1:61" x14ac:dyDescent="0.2">
      <c r="B23" s="337"/>
      <c r="BF23" s="406"/>
      <c r="BH23" s="406"/>
      <c r="BI23" s="406"/>
    </row>
    <row r="24" spans="1:61" x14ac:dyDescent="0.2">
      <c r="BG24" s="406"/>
      <c r="BH24" s="406"/>
      <c r="BI24" s="406"/>
    </row>
    <row r="25" spans="1:61" x14ac:dyDescent="0.2">
      <c r="BF25" s="406"/>
      <c r="BI25" s="406"/>
    </row>
    <row r="26" spans="1:61" x14ac:dyDescent="0.2">
      <c r="BI26" s="406"/>
    </row>
  </sheetData>
  <mergeCells count="22">
    <mergeCell ref="AK11:AO11"/>
    <mergeCell ref="AP11:AT11"/>
    <mergeCell ref="AU11:AY11"/>
    <mergeCell ref="AZ11:BD11"/>
    <mergeCell ref="AP1:AT1"/>
    <mergeCell ref="AU1:AY1"/>
    <mergeCell ref="AZ1:BD1"/>
    <mergeCell ref="AK1:AO1"/>
    <mergeCell ref="B1:F1"/>
    <mergeCell ref="G1:K1"/>
    <mergeCell ref="AA11:AE11"/>
    <mergeCell ref="AF11:AJ11"/>
    <mergeCell ref="L1:P1"/>
    <mergeCell ref="Q1:U1"/>
    <mergeCell ref="V1:Z1"/>
    <mergeCell ref="AA1:AE1"/>
    <mergeCell ref="AF1:AJ1"/>
    <mergeCell ref="B11:F11"/>
    <mergeCell ref="G11:K11"/>
    <mergeCell ref="L11:P11"/>
    <mergeCell ref="Q11:U11"/>
    <mergeCell ref="V11:Z11"/>
  </mergeCells>
  <conditionalFormatting sqref="F3 U9 U7 F7 BD5 AY5 AT5 AO5 AJ5 AE5 Z5 U5 P5 K5 F5">
    <cfRule type="cellIs" dxfId="152" priority="80" operator="greaterThan">
      <formula>0.05</formula>
    </cfRule>
  </conditionalFormatting>
  <conditionalFormatting sqref="F3 U9 U7 F7 AO5 AJ5 AE5 Z5 U5 P5 K5 F5">
    <cfRule type="cellIs" dxfId="151" priority="79" operator="lessThan">
      <formula>0.05</formula>
    </cfRule>
  </conditionalFormatting>
  <conditionalFormatting sqref="F3 F7 U7 U9">
    <cfRule type="cellIs" dxfId="150" priority="77" operator="lessThan">
      <formula>0.00417</formula>
    </cfRule>
    <cfRule type="cellIs" dxfId="149" priority="78" operator="lessThan">
      <formula>0.0025</formula>
    </cfRule>
  </conditionalFormatting>
  <conditionalFormatting sqref="F5 K5 P5 U5 Z5 AE5 AO5 AT5 AY5 AJ5">
    <cfRule type="cellIs" dxfId="148" priority="76" operator="lessThan">
      <formula>$J$21</formula>
    </cfRule>
  </conditionalFormatting>
  <conditionalFormatting sqref="BD15 AY15 AT15 AO15 AJ15 AE15 Z15 U15 P15 K15 F15">
    <cfRule type="cellIs" dxfId="147" priority="74" operator="lessThan">
      <formula>0.05</formula>
    </cfRule>
    <cfRule type="cellIs" dxfId="146" priority="75" operator="greaterThan">
      <formula>0.05</formula>
    </cfRule>
  </conditionalFormatting>
  <conditionalFormatting sqref="K15 P15 U15 Z15 AE15 AJ15">
    <cfRule type="cellIs" dxfId="145" priority="70" operator="lessThan">
      <formula>0.0124</formula>
    </cfRule>
  </conditionalFormatting>
  <conditionalFormatting sqref="AY5">
    <cfRule type="cellIs" dxfId="144" priority="67" operator="lessThan">
      <formula>0.0125</formula>
    </cfRule>
  </conditionalFormatting>
  <conditionalFormatting sqref="Z5">
    <cfRule type="cellIs" dxfId="143" priority="63" operator="lessThan">
      <formula>0.0125</formula>
    </cfRule>
  </conditionalFormatting>
  <conditionalFormatting sqref="AY13 BD13 AY17 BD17 AT13 AT17 AO13 AO17 AJ13 AJ17 AE13 AE17 Z13 Z17 U13 U17 P13 P17 K13 K17 F13 F17 F19 K19 P19 U19 Z19 AE19 AJ19 AO19 AT19 BD19 AY19">
    <cfRule type="cellIs" dxfId="142" priority="62" operator="lessThan">
      <formula>0.05</formula>
    </cfRule>
    <cfRule type="cellIs" dxfId="141" priority="61" operator="lessThan">
      <formula>0</formula>
    </cfRule>
    <cfRule type="cellIs" dxfId="140" priority="60" operator="lessThan">
      <formula>0.00417</formula>
    </cfRule>
    <cfRule type="cellIs" dxfId="139" priority="59" operator="lessThan">
      <formula>0.0025</formula>
    </cfRule>
  </conditionalFormatting>
  <conditionalFormatting sqref="BD15 AY15 AT15 AO15 AJ15 AE15 U15 F15 K15 P15">
    <cfRule type="cellIs" dxfId="138" priority="58" operator="lessThan">
      <formula>0.0025</formula>
    </cfRule>
  </conditionalFormatting>
  <conditionalFormatting sqref="F9 K7 K3 P3 P7 U3 Z3 Z7 AE3 AE7 AJ3 AJ7 AO3 AO7 AT3 AT7 AY3 AY7 BD3 BD7 BD9 AY9 AT9 AO9 AJ9 AE9 Z9 P9 K9">
    <cfRule type="cellIs" dxfId="137" priority="57" operator="lessThan">
      <formula>0.05</formula>
    </cfRule>
    <cfRule type="cellIs" dxfId="136" priority="56" operator="lessThan">
      <formula>0.00417</formula>
    </cfRule>
    <cfRule type="cellIs" dxfId="135" priority="55" operator="lessThan">
      <formula>0.0025</formula>
    </cfRule>
    <cfRule type="cellIs" dxfId="134" priority="54" operator="greaterThan">
      <formula>0.05</formula>
    </cfRule>
  </conditionalFormatting>
  <conditionalFormatting sqref="BD17">
    <cfRule type="cellIs" dxfId="133" priority="53" operator="greaterThan">
      <formula>0.05</formula>
    </cfRule>
  </conditionalFormatting>
  <conditionalFormatting sqref="AY5 AJ5 Z5 U5 P5 K5">
    <cfRule type="cellIs" dxfId="132" priority="52" operator="lessThan">
      <formula>0.05</formula>
    </cfRule>
    <cfRule type="cellIs" dxfId="131" priority="51" operator="lessThan">
      <formula>0.0125</formula>
    </cfRule>
    <cfRule type="cellIs" dxfId="130" priority="50" operator="lessThan">
      <formula>0.0025</formula>
    </cfRule>
  </conditionalFormatting>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I25" sqref="I25"/>
    </sheetView>
  </sheetViews>
  <sheetFormatPr baseColWidth="10" defaultRowHeight="16" x14ac:dyDescent="0.2"/>
  <cols>
    <col min="1" max="2" width="19.83203125" customWidth="1"/>
  </cols>
  <sheetData>
    <row r="1" spans="1:14" ht="48" x14ac:dyDescent="0.2">
      <c r="B1" s="1" t="s">
        <v>70</v>
      </c>
      <c r="C1" s="340" t="s">
        <v>37</v>
      </c>
      <c r="D1" s="340" t="s">
        <v>38</v>
      </c>
      <c r="E1" s="340" t="s">
        <v>39</v>
      </c>
      <c r="F1" s="340" t="s">
        <v>68</v>
      </c>
      <c r="G1" s="340" t="s">
        <v>40</v>
      </c>
      <c r="H1" s="340" t="s">
        <v>41</v>
      </c>
      <c r="I1" s="340" t="s">
        <v>42</v>
      </c>
      <c r="J1" s="340" t="s">
        <v>43</v>
      </c>
      <c r="K1" s="340" t="s">
        <v>46</v>
      </c>
      <c r="L1" s="340" t="s">
        <v>69</v>
      </c>
      <c r="M1" s="340" t="s">
        <v>36</v>
      </c>
      <c r="N1" s="339"/>
    </row>
    <row r="2" spans="1:14" x14ac:dyDescent="0.2">
      <c r="A2" s="395" t="s">
        <v>27</v>
      </c>
      <c r="B2" s="338" t="s">
        <v>1</v>
      </c>
      <c r="C2">
        <v>228</v>
      </c>
      <c r="D2">
        <v>220</v>
      </c>
      <c r="E2">
        <v>151</v>
      </c>
      <c r="F2">
        <v>116</v>
      </c>
      <c r="G2">
        <v>101</v>
      </c>
      <c r="H2">
        <v>75</v>
      </c>
      <c r="I2">
        <v>50</v>
      </c>
      <c r="J2">
        <v>33</v>
      </c>
      <c r="K2">
        <v>27</v>
      </c>
      <c r="L2">
        <v>15</v>
      </c>
      <c r="M2">
        <v>10</v>
      </c>
    </row>
    <row r="3" spans="1:14" x14ac:dyDescent="0.2">
      <c r="A3" s="395"/>
      <c r="B3" s="338" t="s">
        <v>0</v>
      </c>
      <c r="C3">
        <v>400</v>
      </c>
      <c r="D3">
        <v>391</v>
      </c>
      <c r="E3">
        <v>206</v>
      </c>
      <c r="F3">
        <v>142</v>
      </c>
      <c r="G3">
        <v>121</v>
      </c>
      <c r="H3">
        <v>78</v>
      </c>
      <c r="I3">
        <v>44</v>
      </c>
      <c r="J3">
        <v>28</v>
      </c>
      <c r="K3">
        <v>22</v>
      </c>
      <c r="L3">
        <v>9</v>
      </c>
      <c r="M3">
        <v>2</v>
      </c>
    </row>
    <row r="4" spans="1:14" x14ac:dyDescent="0.2">
      <c r="A4" s="341"/>
    </row>
    <row r="5" spans="1:14" x14ac:dyDescent="0.2">
      <c r="A5" s="395" t="s">
        <v>28</v>
      </c>
      <c r="B5" s="338" t="s">
        <v>1</v>
      </c>
      <c r="C5">
        <v>140</v>
      </c>
      <c r="D5">
        <v>134</v>
      </c>
      <c r="E5">
        <v>94</v>
      </c>
      <c r="F5">
        <v>66</v>
      </c>
      <c r="G5">
        <v>51</v>
      </c>
      <c r="H5">
        <v>36</v>
      </c>
      <c r="I5">
        <v>23</v>
      </c>
      <c r="J5">
        <v>14</v>
      </c>
      <c r="K5">
        <v>13</v>
      </c>
      <c r="L5">
        <v>8</v>
      </c>
      <c r="M5">
        <v>6</v>
      </c>
    </row>
    <row r="6" spans="1:14" x14ac:dyDescent="0.2">
      <c r="A6" s="395"/>
      <c r="B6" s="338" t="s">
        <v>0</v>
      </c>
      <c r="C6">
        <v>591</v>
      </c>
      <c r="D6">
        <v>568</v>
      </c>
      <c r="E6">
        <v>362</v>
      </c>
      <c r="F6">
        <v>270</v>
      </c>
      <c r="G6">
        <v>238</v>
      </c>
      <c r="H6">
        <v>157</v>
      </c>
      <c r="I6">
        <v>78</v>
      </c>
      <c r="J6">
        <v>37</v>
      </c>
      <c r="K6">
        <v>31</v>
      </c>
      <c r="L6">
        <v>12</v>
      </c>
      <c r="M6">
        <v>1</v>
      </c>
    </row>
    <row r="7" spans="1:14" x14ac:dyDescent="0.2">
      <c r="A7" s="342"/>
      <c r="B7" s="129"/>
    </row>
    <row r="8" spans="1:14" x14ac:dyDescent="0.2">
      <c r="A8" s="395" t="s">
        <v>29</v>
      </c>
      <c r="B8" s="338" t="s">
        <v>1</v>
      </c>
      <c r="C8">
        <v>1871</v>
      </c>
      <c r="D8">
        <v>1854</v>
      </c>
      <c r="E8">
        <v>1265</v>
      </c>
      <c r="F8">
        <v>935</v>
      </c>
      <c r="G8">
        <v>833</v>
      </c>
      <c r="H8">
        <v>589</v>
      </c>
      <c r="I8">
        <v>407</v>
      </c>
      <c r="J8">
        <v>269</v>
      </c>
      <c r="K8">
        <v>242</v>
      </c>
      <c r="L8">
        <v>123</v>
      </c>
      <c r="M8">
        <v>77</v>
      </c>
    </row>
    <row r="9" spans="1:14" x14ac:dyDescent="0.2">
      <c r="A9" s="395"/>
      <c r="B9" s="338" t="s">
        <v>0</v>
      </c>
      <c r="C9">
        <v>2266</v>
      </c>
      <c r="D9">
        <v>2239</v>
      </c>
      <c r="E9">
        <v>1320</v>
      </c>
      <c r="F9">
        <v>921</v>
      </c>
      <c r="G9">
        <v>807</v>
      </c>
      <c r="H9">
        <v>514</v>
      </c>
      <c r="I9">
        <v>262</v>
      </c>
      <c r="J9">
        <v>150</v>
      </c>
      <c r="K9">
        <v>118</v>
      </c>
      <c r="L9">
        <v>20</v>
      </c>
      <c r="M9">
        <v>10</v>
      </c>
    </row>
    <row r="10" spans="1:14" x14ac:dyDescent="0.2">
      <c r="A10" s="341"/>
      <c r="B10" s="131"/>
    </row>
    <row r="11" spans="1:14" x14ac:dyDescent="0.2">
      <c r="A11" s="395" t="s">
        <v>5</v>
      </c>
      <c r="B11" s="338" t="s">
        <v>1</v>
      </c>
      <c r="C11">
        <v>2713</v>
      </c>
      <c r="D11">
        <v>2704</v>
      </c>
      <c r="E11">
        <v>1537</v>
      </c>
      <c r="F11">
        <v>1512</v>
      </c>
      <c r="G11">
        <v>1392</v>
      </c>
      <c r="H11">
        <v>1039</v>
      </c>
      <c r="I11">
        <v>756</v>
      </c>
      <c r="J11">
        <v>490</v>
      </c>
      <c r="K11">
        <v>434</v>
      </c>
      <c r="L11">
        <v>247</v>
      </c>
      <c r="M11">
        <v>167</v>
      </c>
    </row>
    <row r="12" spans="1:14" x14ac:dyDescent="0.2">
      <c r="A12" s="395"/>
      <c r="B12" s="338" t="s">
        <v>0</v>
      </c>
      <c r="C12">
        <v>2730</v>
      </c>
      <c r="D12">
        <v>2717</v>
      </c>
      <c r="E12">
        <v>1971</v>
      </c>
      <c r="F12">
        <v>1067</v>
      </c>
      <c r="G12">
        <v>935</v>
      </c>
      <c r="H12">
        <v>594</v>
      </c>
      <c r="I12">
        <v>333</v>
      </c>
      <c r="J12">
        <v>190</v>
      </c>
      <c r="K12">
        <v>152</v>
      </c>
      <c r="L12">
        <v>52</v>
      </c>
      <c r="M12">
        <v>20</v>
      </c>
    </row>
  </sheetData>
  <mergeCells count="4">
    <mergeCell ref="A5:A6"/>
    <mergeCell ref="A8:A9"/>
    <mergeCell ref="A11:A12"/>
    <mergeCell ref="A2:A3"/>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LIST OF TABLES</vt:lpstr>
      <vt:lpstr>Table A-E</vt:lpstr>
      <vt:lpstr>Table F and Table G</vt:lpstr>
      <vt:lpstr>Table H</vt:lpstr>
      <vt:lpstr>Table I and Table J</vt:lpstr>
      <vt:lpstr>Table K and Table L</vt:lpstr>
      <vt:lpstr>No. of HumanProts in each clade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Mohana</dc:creator>
  <cp:keywords/>
  <dc:description/>
  <cp:lastModifiedBy>Mohanalakshmi Narasumani</cp:lastModifiedBy>
  <cp:revision/>
  <cp:lastPrinted>2018-01-18T23:27:41Z</cp:lastPrinted>
  <dcterms:created xsi:type="dcterms:W3CDTF">2016-11-09T16:21:39Z</dcterms:created>
  <dcterms:modified xsi:type="dcterms:W3CDTF">2018-07-17T16:29:54Z</dcterms:modified>
  <cp:category/>
  <cp:contentStatus/>
</cp:coreProperties>
</file>