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ace2.igbmc.u-strasbg.fr\vermot\chowr\Paper\Preparing for Resubmission to Plos Biology\Raw data\"/>
    </mc:Choice>
  </mc:AlternateContent>
  <xr:revisionPtr revIDLastSave="0" documentId="13_ncr:1_{56548073-6200-411F-8AF2-A25412A23E14}" xr6:coauthVersionLast="36" xr6:coauthVersionMax="36" xr10:uidLastSave="{00000000-0000-0000-0000-000000000000}"/>
  <bookViews>
    <workbookView xWindow="0" yWindow="0" windowWidth="4080" windowHeight="10860" firstSheet="19" activeTab="20" xr2:uid="{931879B0-4476-4011-8AF7-15375D90EC0B}"/>
  </bookViews>
  <sheets>
    <sheet name="Fig 1G" sheetId="6" r:id="rId1"/>
    <sheet name="Fig S4B' Cdh5 mean" sheetId="1" r:id="rId2"/>
    <sheet name="Fig S4B'' Cdh5 max" sheetId="8" r:id="rId3"/>
    <sheet name="Fig S7" sheetId="2" r:id="rId4"/>
    <sheet name="Fig 5 snail1b RNAscope" sheetId="3" r:id="rId5"/>
    <sheet name="Fig 5 twist1b RNAscope" sheetId="9" r:id="rId6"/>
    <sheet name="Fig S9C" sheetId="10" r:id="rId7"/>
    <sheet name="Fig S9E" sheetId="5" r:id="rId8"/>
    <sheet name="Fig S9G" sheetId="11" r:id="rId9"/>
    <sheet name="Fig S9H,I" sheetId="4" r:id="rId10"/>
    <sheet name="Fig 6B,C,D,G" sheetId="12" r:id="rId11"/>
    <sheet name="Fig S10B" sheetId="13" r:id="rId12"/>
    <sheet name="Fig S11B,E,F" sheetId="15" r:id="rId13"/>
    <sheet name="Fig S12B" sheetId="19" r:id="rId14"/>
    <sheet name="Fig 8A " sheetId="14" r:id="rId15"/>
    <sheet name="Fig 8C" sheetId="16" r:id="rId16"/>
    <sheet name="Fig 8D" sheetId="17" r:id="rId17"/>
    <sheet name="Fig 8E" sheetId="18" r:id="rId18"/>
    <sheet name="Fig S14C,D" sheetId="20" r:id="rId19"/>
    <sheet name="Fig S15B,C" sheetId="21" r:id="rId20"/>
    <sheet name="Fig S15F,G,H,K" sheetId="23" r:id="rId21"/>
    <sheet name="Fig S16D,E" sheetId="25" r:id="rId22"/>
    <sheet name="Fig S16F" sheetId="24" r:id="rId23"/>
    <sheet name="Fig 9E,F,G,H,I" sheetId="26" r:id="rId24"/>
    <sheet name="Fig S17C,E" sheetId="27" r:id="rId25"/>
    <sheet name="Fig S17F" sheetId="28" r:id="rId26"/>
    <sheet name="Fig 11B,C" sheetId="29" r:id="rId27"/>
    <sheet name="Fig 11E,F" sheetId="30" r:id="rId28"/>
    <sheet name="Fig 12C" sheetId="31" r:id="rId29"/>
    <sheet name="Fig 12D,E" sheetId="32" r:id="rId30"/>
  </sheets>
  <externalReferences>
    <externalReference r:id="rId31"/>
    <externalReference r:id="rId32"/>
    <externalReference r:id="rId33"/>
    <externalReference r:id="rId34"/>
    <externalReference r:id="rId3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21" l="1"/>
  <c r="G47" i="21"/>
  <c r="C23" i="21"/>
  <c r="B23" i="21"/>
  <c r="I27" i="6"/>
  <c r="J27" i="6"/>
  <c r="K27" i="6"/>
  <c r="L27" i="6"/>
  <c r="I28" i="6"/>
  <c r="J28" i="6"/>
  <c r="K28" i="6"/>
  <c r="L28" i="6"/>
  <c r="Y19" i="29" l="1"/>
  <c r="Y18" i="29"/>
  <c r="Y6" i="29"/>
  <c r="Y5" i="29"/>
  <c r="Y12" i="29"/>
  <c r="Y11" i="29"/>
  <c r="Y26" i="29"/>
  <c r="Y25" i="29"/>
  <c r="I41" i="20" l="1"/>
  <c r="H41" i="20"/>
  <c r="I40" i="20"/>
  <c r="H40" i="20"/>
  <c r="S54" i="13" l="1"/>
  <c r="P54" i="13"/>
  <c r="S53" i="13"/>
  <c r="P53" i="13"/>
  <c r="S52" i="13"/>
  <c r="P52" i="13"/>
  <c r="S51" i="13"/>
  <c r="P51" i="13"/>
  <c r="S50" i="13"/>
  <c r="P50" i="13"/>
  <c r="S49" i="13"/>
  <c r="P49" i="13"/>
  <c r="S48" i="13"/>
  <c r="P48" i="13"/>
  <c r="S47" i="13"/>
  <c r="P47" i="13"/>
  <c r="S46" i="13"/>
  <c r="P46" i="13"/>
  <c r="S45" i="13"/>
  <c r="P45" i="13"/>
  <c r="S44" i="13"/>
  <c r="P44" i="13"/>
  <c r="S43" i="13"/>
  <c r="P43" i="13"/>
  <c r="S42" i="13"/>
  <c r="P42" i="13"/>
  <c r="S41" i="13"/>
  <c r="P41" i="13"/>
  <c r="S40" i="13"/>
  <c r="P40" i="13"/>
  <c r="S39" i="13"/>
  <c r="P39" i="13"/>
  <c r="S38" i="13"/>
  <c r="P38" i="13"/>
  <c r="S37" i="13"/>
  <c r="P37" i="13"/>
  <c r="S36" i="13"/>
  <c r="P36" i="13"/>
  <c r="S35" i="13"/>
  <c r="P35" i="13"/>
  <c r="S34" i="13"/>
  <c r="P34" i="13"/>
  <c r="S33" i="13"/>
  <c r="P33" i="13"/>
  <c r="S32" i="13"/>
  <c r="P32" i="13"/>
  <c r="S31" i="13"/>
  <c r="P31" i="13"/>
  <c r="S30" i="13"/>
  <c r="P30" i="13"/>
  <c r="S29" i="13"/>
  <c r="P29" i="13"/>
  <c r="S28" i="13"/>
  <c r="P28" i="13"/>
  <c r="S27" i="13"/>
  <c r="P27" i="13"/>
  <c r="S26" i="13"/>
  <c r="P26" i="13"/>
  <c r="S25" i="13"/>
  <c r="P25" i="13"/>
  <c r="S24" i="13"/>
  <c r="P24" i="13"/>
  <c r="S23" i="13"/>
  <c r="P23" i="13"/>
  <c r="S22" i="13"/>
  <c r="P22" i="13"/>
  <c r="S21" i="13"/>
  <c r="P21" i="13"/>
  <c r="S20" i="13"/>
  <c r="P20" i="13"/>
  <c r="S19" i="13"/>
  <c r="P19" i="13"/>
  <c r="S18" i="13"/>
  <c r="P18" i="13"/>
  <c r="S17" i="13"/>
  <c r="P17" i="13"/>
  <c r="S16" i="13"/>
  <c r="P16" i="13"/>
  <c r="S15" i="13"/>
  <c r="P15" i="13"/>
  <c r="S14" i="13"/>
  <c r="P14" i="13"/>
  <c r="S13" i="13"/>
  <c r="P13" i="13"/>
  <c r="S12" i="13"/>
  <c r="P12" i="13"/>
  <c r="S11" i="13"/>
  <c r="P11" i="13"/>
  <c r="S10" i="13"/>
  <c r="P10" i="13"/>
  <c r="S9" i="13"/>
  <c r="P9" i="13"/>
  <c r="S8" i="13"/>
  <c r="P8" i="13"/>
  <c r="S7" i="13"/>
  <c r="P7" i="13"/>
  <c r="S6" i="13"/>
  <c r="P6" i="13"/>
  <c r="S5" i="13"/>
  <c r="P5" i="13"/>
  <c r="S4" i="13"/>
  <c r="P4" i="13"/>
  <c r="N54" i="12" l="1"/>
  <c r="M54" i="12"/>
  <c r="N53" i="12"/>
  <c r="M53" i="12"/>
  <c r="D23" i="12"/>
  <c r="C23" i="12"/>
  <c r="D20" i="11"/>
  <c r="E20" i="11"/>
  <c r="F20" i="11"/>
  <c r="C20" i="11"/>
  <c r="L24" i="4"/>
  <c r="Z23" i="4"/>
  <c r="E45" i="4" s="1"/>
  <c r="Y23" i="4"/>
  <c r="D45" i="4" s="1"/>
  <c r="M23" i="4"/>
  <c r="E44" i="4" s="1"/>
  <c r="L23" i="4"/>
  <c r="D44" i="4" s="1"/>
  <c r="W22" i="4"/>
  <c r="V22" i="4"/>
  <c r="U22" i="4"/>
  <c r="T22" i="4"/>
  <c r="X22" i="4" s="1"/>
  <c r="S22" i="4"/>
  <c r="R22" i="4"/>
  <c r="Q22" i="4"/>
  <c r="J21" i="4"/>
  <c r="I21" i="4"/>
  <c r="H21" i="4"/>
  <c r="G21" i="4"/>
  <c r="K21" i="4" s="1"/>
  <c r="F21" i="4"/>
  <c r="E21" i="4"/>
  <c r="D21" i="4"/>
  <c r="W21" i="4"/>
  <c r="V21" i="4"/>
  <c r="U21" i="4"/>
  <c r="T21" i="4"/>
  <c r="X21" i="4" s="1"/>
  <c r="S21" i="4"/>
  <c r="R21" i="4"/>
  <c r="Q21" i="4"/>
  <c r="J20" i="4"/>
  <c r="I20" i="4"/>
  <c r="H20" i="4"/>
  <c r="G20" i="4"/>
  <c r="K20" i="4" s="1"/>
  <c r="F20" i="4"/>
  <c r="E20" i="4"/>
  <c r="D20" i="4"/>
  <c r="W20" i="4"/>
  <c r="V20" i="4"/>
  <c r="U20" i="4"/>
  <c r="T20" i="4"/>
  <c r="X20" i="4" s="1"/>
  <c r="S20" i="4"/>
  <c r="R20" i="4"/>
  <c r="Q20" i="4"/>
  <c r="J19" i="4"/>
  <c r="I19" i="4"/>
  <c r="H19" i="4"/>
  <c r="G19" i="4"/>
  <c r="K19" i="4" s="1"/>
  <c r="F19" i="4"/>
  <c r="E19" i="4"/>
  <c r="D19" i="4"/>
  <c r="W19" i="4"/>
  <c r="V19" i="4"/>
  <c r="U19" i="4"/>
  <c r="T19" i="4"/>
  <c r="X19" i="4" s="1"/>
  <c r="S19" i="4"/>
  <c r="R19" i="4"/>
  <c r="Q19" i="4"/>
  <c r="J18" i="4"/>
  <c r="I18" i="4"/>
  <c r="H18" i="4"/>
  <c r="G18" i="4"/>
  <c r="K18" i="4" s="1"/>
  <c r="F18" i="4"/>
  <c r="E18" i="4"/>
  <c r="D18" i="4"/>
  <c r="W18" i="4"/>
  <c r="V18" i="4"/>
  <c r="U18" i="4"/>
  <c r="T18" i="4"/>
  <c r="X18" i="4" s="1"/>
  <c r="S18" i="4"/>
  <c r="R18" i="4"/>
  <c r="Q18" i="4"/>
  <c r="J17" i="4"/>
  <c r="I17" i="4"/>
  <c r="H17" i="4"/>
  <c r="G17" i="4"/>
  <c r="K17" i="4" s="1"/>
  <c r="F17" i="4"/>
  <c r="E17" i="4"/>
  <c r="D17" i="4"/>
  <c r="W17" i="4"/>
  <c r="V17" i="4"/>
  <c r="U17" i="4"/>
  <c r="T17" i="4"/>
  <c r="X17" i="4" s="1"/>
  <c r="S17" i="4"/>
  <c r="R17" i="4"/>
  <c r="Q17" i="4"/>
  <c r="J16" i="4"/>
  <c r="I16" i="4"/>
  <c r="H16" i="4"/>
  <c r="G16" i="4"/>
  <c r="K16" i="4" s="1"/>
  <c r="F16" i="4"/>
  <c r="E16" i="4"/>
  <c r="D16" i="4"/>
  <c r="W16" i="4"/>
  <c r="V16" i="4"/>
  <c r="U16" i="4"/>
  <c r="T16" i="4"/>
  <c r="X16" i="4" s="1"/>
  <c r="S16" i="4"/>
  <c r="R16" i="4"/>
  <c r="Q16" i="4"/>
  <c r="J15" i="4"/>
  <c r="I15" i="4"/>
  <c r="H15" i="4"/>
  <c r="G15" i="4"/>
  <c r="K15" i="4" s="1"/>
  <c r="F15" i="4"/>
  <c r="E15" i="4"/>
  <c r="D15" i="4"/>
  <c r="W15" i="4"/>
  <c r="V15" i="4"/>
  <c r="U15" i="4"/>
  <c r="T15" i="4"/>
  <c r="X15" i="4" s="1"/>
  <c r="S15" i="4"/>
  <c r="R15" i="4"/>
  <c r="Q15" i="4"/>
  <c r="J14" i="4"/>
  <c r="I14" i="4"/>
  <c r="H14" i="4"/>
  <c r="G14" i="4"/>
  <c r="K14" i="4" s="1"/>
  <c r="F14" i="4"/>
  <c r="E14" i="4"/>
  <c r="D14" i="4"/>
  <c r="W14" i="4"/>
  <c r="V14" i="4"/>
  <c r="U14" i="4"/>
  <c r="T14" i="4"/>
  <c r="X14" i="4" s="1"/>
  <c r="S14" i="4"/>
  <c r="R14" i="4"/>
  <c r="Q14" i="4"/>
  <c r="J13" i="4"/>
  <c r="I13" i="4"/>
  <c r="H13" i="4"/>
  <c r="G13" i="4"/>
  <c r="K13" i="4" s="1"/>
  <c r="F13" i="4"/>
  <c r="E13" i="4"/>
  <c r="D13" i="4"/>
  <c r="W13" i="4"/>
  <c r="V13" i="4"/>
  <c r="U13" i="4"/>
  <c r="T13" i="4"/>
  <c r="X13" i="4" s="1"/>
  <c r="S13" i="4"/>
  <c r="R13" i="4"/>
  <c r="Q13" i="4"/>
  <c r="J12" i="4"/>
  <c r="I12" i="4"/>
  <c r="H12" i="4"/>
  <c r="G12" i="4"/>
  <c r="K12" i="4" s="1"/>
  <c r="F12" i="4"/>
  <c r="E12" i="4"/>
  <c r="D12" i="4"/>
  <c r="T12" i="4"/>
  <c r="X12" i="4" s="1"/>
  <c r="S12" i="4"/>
  <c r="W12" i="4" s="1"/>
  <c r="R12" i="4"/>
  <c r="V12" i="4" s="1"/>
  <c r="Q12" i="4"/>
  <c r="U12" i="4" s="1"/>
  <c r="G11" i="4"/>
  <c r="K11" i="4" s="1"/>
  <c r="F11" i="4"/>
  <c r="J11" i="4" s="1"/>
  <c r="E11" i="4"/>
  <c r="I11" i="4" s="1"/>
  <c r="D11" i="4"/>
  <c r="H11" i="4" s="1"/>
  <c r="T11" i="4"/>
  <c r="X11" i="4" s="1"/>
  <c r="S11" i="4"/>
  <c r="W11" i="4" s="1"/>
  <c r="R11" i="4"/>
  <c r="V11" i="4" s="1"/>
  <c r="Q11" i="4"/>
  <c r="U11" i="4" s="1"/>
  <c r="G10" i="4"/>
  <c r="K10" i="4" s="1"/>
  <c r="F10" i="4"/>
  <c r="J10" i="4" s="1"/>
  <c r="E10" i="4"/>
  <c r="I10" i="4" s="1"/>
  <c r="D10" i="4"/>
  <c r="H10" i="4" s="1"/>
  <c r="T10" i="4"/>
  <c r="X10" i="4" s="1"/>
  <c r="S10" i="4"/>
  <c r="W10" i="4" s="1"/>
  <c r="R10" i="4"/>
  <c r="V10" i="4" s="1"/>
  <c r="Q10" i="4"/>
  <c r="U10" i="4" s="1"/>
  <c r="G9" i="4"/>
  <c r="K9" i="4" s="1"/>
  <c r="F9" i="4"/>
  <c r="J9" i="4" s="1"/>
  <c r="E9" i="4"/>
  <c r="I9" i="4" s="1"/>
  <c r="D9" i="4"/>
  <c r="H9" i="4" s="1"/>
  <c r="T9" i="4"/>
  <c r="X9" i="4" s="1"/>
  <c r="S9" i="4"/>
  <c r="W9" i="4" s="1"/>
  <c r="R9" i="4"/>
  <c r="V9" i="4" s="1"/>
  <c r="Q9" i="4"/>
  <c r="U9" i="4" s="1"/>
  <c r="T8" i="4"/>
  <c r="X8" i="4" s="1"/>
  <c r="S8" i="4"/>
  <c r="W8" i="4" s="1"/>
  <c r="R8" i="4"/>
  <c r="V8" i="4" s="1"/>
  <c r="Q8" i="4"/>
  <c r="U8" i="4" s="1"/>
  <c r="G8" i="4"/>
  <c r="K8" i="4" s="1"/>
  <c r="F8" i="4"/>
  <c r="J8" i="4" s="1"/>
  <c r="E8" i="4"/>
  <c r="I8" i="4" s="1"/>
  <c r="D8" i="4"/>
  <c r="H8" i="4" s="1"/>
  <c r="T7" i="4"/>
  <c r="X7" i="4" s="1"/>
  <c r="S7" i="4"/>
  <c r="W7" i="4" s="1"/>
  <c r="R7" i="4"/>
  <c r="V7" i="4" s="1"/>
  <c r="Q7" i="4"/>
  <c r="U7" i="4" s="1"/>
  <c r="G7" i="4"/>
  <c r="K7" i="4" s="1"/>
  <c r="F7" i="4"/>
  <c r="J7" i="4" s="1"/>
  <c r="E7" i="4"/>
  <c r="I7" i="4" s="1"/>
  <c r="D7" i="4"/>
  <c r="H7" i="4" s="1"/>
  <c r="T6" i="4"/>
  <c r="X6" i="4" s="1"/>
  <c r="S6" i="4"/>
  <c r="W6" i="4" s="1"/>
  <c r="R6" i="4"/>
  <c r="V6" i="4" s="1"/>
  <c r="Q6" i="4"/>
  <c r="U6" i="4" s="1"/>
  <c r="G6" i="4"/>
  <c r="K6" i="4" s="1"/>
  <c r="F6" i="4"/>
  <c r="J6" i="4" s="1"/>
  <c r="E6" i="4"/>
  <c r="I6" i="4" s="1"/>
  <c r="D6" i="4"/>
  <c r="H6" i="4" s="1"/>
  <c r="T5" i="4"/>
  <c r="X5" i="4" s="1"/>
  <c r="S5" i="4"/>
  <c r="W5" i="4" s="1"/>
  <c r="R5" i="4"/>
  <c r="V5" i="4" s="1"/>
  <c r="Q5" i="4"/>
  <c r="U5" i="4" s="1"/>
  <c r="G5" i="4"/>
  <c r="K5" i="4" s="1"/>
  <c r="F5" i="4"/>
  <c r="J5" i="4" s="1"/>
  <c r="E5" i="4"/>
  <c r="I5" i="4" s="1"/>
  <c r="D5" i="4"/>
  <c r="H5" i="4" s="1"/>
  <c r="T4" i="4"/>
  <c r="X4" i="4" s="1"/>
  <c r="S4" i="4"/>
  <c r="W4" i="4" s="1"/>
  <c r="R4" i="4"/>
  <c r="V4" i="4" s="1"/>
  <c r="Q4" i="4"/>
  <c r="U4" i="4" s="1"/>
  <c r="G4" i="4"/>
  <c r="K4" i="4" s="1"/>
  <c r="F4" i="4"/>
  <c r="J4" i="4" s="1"/>
  <c r="E4" i="4"/>
  <c r="I4" i="4" s="1"/>
  <c r="D4" i="4"/>
  <c r="H4" i="4" s="1"/>
  <c r="L38" i="4" l="1"/>
  <c r="F40" i="4"/>
  <c r="W23" i="4"/>
  <c r="M38" i="4"/>
  <c r="X23" i="4"/>
  <c r="V23" i="4"/>
  <c r="K38" i="4"/>
  <c r="E40" i="4"/>
  <c r="H23" i="4"/>
  <c r="J37" i="4"/>
  <c r="U23" i="4"/>
  <c r="J38" i="4"/>
  <c r="D40" i="4"/>
  <c r="I23" i="4"/>
  <c r="K37" i="4"/>
  <c r="J23" i="4"/>
  <c r="L37" i="4"/>
  <c r="K23" i="4"/>
  <c r="M37" i="4"/>
  <c r="D23" i="4"/>
  <c r="D35" i="4" s="1"/>
  <c r="J35" i="4" s="1"/>
  <c r="E23" i="4"/>
  <c r="E35" i="4" s="1"/>
  <c r="K35" i="4" s="1"/>
  <c r="L25" i="4"/>
  <c r="M24" i="4" s="1"/>
  <c r="F23" i="4"/>
  <c r="F35" i="4" s="1"/>
  <c r="L35" i="4" s="1"/>
  <c r="Q23" i="4"/>
  <c r="D36" i="4" s="1"/>
  <c r="J36" i="4" s="1"/>
  <c r="G23" i="4"/>
  <c r="G35" i="4" s="1"/>
  <c r="M35" i="4" s="1"/>
  <c r="R23" i="4"/>
  <c r="E36" i="4" s="1"/>
  <c r="K36" i="4" s="1"/>
  <c r="Y25" i="4"/>
  <c r="Y24" i="4" s="1"/>
  <c r="G40" i="4"/>
  <c r="S23" i="4"/>
  <c r="F36" i="4" s="1"/>
  <c r="L36" i="4" s="1"/>
  <c r="T23" i="4"/>
  <c r="D32" i="4" l="1"/>
  <c r="E32" i="4"/>
  <c r="Z24" i="4"/>
  <c r="F32" i="4"/>
  <c r="G32" i="4"/>
  <c r="G36" i="4"/>
  <c r="M36" i="4" s="1"/>
  <c r="D32" i="10" l="1"/>
  <c r="C32" i="10"/>
  <c r="D31" i="10"/>
  <c r="C31" i="10"/>
  <c r="L33" i="9" l="1"/>
  <c r="K33" i="9"/>
  <c r="J33" i="9"/>
  <c r="G33" i="9"/>
  <c r="F33" i="9"/>
  <c r="C33" i="9"/>
  <c r="B33" i="9"/>
  <c r="C33" i="3"/>
  <c r="F33" i="3"/>
  <c r="G33" i="3"/>
  <c r="J33" i="3"/>
  <c r="K33" i="3"/>
  <c r="L33" i="3"/>
  <c r="B33" i="3"/>
  <c r="C17" i="2"/>
  <c r="F17" i="2"/>
  <c r="G17" i="2"/>
  <c r="H17" i="2"/>
  <c r="K17" i="2"/>
  <c r="L17" i="2"/>
  <c r="M17" i="2"/>
  <c r="P17" i="2"/>
  <c r="Q17" i="2"/>
  <c r="R17" i="2"/>
  <c r="U17" i="2"/>
  <c r="V17" i="2"/>
  <c r="W17" i="2"/>
  <c r="B17" i="2"/>
  <c r="F62" i="8"/>
  <c r="D62" i="8"/>
  <c r="F61" i="8"/>
  <c r="D61" i="8"/>
  <c r="F60" i="8"/>
  <c r="D60" i="8"/>
  <c r="F59" i="8"/>
  <c r="D59" i="8"/>
  <c r="F58" i="8"/>
  <c r="D58" i="8"/>
  <c r="F57" i="8"/>
  <c r="D57" i="8"/>
  <c r="F56" i="8"/>
  <c r="D56" i="8"/>
  <c r="F55" i="8"/>
  <c r="D55" i="8"/>
  <c r="F54" i="8"/>
  <c r="D54" i="8"/>
  <c r="F53" i="8"/>
  <c r="D53" i="8"/>
  <c r="F52" i="8"/>
  <c r="D52" i="8"/>
  <c r="F51" i="8"/>
  <c r="D51" i="8"/>
  <c r="F50" i="8"/>
  <c r="D50" i="8"/>
  <c r="F49" i="8"/>
  <c r="D49" i="8"/>
  <c r="F48" i="8"/>
  <c r="D48" i="8"/>
  <c r="F47" i="8"/>
  <c r="D47" i="8"/>
  <c r="F46" i="8"/>
  <c r="J46" i="8" s="1"/>
  <c r="D46" i="8"/>
  <c r="F38" i="8"/>
  <c r="D38" i="8"/>
  <c r="F37" i="8"/>
  <c r="D37" i="8"/>
  <c r="F36" i="8"/>
  <c r="D36" i="8"/>
  <c r="F35" i="8"/>
  <c r="D35" i="8"/>
  <c r="F34" i="8"/>
  <c r="D34" i="8"/>
  <c r="F33" i="8"/>
  <c r="D33" i="8"/>
  <c r="F32" i="8"/>
  <c r="D32" i="8"/>
  <c r="F31" i="8"/>
  <c r="D31" i="8"/>
  <c r="F30" i="8"/>
  <c r="D30" i="8"/>
  <c r="F29" i="8"/>
  <c r="D29" i="8"/>
  <c r="F28" i="8"/>
  <c r="D28" i="8"/>
  <c r="F20" i="8"/>
  <c r="D20" i="8"/>
  <c r="F19" i="8"/>
  <c r="D19" i="8"/>
  <c r="F18" i="8"/>
  <c r="D18" i="8"/>
  <c r="F17" i="8"/>
  <c r="D17" i="8"/>
  <c r="F16" i="8"/>
  <c r="D16" i="8"/>
  <c r="F15" i="8"/>
  <c r="D15" i="8"/>
  <c r="F14" i="8"/>
  <c r="D14" i="8"/>
  <c r="F13" i="8"/>
  <c r="D13" i="8"/>
  <c r="F12" i="8"/>
  <c r="D12" i="8"/>
  <c r="F11" i="8"/>
  <c r="D11" i="8"/>
  <c r="F10" i="8"/>
  <c r="D10" i="8"/>
  <c r="F9" i="8"/>
  <c r="D9" i="8"/>
  <c r="F8" i="8"/>
  <c r="D8" i="8"/>
  <c r="F7" i="8"/>
  <c r="D7" i="8"/>
  <c r="F6" i="8"/>
  <c r="D6" i="8"/>
  <c r="F5" i="8"/>
  <c r="D5" i="8"/>
  <c r="F4" i="8"/>
  <c r="D4" i="8"/>
  <c r="J52" i="8" l="1"/>
  <c r="J5" i="8"/>
  <c r="J34" i="8"/>
  <c r="J13" i="8"/>
  <c r="J17" i="8"/>
  <c r="J54" i="8"/>
  <c r="J35" i="8"/>
  <c r="J62" i="8"/>
  <c r="J30" i="8"/>
  <c r="J32" i="8"/>
  <c r="J51" i="8"/>
  <c r="J59" i="8"/>
  <c r="J60" i="8"/>
  <c r="J9" i="8"/>
  <c r="J36" i="8"/>
  <c r="J50" i="8"/>
  <c r="J48" i="8"/>
  <c r="J10" i="8"/>
  <c r="J55" i="8"/>
  <c r="J6" i="8"/>
  <c r="J11" i="8"/>
  <c r="J15" i="8"/>
  <c r="J16" i="8"/>
  <c r="J19" i="8"/>
  <c r="J31" i="8"/>
  <c r="J38" i="8"/>
  <c r="J18" i="8"/>
  <c r="J12" i="8"/>
  <c r="D64" i="8"/>
  <c r="J56" i="8"/>
  <c r="J57" i="8"/>
  <c r="J8" i="8"/>
  <c r="J20" i="8"/>
  <c r="J58" i="8"/>
  <c r="D22" i="8"/>
  <c r="F22" i="8"/>
  <c r="F40" i="8"/>
  <c r="J28" i="8"/>
  <c r="F64" i="8"/>
  <c r="J49" i="8"/>
  <c r="J53" i="8"/>
  <c r="J61" i="8"/>
  <c r="J14" i="8"/>
  <c r="J29" i="8"/>
  <c r="J37" i="8"/>
  <c r="J47" i="8"/>
  <c r="J7" i="8"/>
  <c r="D40" i="8"/>
  <c r="J33" i="8"/>
  <c r="J4" i="8"/>
  <c r="J64" i="8" l="1"/>
  <c r="J41" i="8"/>
  <c r="J65" i="8"/>
  <c r="J23" i="8"/>
  <c r="J22" i="8"/>
  <c r="J40" i="8"/>
  <c r="E58" i="1" l="1"/>
  <c r="I58" i="1" s="1"/>
  <c r="D58" i="1"/>
  <c r="E57" i="1"/>
  <c r="I57" i="1" s="1"/>
  <c r="D57" i="1"/>
  <c r="E56" i="1"/>
  <c r="I56" i="1" s="1"/>
  <c r="D56" i="1"/>
  <c r="E55" i="1"/>
  <c r="I55" i="1" s="1"/>
  <c r="D55" i="1"/>
  <c r="I54" i="1"/>
  <c r="E54" i="1"/>
  <c r="D54" i="1"/>
  <c r="E53" i="1"/>
  <c r="I53" i="1" s="1"/>
  <c r="D53" i="1"/>
  <c r="E52" i="1"/>
  <c r="I52" i="1" s="1"/>
  <c r="D52" i="1"/>
  <c r="E51" i="1"/>
  <c r="I51" i="1" s="1"/>
  <c r="D51" i="1"/>
  <c r="E50" i="1"/>
  <c r="I50" i="1" s="1"/>
  <c r="D50" i="1"/>
  <c r="E49" i="1"/>
  <c r="I49" i="1" s="1"/>
  <c r="D49" i="1"/>
  <c r="E48" i="1"/>
  <c r="I48" i="1" s="1"/>
  <c r="D48" i="1"/>
  <c r="E47" i="1"/>
  <c r="I47" i="1" s="1"/>
  <c r="D47" i="1"/>
  <c r="I46" i="1"/>
  <c r="E46" i="1"/>
  <c r="D46" i="1"/>
  <c r="I45" i="1"/>
  <c r="E45" i="1"/>
  <c r="D45" i="1"/>
  <c r="E44" i="1"/>
  <c r="I44" i="1" s="1"/>
  <c r="D44" i="1"/>
  <c r="E43" i="1"/>
  <c r="D43" i="1"/>
  <c r="I43" i="1" s="1"/>
  <c r="E42" i="1"/>
  <c r="E60" i="1" s="1"/>
  <c r="D42" i="1"/>
  <c r="D60" i="1" s="1"/>
  <c r="E36" i="1"/>
  <c r="I36" i="1" s="1"/>
  <c r="D36" i="1"/>
  <c r="E35" i="1"/>
  <c r="I35" i="1" s="1"/>
  <c r="D35" i="1"/>
  <c r="I34" i="1"/>
  <c r="E34" i="1"/>
  <c r="D34" i="1"/>
  <c r="I33" i="1"/>
  <c r="E33" i="1"/>
  <c r="D33" i="1"/>
  <c r="E32" i="1"/>
  <c r="I32" i="1" s="1"/>
  <c r="D32" i="1"/>
  <c r="E31" i="1"/>
  <c r="D31" i="1"/>
  <c r="I31" i="1" s="1"/>
  <c r="E30" i="1"/>
  <c r="I30" i="1" s="1"/>
  <c r="D30" i="1"/>
  <c r="E29" i="1"/>
  <c r="E38" i="1" s="1"/>
  <c r="D29" i="1"/>
  <c r="E28" i="1"/>
  <c r="I28" i="1" s="1"/>
  <c r="D28" i="1"/>
  <c r="E27" i="1"/>
  <c r="I27" i="1" s="1"/>
  <c r="D27" i="1"/>
  <c r="I26" i="1"/>
  <c r="E26" i="1"/>
  <c r="D26" i="1"/>
  <c r="D38" i="1" s="1"/>
  <c r="E20" i="1"/>
  <c r="I20" i="1" s="1"/>
  <c r="D20" i="1"/>
  <c r="E19" i="1"/>
  <c r="I19" i="1" s="1"/>
  <c r="D19" i="1"/>
  <c r="E18" i="1"/>
  <c r="I18" i="1" s="1"/>
  <c r="D18" i="1"/>
  <c r="E17" i="1"/>
  <c r="I17" i="1" s="1"/>
  <c r="D17" i="1"/>
  <c r="E16" i="1"/>
  <c r="I16" i="1" s="1"/>
  <c r="D16" i="1"/>
  <c r="E15" i="1"/>
  <c r="I15" i="1" s="1"/>
  <c r="D15" i="1"/>
  <c r="I14" i="1"/>
  <c r="E14" i="1"/>
  <c r="D14" i="1"/>
  <c r="I13" i="1"/>
  <c r="E13" i="1"/>
  <c r="D13" i="1"/>
  <c r="E12" i="1"/>
  <c r="I12" i="1" s="1"/>
  <c r="D12" i="1"/>
  <c r="E11" i="1"/>
  <c r="I11" i="1" s="1"/>
  <c r="D11" i="1"/>
  <c r="E10" i="1"/>
  <c r="I10" i="1" s="1"/>
  <c r="D10" i="1"/>
  <c r="E9" i="1"/>
  <c r="I9" i="1" s="1"/>
  <c r="D9" i="1"/>
  <c r="E8" i="1"/>
  <c r="I8" i="1" s="1"/>
  <c r="D8" i="1"/>
  <c r="E7" i="1"/>
  <c r="I7" i="1" s="1"/>
  <c r="D7" i="1"/>
  <c r="E6" i="1"/>
  <c r="I6" i="1" s="1"/>
  <c r="D6" i="1"/>
  <c r="E5" i="1"/>
  <c r="I5" i="1" s="1"/>
  <c r="D5" i="1"/>
  <c r="E4" i="1"/>
  <c r="I4" i="1" s="1"/>
  <c r="D4" i="1"/>
  <c r="D22" i="1" s="1"/>
  <c r="I22" i="1" l="1"/>
  <c r="I29" i="1"/>
  <c r="I38" i="1" s="1"/>
  <c r="E22" i="1"/>
  <c r="I42" i="1"/>
  <c r="I60" i="1" s="1"/>
</calcChain>
</file>

<file path=xl/sharedStrings.xml><?xml version="1.0" encoding="utf-8"?>
<sst xmlns="http://schemas.openxmlformats.org/spreadsheetml/2006/main" count="2209" uniqueCount="681">
  <si>
    <t>Fig 1G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</si>
  <si>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</si>
  <si>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</si>
  <si>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</si>
  <si>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</si>
  <si>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</si>
  <si>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</si>
  <si>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</si>
  <si>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</si>
  <si>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</si>
  <si>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</si>
  <si>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</si>
  <si>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</si>
  <si>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</si>
  <si>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</si>
  <si>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</si>
  <si>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</si>
  <si>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average</t>
  </si>
  <si>
    <t>E1</t>
  </si>
  <si>
    <t>65 hpf</t>
  </si>
  <si>
    <t>65</t>
  </si>
  <si>
    <t>72</t>
  </si>
  <si>
    <t>76</t>
  </si>
  <si>
    <t>80</t>
  </si>
  <si>
    <t>98</t>
  </si>
  <si>
    <t>Split (%)</t>
  </si>
  <si>
    <t>Not Split (%)</t>
  </si>
  <si>
    <t>Developmental stage (hpf)</t>
  </si>
  <si>
    <t>Split (n)</t>
  </si>
  <si>
    <t>Not Split (n)</t>
  </si>
  <si>
    <t>Total (n)</t>
  </si>
  <si>
    <t>55 hpf</t>
  </si>
  <si>
    <t>luminal</t>
  </si>
  <si>
    <t>abluminal adjacent</t>
  </si>
  <si>
    <t>mean</t>
  </si>
  <si>
    <t>Ratio abAdj/lum</t>
  </si>
  <si>
    <t>Single value t test Ratio abAdj/lum (population mean 1)</t>
  </si>
  <si>
    <t>Rank sum test</t>
  </si>
  <si>
    <r>
      <t>The </t>
    </r>
    <r>
      <rPr>
        <i/>
        <sz val="8"/>
        <color rgb="FF0000FF"/>
        <rFont val="Open Sans"/>
      </rPr>
      <t>t</t>
    </r>
    <r>
      <rPr>
        <sz val="8"/>
        <color rgb="FF0000FF"/>
        <rFont val="Open Sans"/>
      </rPr>
      <t>-value is -3.125468. The value of </t>
    </r>
    <r>
      <rPr>
        <i/>
        <sz val="8"/>
        <color rgb="FF0000FF"/>
        <rFont val="Open Sans"/>
      </rPr>
      <t>p</t>
    </r>
    <r>
      <rPr>
        <sz val="8"/>
        <color rgb="FF0000FF"/>
        <rFont val="Open Sans"/>
      </rPr>
      <t> is .006522. The result is significant at </t>
    </r>
    <r>
      <rPr>
        <i/>
        <sz val="8"/>
        <color rgb="FF0000FF"/>
        <rFont val="Open Sans"/>
      </rPr>
      <t>p</t>
    </r>
    <r>
      <rPr>
        <sz val="8"/>
        <color rgb="FF0000FF"/>
        <rFont val="Open Sans"/>
      </rPr>
      <t> &lt; .01.</t>
    </r>
  </si>
  <si>
    <r>
      <t>The </t>
    </r>
    <r>
      <rPr>
        <i/>
        <sz val="8"/>
        <color rgb="FF0000FF"/>
        <rFont val="Open Sans"/>
      </rPr>
      <t>t</t>
    </r>
    <r>
      <rPr>
        <sz val="8"/>
        <color rgb="FF0000FF"/>
        <rFont val="Open Sans"/>
      </rPr>
      <t>-value is -4.936641. The value of </t>
    </r>
    <r>
      <rPr>
        <i/>
        <sz val="8"/>
        <color rgb="FF0000FF"/>
        <rFont val="Open Sans"/>
      </rPr>
      <t>p</t>
    </r>
    <r>
      <rPr>
        <sz val="8"/>
        <color rgb="FF0000FF"/>
        <rFont val="Open Sans"/>
      </rPr>
      <t> is .00059. The result is significant at </t>
    </r>
    <r>
      <rPr>
        <i/>
        <sz val="8"/>
        <color rgb="FF0000FF"/>
        <rFont val="Open Sans"/>
      </rPr>
      <t>p</t>
    </r>
    <r>
      <rPr>
        <sz val="8"/>
        <color rgb="FF0000FF"/>
        <rFont val="Open Sans"/>
      </rPr>
      <t> &lt; .01.</t>
    </r>
  </si>
  <si>
    <t>80 hpf</t>
  </si>
  <si>
    <r>
      <t>The </t>
    </r>
    <r>
      <rPr>
        <i/>
        <sz val="8"/>
        <color rgb="FFFF0000"/>
        <rFont val="Open Sans"/>
      </rPr>
      <t>t</t>
    </r>
    <r>
      <rPr>
        <sz val="8"/>
        <color rgb="FFFF0000"/>
        <rFont val="Open Sans"/>
      </rPr>
      <t>-value is 0.674533. The value of </t>
    </r>
    <r>
      <rPr>
        <i/>
        <sz val="8"/>
        <color rgb="FFFF0000"/>
        <rFont val="Open Sans"/>
      </rPr>
      <t>p</t>
    </r>
    <r>
      <rPr>
        <sz val="8"/>
        <color rgb="FFFF0000"/>
        <rFont val="Open Sans"/>
      </rPr>
      <t> is .509602. The result is </t>
    </r>
    <r>
      <rPr>
        <i/>
        <sz val="8"/>
        <color rgb="FFFF0000"/>
        <rFont val="Open Sans"/>
      </rPr>
      <t>not</t>
    </r>
    <r>
      <rPr>
        <sz val="8"/>
        <color rgb="FFFF0000"/>
        <rFont val="Open Sans"/>
      </rPr>
      <t> significant at </t>
    </r>
    <r>
      <rPr>
        <i/>
        <sz val="8"/>
        <color rgb="FFFF0000"/>
        <rFont val="Open Sans"/>
      </rPr>
      <t>p</t>
    </r>
    <r>
      <rPr>
        <sz val="8"/>
        <color rgb="FFFF0000"/>
        <rFont val="Open Sans"/>
      </rPr>
      <t> &lt; .01</t>
    </r>
    <r>
      <rPr>
        <sz val="8"/>
        <color rgb="FF000000"/>
        <rFont val="Open Sans"/>
      </rPr>
      <t>.</t>
    </r>
  </si>
  <si>
    <t>MEAN</t>
  </si>
  <si>
    <t>Mean Ratio</t>
  </si>
  <si>
    <t>80hpf</t>
  </si>
  <si>
    <t>max</t>
  </si>
  <si>
    <t>Two-tailed single value t test Ratio abAdj/lum (population mean 1)</t>
  </si>
  <si>
    <r>
      <t>The </t>
    </r>
    <r>
      <rPr>
        <i/>
        <sz val="8"/>
        <color rgb="FF0000FF"/>
        <rFont val="Open Sans"/>
      </rPr>
      <t>t</t>
    </r>
    <r>
      <rPr>
        <sz val="8"/>
        <color rgb="FF0000FF"/>
        <rFont val="Open Sans"/>
      </rPr>
      <t>-value is -3.516824. The value of </t>
    </r>
    <r>
      <rPr>
        <i/>
        <sz val="8"/>
        <color rgb="FF0000FF"/>
        <rFont val="Open Sans"/>
      </rPr>
      <t>p</t>
    </r>
    <r>
      <rPr>
        <sz val="8"/>
        <color rgb="FF0000FF"/>
        <rFont val="Open Sans"/>
      </rPr>
      <t> is .00286. The result is significant at </t>
    </r>
    <r>
      <rPr>
        <i/>
        <sz val="8"/>
        <color rgb="FF0000FF"/>
        <rFont val="Open Sans"/>
      </rPr>
      <t>p</t>
    </r>
    <r>
      <rPr>
        <sz val="8"/>
        <color rgb="FF0000FF"/>
        <rFont val="Open Sans"/>
      </rPr>
      <t> &lt; .05.</t>
    </r>
  </si>
  <si>
    <r>
      <t>The </t>
    </r>
    <r>
      <rPr>
        <i/>
        <sz val="8"/>
        <color rgb="FF0000FF"/>
        <rFont val="Open Sans"/>
      </rPr>
      <t>t</t>
    </r>
    <r>
      <rPr>
        <sz val="8"/>
        <color rgb="FF0000FF"/>
        <rFont val="Open Sans"/>
      </rPr>
      <t>-value is -3.594987. The value of </t>
    </r>
    <r>
      <rPr>
        <i/>
        <sz val="8"/>
        <color rgb="FF0000FF"/>
        <rFont val="Open Sans"/>
      </rPr>
      <t>p</t>
    </r>
    <r>
      <rPr>
        <sz val="8"/>
        <color rgb="FF0000FF"/>
        <rFont val="Open Sans"/>
      </rPr>
      <t> is .004888. The result is significant at </t>
    </r>
    <r>
      <rPr>
        <i/>
        <sz val="8"/>
        <color rgb="FF0000FF"/>
        <rFont val="Open Sans"/>
      </rPr>
      <t>p</t>
    </r>
    <r>
      <rPr>
        <sz val="8"/>
        <color rgb="FF0000FF"/>
        <rFont val="Open Sans"/>
      </rPr>
      <t> &lt; .05.</t>
    </r>
  </si>
  <si>
    <r>
      <t>The </t>
    </r>
    <r>
      <rPr>
        <i/>
        <sz val="8"/>
        <color rgb="FFFF0000"/>
        <rFont val="Open Sans"/>
      </rPr>
      <t>t</t>
    </r>
    <r>
      <rPr>
        <sz val="8"/>
        <color rgb="FFFF0000"/>
        <rFont val="Open Sans"/>
      </rPr>
      <t>-value is 1.722869. The value of </t>
    </r>
    <r>
      <rPr>
        <i/>
        <sz val="8"/>
        <color rgb="FFFF0000"/>
        <rFont val="Open Sans"/>
      </rPr>
      <t>p</t>
    </r>
    <r>
      <rPr>
        <sz val="8"/>
        <color rgb="FFFF0000"/>
        <rFont val="Open Sans"/>
      </rPr>
      <t> is .10418. The result is </t>
    </r>
    <r>
      <rPr>
        <i/>
        <sz val="8"/>
        <color rgb="FFFF0000"/>
        <rFont val="Open Sans"/>
      </rPr>
      <t>not</t>
    </r>
    <r>
      <rPr>
        <sz val="8"/>
        <color rgb="FFFF0000"/>
        <rFont val="Open Sans"/>
      </rPr>
      <t> significant at </t>
    </r>
    <r>
      <rPr>
        <i/>
        <sz val="8"/>
        <color rgb="FFFF0000"/>
        <rFont val="Open Sans"/>
      </rPr>
      <t>p</t>
    </r>
    <r>
      <rPr>
        <sz val="8"/>
        <color rgb="FFFF0000"/>
        <rFont val="Open Sans"/>
      </rPr>
      <t> &lt; .05</t>
    </r>
    <r>
      <rPr>
        <sz val="8"/>
        <color rgb="FF000000"/>
        <rFont val="Open Sans"/>
      </rPr>
      <t>.</t>
    </r>
  </si>
  <si>
    <t>COUNT</t>
  </si>
  <si>
    <t>max intensity</t>
  </si>
  <si>
    <t>mean intensity</t>
  </si>
  <si>
    <t>48-50hpf no process</t>
  </si>
  <si>
    <t>AVC</t>
  </si>
  <si>
    <t>Atrium</t>
  </si>
  <si>
    <t>48-50hpf process</t>
  </si>
  <si>
    <t>AVC subset</t>
  </si>
  <si>
    <t>72 hpf
not split</t>
  </si>
  <si>
    <t>72 hpf
split</t>
  </si>
  <si>
    <t>98 hpf</t>
  </si>
  <si>
    <t>count</t>
  </si>
  <si>
    <t>60 hpf</t>
  </si>
  <si>
    <t>Abluminal cells</t>
  </si>
  <si>
    <t>Cells overlaying AVC</t>
  </si>
  <si>
    <t>Inner layer of leafet/
AVC wall</t>
  </si>
  <si>
    <t>Outer layer of leaflet</t>
  </si>
  <si>
    <t>Theoretical median</t>
  </si>
  <si>
    <t>Actual median</t>
  </si>
  <si>
    <t>Number of values</t>
  </si>
  <si>
    <t>Wilcoxon Signed Rank Test</t>
  </si>
  <si>
    <t>Sum of signed ranks (W)</t>
  </si>
  <si>
    <t>Sum of positive ranks</t>
  </si>
  <si>
    <t>Sum of negative ranks</t>
  </si>
  <si>
    <t>P value (two tailed)</t>
  </si>
  <si>
    <t>Exact or estimate?</t>
  </si>
  <si>
    <t>Exact</t>
  </si>
  <si>
    <t>P value summary</t>
  </si>
  <si>
    <t>**</t>
  </si>
  <si>
    <t>Significant (alpha=0.05)?</t>
  </si>
  <si>
    <t>Yes</t>
  </si>
  <si>
    <t>How big is the discrepancy?</t>
  </si>
  <si>
    <t>Discrepancy</t>
  </si>
  <si>
    <t>95% confidence interval</t>
  </si>
  <si>
    <t>0.4021 to 0.7626</t>
  </si>
  <si>
    <t>0.3164 to 0.6802</t>
  </si>
  <si>
    <t>Actual confidence level</t>
  </si>
  <si>
    <t>*</t>
  </si>
  <si>
    <t>ns</t>
  </si>
  <si>
    <t>No</t>
  </si>
  <si>
    <t>-0.02575 to 0.7508</t>
  </si>
  <si>
    <t>-0.4944 to 0.3161</t>
  </si>
  <si>
    <t>-0.03373 to 0.7714</t>
  </si>
  <si>
    <t>-0.04074 to 0.7460</t>
  </si>
  <si>
    <t>0.2636 to 1.339</t>
  </si>
  <si>
    <t>1.038 to 3.587</t>
  </si>
  <si>
    <t>0.6008 to 2.228</t>
  </si>
  <si>
    <t>0.9309 to 1.605</t>
  </si>
  <si>
    <t>0.6402 to 1.213</t>
  </si>
  <si>
    <t>Mean</t>
  </si>
  <si>
    <t>Ratio</t>
  </si>
  <si>
    <t>55 and 60 hpf</t>
  </si>
  <si>
    <t>Luminal</t>
  </si>
  <si>
    <t>Abluminal</t>
  </si>
  <si>
    <t>Outer layer</t>
  </si>
  <si>
    <t>Inner layers</t>
  </si>
  <si>
    <t>Valve Base</t>
  </si>
  <si>
    <t>Table Analyzed</t>
  </si>
  <si>
    <t>55 and 60 hpf snail1b</t>
  </si>
  <si>
    <t>Column B</t>
  </si>
  <si>
    <t>vs.</t>
  </si>
  <si>
    <t>Column A</t>
  </si>
  <si>
    <t>Unpaired t test</t>
  </si>
  <si>
    <t>P value</t>
  </si>
  <si>
    <t>Significantly different (P &lt; 0.05)?</t>
  </si>
  <si>
    <t>One- or two-tailed P value?</t>
  </si>
  <si>
    <t>Two-tailed</t>
  </si>
  <si>
    <t>t, df</t>
  </si>
  <si>
    <t>t=1.734, df=52</t>
  </si>
  <si>
    <t>How big is the difference?</t>
  </si>
  <si>
    <t>Mean of column A</t>
  </si>
  <si>
    <t>Mean of column B</t>
  </si>
  <si>
    <t>Difference between means (B - A) ± SEM</t>
  </si>
  <si>
    <t>0.07476 ± 0.04310</t>
  </si>
  <si>
    <t>-0.01173 to 0.1613</t>
  </si>
  <si>
    <t>R squared (eta squared)</t>
  </si>
  <si>
    <t>F test to compare variances</t>
  </si>
  <si>
    <t>F, DFn, Dfd</t>
  </si>
  <si>
    <t>1.066, 26, 26</t>
  </si>
  <si>
    <t>Data analyzed</t>
  </si>
  <si>
    <t>Sample size, column A</t>
  </si>
  <si>
    <t>Sample size, column B</t>
  </si>
  <si>
    <t>65 hpf snail1b</t>
  </si>
  <si>
    <t>t=1.569, df=28</t>
  </si>
  <si>
    <t>0.1053 ± 0.06709</t>
  </si>
  <si>
    <t>-0.03215 to 0.2427</t>
  </si>
  <si>
    <t>1.289, 14, 14</t>
  </si>
  <si>
    <t>Number of families</t>
  </si>
  <si>
    <t>Number of comparisons per family</t>
  </si>
  <si>
    <t>Alpha</t>
  </si>
  <si>
    <t>Tukey's multiple comparisons test</t>
  </si>
  <si>
    <t>Mean Diff.</t>
  </si>
  <si>
    <t>95.00% CI of diff.</t>
  </si>
  <si>
    <t>Below threshold?</t>
  </si>
  <si>
    <t>Summary</t>
  </si>
  <si>
    <t>Adjusted P Value</t>
  </si>
  <si>
    <t>Outer layer vs. Inner layers</t>
  </si>
  <si>
    <t>-0.5444 to 0.02921</t>
  </si>
  <si>
    <t>A-B</t>
  </si>
  <si>
    <t>Outer layer vs. Valve Base</t>
  </si>
  <si>
    <t>-0.3650 to 0.04206</t>
  </si>
  <si>
    <t>A-C</t>
  </si>
  <si>
    <t>Inner layers vs. Valve Base</t>
  </si>
  <si>
    <t>-0.1112 to 0.3034</t>
  </si>
  <si>
    <t>B-C</t>
  </si>
  <si>
    <t>Test details</t>
  </si>
  <si>
    <t>Mean 1</t>
  </si>
  <si>
    <t>Mean 2</t>
  </si>
  <si>
    <t>SE of diff.</t>
  </si>
  <si>
    <t>n1</t>
  </si>
  <si>
    <t>n2</t>
  </si>
  <si>
    <t>q</t>
  </si>
  <si>
    <t>DF</t>
  </si>
  <si>
    <t>RM one-way ANOVA multiple comparisons</t>
  </si>
  <si>
    <t>-0.4026 to -0.1138</t>
  </si>
  <si>
    <t>***</t>
  </si>
  <si>
    <t>-0.9233 to -0.4759</t>
  </si>
  <si>
    <t>****</t>
  </si>
  <si>
    <t>&lt;0.0001</t>
  </si>
  <si>
    <t>-0.6387 to -0.2442</t>
  </si>
  <si>
    <t>65 hpf twist1b</t>
  </si>
  <si>
    <t>t=4.658, df=28</t>
  </si>
  <si>
    <t>0.4976 ± 0.1068</t>
  </si>
  <si>
    <t>0.2788 to 0.7164</t>
  </si>
  <si>
    <t>6.879, 14, 14</t>
  </si>
  <si>
    <t>55 and 60 hpf twist1b</t>
  </si>
  <si>
    <t>t=3.643, df=52</t>
  </si>
  <si>
    <t>0.1353 ± 0.03714</t>
  </si>
  <si>
    <t>0.06077 to 0.2098</t>
  </si>
  <si>
    <t>2.281, 26, 26</t>
  </si>
  <si>
    <t>sham</t>
  </si>
  <si>
    <t>occluded</t>
  </si>
  <si>
    <t>split</t>
  </si>
  <si>
    <t>not split</t>
  </si>
  <si>
    <t>SD63</t>
  </si>
  <si>
    <t>SD64</t>
  </si>
  <si>
    <t>SD65</t>
  </si>
  <si>
    <t>SD68</t>
  </si>
  <si>
    <t>SD69</t>
  </si>
  <si>
    <t>total</t>
  </si>
  <si>
    <t>The Fisher exact test statistic value is 0.0222. The result is significant at p &lt; .05.</t>
  </si>
  <si>
    <t>https://www.socscistatistics.com/tests/fisher/default2.aspx</t>
  </si>
  <si>
    <t>Sham</t>
  </si>
  <si>
    <t>Occluded</t>
  </si>
  <si>
    <t>Heartrate (bpm)</t>
  </si>
  <si>
    <t>Embryo</t>
  </si>
  <si>
    <t xml:space="preserve"> </t>
  </si>
  <si>
    <t>beats per second</t>
  </si>
  <si>
    <t>after 10min</t>
  </si>
  <si>
    <t>after 4hours</t>
  </si>
  <si>
    <t>Heartrate at imaging</t>
  </si>
  <si>
    <t>beats per minute</t>
  </si>
  <si>
    <t>after 4 hours</t>
  </si>
  <si>
    <t>Heartrate</t>
  </si>
  <si>
    <t>SD75</t>
  </si>
  <si>
    <t>C1</t>
  </si>
  <si>
    <t>B1</t>
  </si>
  <si>
    <t>C2</t>
  </si>
  <si>
    <t>B2</t>
  </si>
  <si>
    <t>C3</t>
  </si>
  <si>
    <t>B3</t>
  </si>
  <si>
    <t>C4</t>
  </si>
  <si>
    <t>B4</t>
  </si>
  <si>
    <t>C5</t>
  </si>
  <si>
    <t>B5</t>
  </si>
  <si>
    <t>B6</t>
  </si>
  <si>
    <t>SD71</t>
  </si>
  <si>
    <t>SD79</t>
  </si>
  <si>
    <t>C6</t>
  </si>
  <si>
    <t>SD81</t>
  </si>
  <si>
    <t>The Fisher exact test statistic value is 0.0086. The result is significant at p &lt; .01</t>
  </si>
  <si>
    <t>compare heartrate</t>
  </si>
  <si>
    <t>ratio</t>
  </si>
  <si>
    <t>before treatment</t>
  </si>
  <si>
    <t>at imaging</t>
  </si>
  <si>
    <t>BDM</t>
  </si>
  <si>
    <t>abs value</t>
  </si>
  <si>
    <t>Control</t>
  </si>
  <si>
    <t>SD Control</t>
  </si>
  <si>
    <t>SD BDM</t>
  </si>
  <si>
    <t>ttest for heartrate</t>
  </si>
  <si>
    <t>after 10 min</t>
  </si>
  <si>
    <t>split (n)</t>
  </si>
  <si>
    <t>not split (n)</t>
  </si>
  <si>
    <t>Experiment</t>
  </si>
  <si>
    <t>Sham split</t>
  </si>
  <si>
    <t>Sham not split</t>
  </si>
  <si>
    <t>Bead split</t>
  </si>
  <si>
    <t>Bead not split</t>
  </si>
  <si>
    <t>Average</t>
  </si>
  <si>
    <t>Bead injection cdh5</t>
  </si>
  <si>
    <t>Unpaired t test with Welch's correction</t>
  </si>
  <si>
    <t>Welch-corrected t, df</t>
  </si>
  <si>
    <t>t=3.570, df=13.56</t>
  </si>
  <si>
    <t>-0.2736 ± 0.07665</t>
  </si>
  <si>
    <t>-0.4385 to -0.1087</t>
  </si>
  <si>
    <t>1.930, 10, 5</t>
  </si>
  <si>
    <t>Column D</t>
  </si>
  <si>
    <t>Column C</t>
  </si>
  <si>
    <t>t=3.390, df=18.95</t>
  </si>
  <si>
    <t>Mean of column C</t>
  </si>
  <si>
    <t>Mean of column D</t>
  </si>
  <si>
    <t>Difference between means (D - C) ± SEM</t>
  </si>
  <si>
    <t>-0.1712 ± 0.05052</t>
  </si>
  <si>
    <t>-0.2770 to -0.06548</t>
  </si>
  <si>
    <t>10.68, 15, 4</t>
  </si>
  <si>
    <t>Sample size, column C</t>
  </si>
  <si>
    <t>Sample size, column D</t>
  </si>
  <si>
    <t>Sham vs Bead Cdh5</t>
  </si>
  <si>
    <t>Data Set-B</t>
  </si>
  <si>
    <t>Data Set-A</t>
  </si>
  <si>
    <t>t=2.553, df=30.84</t>
  </si>
  <si>
    <t>-0.1619 ± 0.06339</t>
  </si>
  <si>
    <t>-0.2912 to -0.03255</t>
  </si>
  <si>
    <t>1.488, 16, 20</t>
  </si>
  <si>
    <r>
      <t>gata1</t>
    </r>
    <r>
      <rPr>
        <sz val="10"/>
        <rFont val="Arial"/>
      </rPr>
      <t>ctrls 
(n = 18)</t>
    </r>
  </si>
  <si>
    <r>
      <t xml:space="preserve">gata1 </t>
    </r>
    <r>
      <rPr>
        <sz val="10"/>
        <rFont val="Arial"/>
      </rPr>
      <t>-/-
(n =18)</t>
    </r>
  </si>
  <si>
    <t>Fig. 6B</t>
  </si>
  <si>
    <t>Volume (microns cubed)</t>
  </si>
  <si>
    <t>Fig. 6C</t>
  </si>
  <si>
    <t>Volume at 98 hpf</t>
  </si>
  <si>
    <t>t=2.129, df=33.71</t>
  </si>
  <si>
    <t>2094 ± 983.6</t>
  </si>
  <si>
    <t>94.04 to 4093</t>
  </si>
  <si>
    <t>1.204, 17, 17</t>
  </si>
  <si>
    <r>
      <t>gata1</t>
    </r>
    <r>
      <rPr>
        <sz val="10"/>
        <rFont val="Arial"/>
        <family val="2"/>
      </rPr>
      <t xml:space="preserve"> ctrl
(n = 40)</t>
    </r>
  </si>
  <si>
    <r>
      <t>gata1</t>
    </r>
    <r>
      <rPr>
        <sz val="10"/>
        <rFont val="Arial"/>
        <family val="2"/>
      </rPr>
      <t xml:space="preserve"> -/-
(n = 50)</t>
    </r>
  </si>
  <si>
    <t>Normal</t>
  </si>
  <si>
    <t>Thick</t>
  </si>
  <si>
    <t>Normal (%)</t>
  </si>
  <si>
    <t>Thick (%)</t>
  </si>
  <si>
    <r>
      <t xml:space="preserve">gata1 </t>
    </r>
    <r>
      <rPr>
        <sz val="10"/>
        <rFont val="Arial"/>
        <family val="2"/>
      </rPr>
      <t>-/-
(n =45)</t>
    </r>
  </si>
  <si>
    <t>Fig. 6D</t>
  </si>
  <si>
    <t>Total cell number at 98 hpf</t>
  </si>
  <si>
    <r>
      <t xml:space="preserve">gata1 </t>
    </r>
    <r>
      <rPr>
        <sz val="10"/>
        <rFont val="Arial"/>
        <family val="2"/>
      </rPr>
      <t>ctrls 
(n = 48)</t>
    </r>
  </si>
  <si>
    <r>
      <t xml:space="preserve">gata1 </t>
    </r>
    <r>
      <rPr>
        <sz val="10"/>
        <rFont val="Arial"/>
      </rPr>
      <t>-/-
(n =45)</t>
    </r>
  </si>
  <si>
    <r>
      <t>gata1</t>
    </r>
    <r>
      <rPr>
        <sz val="10"/>
        <rFont val="Arial"/>
      </rPr>
      <t>ctrls 
(n = 48)</t>
    </r>
  </si>
  <si>
    <t>t=2.247, df=78.12</t>
  </si>
  <si>
    <t>4.871 ± 2.168</t>
  </si>
  <si>
    <t>0.5546 to 9.187</t>
  </si>
  <si>
    <t>2.052, 44, 47</t>
  </si>
  <si>
    <t>Cdh5 +ve
ZO-1 +ve</t>
  </si>
  <si>
    <t>Cdh5 -ve
ZO-1 +ve</t>
  </si>
  <si>
    <t>Cdh5 -ve
ZO-1 -ve</t>
  </si>
  <si>
    <t>gata1 ctrl
(n=16)</t>
  </si>
  <si>
    <t>gata1 -/-
(n = 27)</t>
  </si>
  <si>
    <t>% valves</t>
  </si>
  <si>
    <t>Fig. 6G</t>
  </si>
  <si>
    <t>gata1</t>
  </si>
  <si>
    <t>SD106</t>
  </si>
  <si>
    <t>SD120</t>
  </si>
  <si>
    <t>time</t>
  </si>
  <si>
    <t>Min</t>
  </si>
  <si>
    <t>95 percentile</t>
  </si>
  <si>
    <t>all min</t>
  </si>
  <si>
    <t>Fig S11 B</t>
  </si>
  <si>
    <t>Fig S11E</t>
  </si>
  <si>
    <t>Fig S11F</t>
  </si>
  <si>
    <t>VICs</t>
  </si>
  <si>
    <t>Inner layer</t>
  </si>
  <si>
    <t>AVC wall</t>
  </si>
  <si>
    <r>
      <t xml:space="preserve">gata1 </t>
    </r>
    <r>
      <rPr>
        <sz val="10"/>
        <rFont val="Arial"/>
      </rPr>
      <t>ctrl
(n = 43)</t>
    </r>
  </si>
  <si>
    <r>
      <t xml:space="preserve">gata1 </t>
    </r>
    <r>
      <rPr>
        <sz val="10"/>
        <rFont val="Arial"/>
      </rPr>
      <t>-/-
(n = 45)</t>
    </r>
  </si>
  <si>
    <t>Discovery?</t>
  </si>
  <si>
    <r>
      <t xml:space="preserve">Mean of </t>
    </r>
    <r>
      <rPr>
        <i/>
        <sz val="10"/>
        <rFont val="Arial"/>
      </rPr>
      <t xml:space="preserve">gata1 </t>
    </r>
    <r>
      <rPr>
        <sz val="10"/>
        <rFont val="Arial"/>
      </rPr>
      <t>ctrl (n = 43)</t>
    </r>
  </si>
  <si>
    <r>
      <t xml:space="preserve">Mean of </t>
    </r>
    <r>
      <rPr>
        <i/>
        <sz val="10"/>
        <rFont val="Arial"/>
      </rPr>
      <t xml:space="preserve">gata1 </t>
    </r>
    <r>
      <rPr>
        <sz val="10"/>
        <rFont val="Arial"/>
      </rPr>
      <t>-/- (n = 45)</t>
    </r>
  </si>
  <si>
    <t>Difference</t>
  </si>
  <si>
    <t>SE of difference</t>
  </si>
  <si>
    <t>t ratio</t>
  </si>
  <si>
    <t>df</t>
  </si>
  <si>
    <t>q value</t>
  </si>
  <si>
    <t>&lt;0.000001</t>
  </si>
  <si>
    <t>Cell number by region at 98 hpf</t>
  </si>
  <si>
    <t>Test name</t>
  </si>
  <si>
    <t>Variance assumption</t>
  </si>
  <si>
    <t>Individual variance for each row</t>
  </si>
  <si>
    <t>Multiple comparisons</t>
  </si>
  <si>
    <t>False Discovery Rate (FDR)</t>
  </si>
  <si>
    <t>Method</t>
  </si>
  <si>
    <t>Two-stage step-up (Benjamini, Krieger, and Yekutieli)</t>
  </si>
  <si>
    <t>Desired FDR (Q)</t>
  </si>
  <si>
    <t>1.00%</t>
  </si>
  <si>
    <t>Number of tests performed</t>
  </si>
  <si>
    <t>Number of rows omitted</t>
  </si>
  <si>
    <r>
      <t xml:space="preserve">gata1 </t>
    </r>
    <r>
      <rPr>
        <sz val="10"/>
        <rFont val="Arial"/>
        <family val="2"/>
      </rPr>
      <t>ctrls
(n = 12)</t>
    </r>
  </si>
  <si>
    <r>
      <t>gata1</t>
    </r>
    <r>
      <rPr>
        <sz val="10"/>
        <rFont val="Arial"/>
        <family val="2"/>
      </rPr>
      <t xml:space="preserve"> -/-
(n = 13)</t>
    </r>
  </si>
  <si>
    <t>Number of cells at AVC</t>
  </si>
  <si>
    <t>gata1 cell counting at 48 hpf</t>
  </si>
  <si>
    <t>t=1.624, df=23</t>
  </si>
  <si>
    <t>-5.436 ± 3.348</t>
  </si>
  <si>
    <t>-12.36 to 1.490</t>
  </si>
  <si>
    <t>4.288, 11, 12</t>
  </si>
  <si>
    <t>gata1ctrl
(n = 10)</t>
  </si>
  <si>
    <r>
      <t>gata1</t>
    </r>
    <r>
      <rPr>
        <sz val="10"/>
        <rFont val="Arial"/>
        <family val="2"/>
      </rPr>
      <t xml:space="preserve"> -/-
(n = 9)</t>
    </r>
  </si>
  <si>
    <t>Abluminal cell count</t>
  </si>
  <si>
    <t>gata1 ctrl
(n = 10)</t>
  </si>
  <si>
    <t>Abluminal cells at 65 hpf</t>
  </si>
  <si>
    <t>t=0.3074, df=17</t>
  </si>
  <si>
    <t>0.4667 ± 1.518</t>
  </si>
  <si>
    <t>-2.736 to 3.670</t>
  </si>
  <si>
    <t>1.712, 8, 9</t>
  </si>
  <si>
    <r>
      <t xml:space="preserve">gata1 </t>
    </r>
    <r>
      <rPr>
        <sz val="10"/>
        <rFont val="Arial"/>
        <family val="2"/>
      </rPr>
      <t>ctrls
(n = 8)</t>
    </r>
  </si>
  <si>
    <r>
      <t>gata1</t>
    </r>
    <r>
      <rPr>
        <sz val="10"/>
        <rFont val="Arial"/>
        <family val="2"/>
      </rPr>
      <t xml:space="preserve"> -/-
(n = 8)</t>
    </r>
  </si>
  <si>
    <t>Heartrate at 65 hpf (bpm)</t>
  </si>
  <si>
    <t>t=0.9888, df=14</t>
  </si>
  <si>
    <t>-10.27 ± 10.39</t>
  </si>
  <si>
    <t>-32.55 to 12.01</t>
  </si>
  <si>
    <t>1.698, 7, 7</t>
  </si>
  <si>
    <t>Heartrate at 65 hpf</t>
  </si>
  <si>
    <r>
      <t>gata1</t>
    </r>
    <r>
      <rPr>
        <sz val="10"/>
        <rFont val="Arial"/>
        <family val="2"/>
      </rPr>
      <t xml:space="preserve"> ctrls
(n = 29)</t>
    </r>
  </si>
  <si>
    <r>
      <t>gata1</t>
    </r>
    <r>
      <rPr>
        <i/>
        <vertAlign val="superscript"/>
        <sz val="10"/>
        <rFont val="Arial"/>
        <family val="2"/>
      </rPr>
      <t xml:space="preserve">-/-
</t>
    </r>
    <r>
      <rPr>
        <sz val="10"/>
        <rFont val="Arial"/>
        <family val="2"/>
      </rPr>
      <t>(n = 24)</t>
    </r>
  </si>
  <si>
    <t>All cells</t>
  </si>
  <si>
    <r>
      <t xml:space="preserve">Mean of </t>
    </r>
    <r>
      <rPr>
        <i/>
        <sz val="10"/>
        <rFont val="Arial"/>
      </rPr>
      <t>gata1</t>
    </r>
    <r>
      <rPr>
        <sz val="10"/>
        <rFont val="Arial"/>
      </rPr>
      <t xml:space="preserve"> ctrls (n = 29)</t>
    </r>
  </si>
  <si>
    <r>
      <t xml:space="preserve">Mean of </t>
    </r>
    <r>
      <rPr>
        <i/>
        <sz val="10"/>
        <rFont val="Arial"/>
      </rPr>
      <t>gata1</t>
    </r>
    <r>
      <rPr>
        <i/>
        <vertAlign val="superscript"/>
        <sz val="10"/>
        <rFont val="Arial"/>
      </rPr>
      <t xml:space="preserve">-/- </t>
    </r>
    <r>
      <rPr>
        <sz val="10"/>
        <rFont val="Arial"/>
      </rPr>
      <t>(n = 24)</t>
    </r>
  </si>
  <si>
    <t>EdU +ve cells</t>
  </si>
  <si>
    <r>
      <t>gata1</t>
    </r>
    <r>
      <rPr>
        <sz val="10"/>
        <rFont val="Arial"/>
      </rPr>
      <t xml:space="preserve"> ctrls
(n = 29)</t>
    </r>
  </si>
  <si>
    <r>
      <t>gata1</t>
    </r>
    <r>
      <rPr>
        <i/>
        <vertAlign val="superscript"/>
        <sz val="10"/>
        <rFont val="Arial"/>
      </rPr>
      <t xml:space="preserve">-/-
</t>
    </r>
    <r>
      <rPr>
        <sz val="10"/>
        <rFont val="Arial"/>
      </rPr>
      <t>(n = 24)</t>
    </r>
  </si>
  <si>
    <t>Unpaired t test with Welch correction</t>
  </si>
  <si>
    <t>Individual variance for each group</t>
  </si>
  <si>
    <r>
      <t>gata1</t>
    </r>
    <r>
      <rPr>
        <sz val="10"/>
        <rFont val="Arial"/>
        <family val="2"/>
      </rPr>
      <t>ctrls
(n = 24)</t>
    </r>
  </si>
  <si>
    <r>
      <t>gata1</t>
    </r>
    <r>
      <rPr>
        <i/>
        <vertAlign val="superscript"/>
        <sz val="10"/>
        <rFont val="Arial"/>
        <family val="2"/>
      </rPr>
      <t xml:space="preserve">-/-
</t>
    </r>
    <r>
      <rPr>
        <sz val="10"/>
        <rFont val="Arial"/>
        <family val="2"/>
      </rPr>
      <t>(n = 21)</t>
    </r>
  </si>
  <si>
    <t>Luminal cells</t>
  </si>
  <si>
    <r>
      <t xml:space="preserve">gata1 </t>
    </r>
    <r>
      <rPr>
        <sz val="10"/>
        <rFont val="Arial"/>
        <family val="2"/>
      </rPr>
      <t>ctrls
(n = 24)</t>
    </r>
  </si>
  <si>
    <t>Prolif rate total cells</t>
  </si>
  <si>
    <t>t=2.289, df=41.94</t>
  </si>
  <si>
    <t>0.04450 ± 0.01945</t>
  </si>
  <si>
    <t>0.005258 to 0.08375</t>
  </si>
  <si>
    <t>1.820, 23, 20</t>
  </si>
  <si>
    <t>Compare cell means regardless of rows and columns</t>
  </si>
  <si>
    <t>Predicted (LS) mean diff.</t>
  </si>
  <si>
    <r>
      <t>Abluminal cells:</t>
    </r>
    <r>
      <rPr>
        <i/>
        <sz val="10"/>
        <rFont val="Arial"/>
        <family val="2"/>
      </rPr>
      <t>gata1</t>
    </r>
    <r>
      <rPr>
        <sz val="10"/>
        <rFont val="Arial"/>
        <family val="2"/>
      </rPr>
      <t>ctrls (n = 24) vs. Abluminal cells:</t>
    </r>
    <r>
      <rPr>
        <i/>
        <sz val="10"/>
        <rFont val="Arial"/>
        <family val="2"/>
      </rPr>
      <t>gata1</t>
    </r>
    <r>
      <rPr>
        <i/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(n = 21)</t>
    </r>
  </si>
  <si>
    <t>-0.1763 to 0.004950</t>
  </si>
  <si>
    <r>
      <t>Abluminal cells:</t>
    </r>
    <r>
      <rPr>
        <i/>
        <sz val="10"/>
        <rFont val="Arial"/>
        <family val="2"/>
      </rPr>
      <t>gata1</t>
    </r>
    <r>
      <rPr>
        <sz val="10"/>
        <rFont val="Arial"/>
        <family val="2"/>
      </rPr>
      <t>ctrls (n = 24) vs. Luminal cells:</t>
    </r>
    <r>
      <rPr>
        <i/>
        <sz val="10"/>
        <rFont val="Arial"/>
        <family val="2"/>
      </rPr>
      <t>gata1</t>
    </r>
    <r>
      <rPr>
        <sz val="10"/>
        <rFont val="Arial"/>
        <family val="2"/>
      </rPr>
      <t>ctrls (n = 24)</t>
    </r>
  </si>
  <si>
    <t>0.004838 to 0.1799</t>
  </si>
  <si>
    <r>
      <t>Abluminal cells:</t>
    </r>
    <r>
      <rPr>
        <i/>
        <sz val="10"/>
        <rFont val="Arial"/>
        <family val="2"/>
      </rPr>
      <t>gata1</t>
    </r>
    <r>
      <rPr>
        <sz val="10"/>
        <rFont val="Arial"/>
        <family val="2"/>
      </rPr>
      <t>ctrls (n = 24) vs. Luminal cells:</t>
    </r>
    <r>
      <rPr>
        <i/>
        <sz val="10"/>
        <rFont val="Arial"/>
        <family val="2"/>
      </rPr>
      <t>gata1</t>
    </r>
    <r>
      <rPr>
        <i/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(n = 21)</t>
    </r>
  </si>
  <si>
    <t>-0.007200 to 0.1740</t>
  </si>
  <si>
    <r>
      <t>Abluminal cells:</t>
    </r>
    <r>
      <rPr>
        <i/>
        <sz val="10"/>
        <rFont val="Arial"/>
        <family val="2"/>
      </rPr>
      <t>gata1</t>
    </r>
    <r>
      <rPr>
        <i/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(n = 21) vs. Luminal cells:</t>
    </r>
    <r>
      <rPr>
        <i/>
        <sz val="10"/>
        <rFont val="Arial"/>
        <family val="2"/>
      </rPr>
      <t>gata1</t>
    </r>
    <r>
      <rPr>
        <sz val="10"/>
        <rFont val="Arial"/>
        <family val="2"/>
      </rPr>
      <t>ctrls (n = 24)</t>
    </r>
  </si>
  <si>
    <t>0.08742 to 0.2686</t>
  </si>
  <si>
    <r>
      <t>Abluminal cells:</t>
    </r>
    <r>
      <rPr>
        <i/>
        <sz val="10"/>
        <rFont val="Arial"/>
        <family val="2"/>
      </rPr>
      <t>gata1</t>
    </r>
    <r>
      <rPr>
        <i/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(n = 21) vs. Luminal cells:</t>
    </r>
    <r>
      <rPr>
        <i/>
        <sz val="10"/>
        <rFont val="Arial"/>
        <family val="2"/>
      </rPr>
      <t>gata1</t>
    </r>
    <r>
      <rPr>
        <i/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(n = 21)</t>
    </r>
  </si>
  <si>
    <t>0.07549 to 0.2626</t>
  </si>
  <si>
    <r>
      <t>Luminal cells:</t>
    </r>
    <r>
      <rPr>
        <i/>
        <sz val="10"/>
        <rFont val="Arial"/>
        <family val="2"/>
      </rPr>
      <t>gata1</t>
    </r>
    <r>
      <rPr>
        <sz val="10"/>
        <rFont val="Arial"/>
        <family val="2"/>
      </rPr>
      <t>ctrls (n = 24) vs. Luminal cells:</t>
    </r>
    <r>
      <rPr>
        <i/>
        <sz val="10"/>
        <rFont val="Arial"/>
        <family val="2"/>
      </rPr>
      <t>gata1</t>
    </r>
    <r>
      <rPr>
        <i/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(n = 21)</t>
    </r>
  </si>
  <si>
    <t>-0.09957 to 0.08164</t>
  </si>
  <si>
    <t>Predicted (LS) mean 1</t>
  </si>
  <si>
    <t>Predicted (LS) mean 2</t>
  </si>
  <si>
    <t>N1</t>
  </si>
  <si>
    <t>N2</t>
  </si>
  <si>
    <t>split at 80 hpf</t>
  </si>
  <si>
    <t>not split at 80 hpf, 
split at 98 hpf</t>
  </si>
  <si>
    <t>not split at 80 hpf, 
not split at 98hpf</t>
  </si>
  <si>
    <r>
      <t xml:space="preserve">gata1 </t>
    </r>
    <r>
      <rPr>
        <sz val="10"/>
        <rFont val="Arial"/>
        <family val="2"/>
      </rPr>
      <t>ctrls 
(n = 13)</t>
    </r>
  </si>
  <si>
    <r>
      <t>gata1</t>
    </r>
    <r>
      <rPr>
        <sz val="10"/>
        <rFont val="Arial"/>
        <family val="2"/>
      </rPr>
      <t>-/- 
(n = 18)</t>
    </r>
  </si>
  <si>
    <t>Water 
(n = 46)</t>
  </si>
  <si>
    <t>Nano-emulsion 
(n = 44)</t>
  </si>
  <si>
    <r>
      <t>gata1</t>
    </r>
    <r>
      <rPr>
        <i/>
        <vertAlign val="superscript"/>
        <sz val="10"/>
        <rFont val="Arial"/>
        <family val="2"/>
      </rPr>
      <t>-/-</t>
    </r>
    <r>
      <rPr>
        <sz val="10"/>
        <rFont val="Arial"/>
        <family val="2"/>
      </rPr>
      <t>: water
(n = 33)</t>
    </r>
  </si>
  <si>
    <r>
      <t>gata1</t>
    </r>
    <r>
      <rPr>
        <i/>
        <vertAlign val="superscript"/>
        <sz val="10"/>
        <rFont val="Arial"/>
        <family val="2"/>
      </rPr>
      <t>-/-</t>
    </r>
    <r>
      <rPr>
        <sz val="10"/>
        <rFont val="Arial"/>
        <family val="2"/>
      </rPr>
      <t>: nano-emulsion
(n = 31)</t>
    </r>
  </si>
  <si>
    <t>gata1 rescue cell counts</t>
  </si>
  <si>
    <t>t=2.365, df=62.73</t>
  </si>
  <si>
    <t>-3.840 ± 1.623</t>
  </si>
  <si>
    <t>-7.084 to -0.5954</t>
  </si>
  <si>
    <t>1.058, 33, 30</t>
  </si>
  <si>
    <r>
      <t>gata1</t>
    </r>
    <r>
      <rPr>
        <sz val="10"/>
        <rFont val="Arial"/>
        <family val="2"/>
      </rPr>
      <t>ctrls 
(n = 13)</t>
    </r>
  </si>
  <si>
    <r>
      <t xml:space="preserve">gata1 </t>
    </r>
    <r>
      <rPr>
        <sz val="10"/>
        <rFont val="Arial"/>
        <family val="2"/>
      </rPr>
      <t>-/-
(n =18)</t>
    </r>
  </si>
  <si>
    <t>heartrate (bpm)</t>
  </si>
  <si>
    <t>klf2b ctrl</t>
  </si>
  <si>
    <t>klf2b-/-</t>
  </si>
  <si>
    <r>
      <t>klf2a +/+ klf2b +/+</t>
    </r>
    <r>
      <rPr>
        <sz val="10"/>
        <rFont val="Arial"/>
      </rPr>
      <t xml:space="preserve">
(n = 52)</t>
    </r>
  </si>
  <si>
    <r>
      <t>klf2a -/- klf2b -/-</t>
    </r>
    <r>
      <rPr>
        <sz val="10"/>
        <rFont val="Arial"/>
      </rPr>
      <t xml:space="preserve">
(n = 97)</t>
    </r>
  </si>
  <si>
    <r>
      <t>klf2a +/- klf2b +/-</t>
    </r>
    <r>
      <rPr>
        <sz val="10"/>
        <rFont val="Arial"/>
      </rPr>
      <t xml:space="preserve"> 
(n = 42)</t>
    </r>
  </si>
  <si>
    <r>
      <t>klf2a +/- klf2b -/-</t>
    </r>
    <r>
      <rPr>
        <sz val="10"/>
        <rFont val="Arial"/>
      </rPr>
      <t xml:space="preserve"> 
(n = 48)</t>
    </r>
  </si>
  <si>
    <t>Day</t>
  </si>
  <si>
    <t>Survival</t>
  </si>
  <si>
    <t>Comparison of Survival Curves</t>
  </si>
  <si>
    <t>Log-rank (Mantel-Cox) test</t>
  </si>
  <si>
    <t>Chi square</t>
  </si>
  <si>
    <t>Are the survival curves sig different?</t>
  </si>
  <si>
    <t>Gehan-Breslow-Wilcoxon test</t>
  </si>
  <si>
    <t>Median survival</t>
  </si>
  <si>
    <r>
      <t>klf2</t>
    </r>
    <r>
      <rPr>
        <vertAlign val="superscript"/>
        <sz val="10"/>
        <rFont val="Arial"/>
      </rPr>
      <t>+/+</t>
    </r>
  </si>
  <si>
    <t>Undefined</t>
  </si>
  <si>
    <r>
      <t>klf2</t>
    </r>
    <r>
      <rPr>
        <vertAlign val="superscript"/>
        <sz val="10"/>
        <rFont val="Arial"/>
      </rPr>
      <t>-/-</t>
    </r>
  </si>
  <si>
    <t>Hazard Ratio (Mantel-Haenszel)</t>
  </si>
  <si>
    <t>A/B</t>
  </si>
  <si>
    <t>B/A</t>
  </si>
  <si>
    <t>Ratio (and its reciprocal)</t>
  </si>
  <si>
    <t>95% CI of ratio</t>
  </si>
  <si>
    <t>0.1352 to 0.3738</t>
  </si>
  <si>
    <t>2.675 to 7.396</t>
  </si>
  <si>
    <t>Hazard Ratio (logrank)</t>
  </si>
  <si>
    <t>0.1014 to 0.2461</t>
  </si>
  <si>
    <t>4.064 to 9.862</t>
  </si>
  <si>
    <t>Fig S15H</t>
  </si>
  <si>
    <t>Fig S15G</t>
  </si>
  <si>
    <t>Fig S15F</t>
  </si>
  <si>
    <t>0%</t>
  </si>
  <si>
    <t>0 - 20%</t>
  </si>
  <si>
    <t>20 - 100%</t>
  </si>
  <si>
    <r>
      <t>klf2</t>
    </r>
    <r>
      <rPr>
        <vertAlign val="superscript"/>
        <sz val="10"/>
        <rFont val="Arial"/>
        <family val="2"/>
      </rPr>
      <t xml:space="preserve">+/+
</t>
    </r>
    <r>
      <rPr>
        <sz val="10"/>
        <rFont val="Arial"/>
        <family val="2"/>
      </rPr>
      <t>(n = 39)</t>
    </r>
  </si>
  <si>
    <r>
      <t>klf2</t>
    </r>
    <r>
      <rPr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Normal
(n = 35)</t>
    </r>
  </si>
  <si>
    <r>
      <t>klf2</t>
    </r>
    <r>
      <rPr>
        <vertAlign val="superscript"/>
        <sz val="10"/>
        <rFont val="Arial"/>
        <family val="2"/>
      </rPr>
      <t xml:space="preserve">-/- </t>
    </r>
    <r>
      <rPr>
        <sz val="10"/>
        <rFont val="Arial"/>
        <family val="2"/>
      </rPr>
      <t>Thick
(n = 40)</t>
    </r>
  </si>
  <si>
    <t>Fig S15K</t>
  </si>
  <si>
    <t>% frames with reversing flow</t>
  </si>
  <si>
    <t>Fig S15B</t>
  </si>
  <si>
    <t>Fig S15C</t>
  </si>
  <si>
    <r>
      <t>klf2a</t>
    </r>
    <r>
      <rPr>
        <i/>
        <vertAlign val="superscript"/>
        <sz val="10"/>
        <rFont val="Arial"/>
        <family val="2"/>
      </rPr>
      <t>+/-</t>
    </r>
    <r>
      <rPr>
        <i/>
        <sz val="10"/>
        <rFont val="Arial"/>
        <family val="2"/>
      </rPr>
      <t xml:space="preserve"> klf2b</t>
    </r>
    <r>
      <rPr>
        <i/>
        <vertAlign val="superscript"/>
        <sz val="10"/>
        <rFont val="Arial"/>
        <family val="2"/>
      </rPr>
      <t>+/-</t>
    </r>
    <r>
      <rPr>
        <sz val="10"/>
        <rFont val="Arial"/>
        <family val="2"/>
      </rPr>
      <t xml:space="preserve">
(n = 43)</t>
    </r>
  </si>
  <si>
    <r>
      <t>klf2a</t>
    </r>
    <r>
      <rPr>
        <i/>
        <vertAlign val="superscript"/>
        <sz val="10"/>
        <rFont val="Arial"/>
        <family val="2"/>
      </rPr>
      <t>+/-</t>
    </r>
    <r>
      <rPr>
        <i/>
        <sz val="10"/>
        <rFont val="Arial"/>
        <family val="2"/>
      </rPr>
      <t xml:space="preserve"> klf2b</t>
    </r>
    <r>
      <rPr>
        <i/>
        <vertAlign val="superscript"/>
        <sz val="10"/>
        <rFont val="Arial"/>
        <family val="2"/>
      </rPr>
      <t>-/-</t>
    </r>
    <r>
      <rPr>
        <sz val="10"/>
        <rFont val="Arial"/>
        <family val="2"/>
      </rPr>
      <t xml:space="preserve">
(n = 50)</t>
    </r>
  </si>
  <si>
    <r>
      <t>klf2</t>
    </r>
    <r>
      <rPr>
        <vertAlign val="superscript"/>
        <sz val="10"/>
        <rFont val="Arial"/>
        <family val="2"/>
      </rPr>
      <t>-/-</t>
    </r>
    <r>
      <rPr>
        <sz val="10"/>
        <rFont val="Arial"/>
        <family val="2"/>
      </rPr>
      <t xml:space="preserve">
(n = 40)</t>
    </r>
  </si>
  <si>
    <r>
      <t xml:space="preserve">gata1 </t>
    </r>
    <r>
      <rPr>
        <sz val="10"/>
        <rFont val="Arial"/>
      </rPr>
      <t>ctrls
(n = 9)</t>
    </r>
  </si>
  <si>
    <r>
      <t>gata1</t>
    </r>
    <r>
      <rPr>
        <i/>
        <vertAlign val="superscript"/>
        <sz val="10"/>
        <rFont val="Arial"/>
      </rPr>
      <t>-</t>
    </r>
    <r>
      <rPr>
        <vertAlign val="superscript"/>
        <sz val="10"/>
        <rFont val="Arial"/>
      </rPr>
      <t>/-</t>
    </r>
    <r>
      <rPr>
        <sz val="10"/>
        <rFont val="Arial"/>
      </rPr>
      <t xml:space="preserve">
(n = 8)</t>
    </r>
  </si>
  <si>
    <t>Region 1</t>
  </si>
  <si>
    <t>Region 2</t>
  </si>
  <si>
    <t>klf2b</t>
  </si>
  <si>
    <t>klf2a</t>
  </si>
  <si>
    <r>
      <t xml:space="preserve">Mean of </t>
    </r>
    <r>
      <rPr>
        <i/>
        <sz val="10"/>
        <rFont val="Arial"/>
        <family val="2"/>
      </rPr>
      <t xml:space="preserve">gata1 </t>
    </r>
    <r>
      <rPr>
        <sz val="10"/>
        <rFont val="Arial"/>
        <family val="2"/>
      </rPr>
      <t>ctrls (n = 9)</t>
    </r>
  </si>
  <si>
    <r>
      <t xml:space="preserve">Mean of </t>
    </r>
    <r>
      <rPr>
        <i/>
        <sz val="10"/>
        <rFont val="Arial"/>
        <family val="2"/>
      </rPr>
      <t>gata1</t>
    </r>
    <r>
      <rPr>
        <i/>
        <vertAlign val="superscript"/>
        <sz val="10"/>
        <rFont val="Arial"/>
        <family val="2"/>
      </rPr>
      <t>-</t>
    </r>
    <r>
      <rPr>
        <vertAlign val="superscript"/>
        <sz val="10"/>
        <rFont val="Arial"/>
        <family val="2"/>
      </rPr>
      <t>/-</t>
    </r>
    <r>
      <rPr>
        <sz val="10"/>
        <rFont val="Arial"/>
        <family val="2"/>
      </rPr>
      <t xml:space="preserve"> (n = 8)</t>
    </r>
  </si>
  <si>
    <r>
      <t xml:space="preserve">gata1 </t>
    </r>
    <r>
      <rPr>
        <sz val="10"/>
        <rFont val="Arial"/>
        <family val="2"/>
      </rPr>
      <t>ctrl
(n = 20)</t>
    </r>
  </si>
  <si>
    <r>
      <t>gata1</t>
    </r>
    <r>
      <rPr>
        <i/>
        <vertAlign val="superscript"/>
        <sz val="10"/>
        <rFont val="Arial"/>
        <family val="2"/>
      </rPr>
      <t>-/-</t>
    </r>
    <r>
      <rPr>
        <sz val="10"/>
        <rFont val="Arial"/>
        <family val="2"/>
      </rPr>
      <t>(n = 22)</t>
    </r>
  </si>
  <si>
    <t>Fig 9E</t>
  </si>
  <si>
    <r>
      <t>gata1</t>
    </r>
    <r>
      <rPr>
        <i/>
        <vertAlign val="superscript"/>
        <sz val="10"/>
        <rFont val="Arial"/>
        <family val="2"/>
      </rPr>
      <t xml:space="preserve">-/-
</t>
    </r>
    <r>
      <rPr>
        <sz val="10"/>
        <rFont val="Arial"/>
        <family val="2"/>
      </rPr>
      <t>(n = 22)</t>
    </r>
  </si>
  <si>
    <t># Nfat activated cells at 65 hpf</t>
  </si>
  <si>
    <t>Nfbr_d2GFP_65hpf</t>
  </si>
  <si>
    <t>t=3.842, df=40</t>
  </si>
  <si>
    <t>-4.327 ± 1.126</t>
  </si>
  <si>
    <t>-6.604 to -2.051</t>
  </si>
  <si>
    <t>1.479, 21, 19</t>
  </si>
  <si>
    <t>Fig 9F</t>
  </si>
  <si>
    <t>FK506</t>
  </si>
  <si>
    <t>DMSO
(n = 51)</t>
  </si>
  <si>
    <t>FK506
(n = 53)</t>
  </si>
  <si>
    <t>Normal (n)</t>
  </si>
  <si>
    <t>Thick (n)</t>
  </si>
  <si>
    <t>DMSO</t>
  </si>
  <si>
    <t>DMSO
(n = 46)</t>
  </si>
  <si>
    <t>FK506
(n = 46)</t>
  </si>
  <si>
    <t>Fig 9G</t>
  </si>
  <si>
    <t>Fig 9H</t>
  </si>
  <si>
    <t>DMSO
(n = 37)</t>
  </si>
  <si>
    <t>FK506
(n = 41)</t>
  </si>
  <si>
    <t>Fig 9I</t>
  </si>
  <si>
    <t>Prolif rate - total cells</t>
  </si>
  <si>
    <t>t=2.002, df=76</t>
  </si>
  <si>
    <t>0.03525 ± 0.01761</t>
  </si>
  <si>
    <t>0.0001819 to 0.07032</t>
  </si>
  <si>
    <t>2.128, 40, 36</t>
  </si>
  <si>
    <t>Abluminal
cells</t>
  </si>
  <si>
    <t>Luminal
cells</t>
  </si>
  <si>
    <t>Šídák's multiple comparisons test</t>
  </si>
  <si>
    <t>Abluminal cells:DMSO vs. Abluminal cells:FK506</t>
  </si>
  <si>
    <t>-0.1700 to 0.009653</t>
  </si>
  <si>
    <t>Abluminal cells:DMSO vs. Luminal cells:DMSO</t>
  </si>
  <si>
    <t>0.03431 to 0.2185</t>
  </si>
  <si>
    <t>Abluminal cells:DMSO vs. Luminal cells:FK506</t>
  </si>
  <si>
    <t>0.03206 to 0.2117</t>
  </si>
  <si>
    <t>Abluminal cells:FK506 vs. Luminal cells:DMSO</t>
  </si>
  <si>
    <t>0.1167 to 0.2964</t>
  </si>
  <si>
    <t>Abluminal cells:FK506 vs. Luminal cells:FK506</t>
  </si>
  <si>
    <t>0.1146 to 0.2895</t>
  </si>
  <si>
    <t>Luminal cells:DMSO vs. Luminal cells:FK506</t>
  </si>
  <si>
    <t>-0.09434 to 0.08530</t>
  </si>
  <si>
    <t>&gt;0.9999</t>
  </si>
  <si>
    <t>t</t>
  </si>
  <si>
    <t>2 way ANOVA - multiple comparisons</t>
  </si>
  <si>
    <t>DMSO: 60-80 hpf
(n = 36)</t>
  </si>
  <si>
    <t>FK506: 60-80 hpf
(n = 39)</t>
  </si>
  <si>
    <t>DMSO
(60-80 hpf)</t>
  </si>
  <si>
    <t>Fig S17C</t>
  </si>
  <si>
    <t>Fig S17E</t>
  </si>
  <si>
    <t>FK506
(60-80 hpf)</t>
  </si>
  <si>
    <t>P value and statistical significance</t>
  </si>
  <si>
    <t>Test</t>
  </si>
  <si>
    <t>Fisher's exact test</t>
  </si>
  <si>
    <t>One- or two-sided</t>
  </si>
  <si>
    <t>Two-sided</t>
  </si>
  <si>
    <t>Statistically significant (P &lt; 0.05)?</t>
  </si>
  <si>
    <t>DMSO: 60-80 hpf
(n = 50)</t>
  </si>
  <si>
    <t>FK506: 60-80 hpf
(n = 54)</t>
  </si>
  <si>
    <t>no pericardial
edema (%)</t>
  </si>
  <si>
    <t>pericardial
edema (%)</t>
  </si>
  <si>
    <t>Mean of DMSO</t>
  </si>
  <si>
    <t>Mean of FK506</t>
  </si>
  <si>
    <t>Outer Layer</t>
  </si>
  <si>
    <t>Inner Layer</t>
  </si>
  <si>
    <t>Total</t>
  </si>
  <si>
    <t>Multiple t-tests</t>
  </si>
  <si>
    <t>Expt555</t>
  </si>
  <si>
    <t>Expt586</t>
  </si>
  <si>
    <t>Expt591</t>
  </si>
  <si>
    <t>M1 z14</t>
  </si>
  <si>
    <t>M3 z17</t>
  </si>
  <si>
    <t>M4 z7</t>
  </si>
  <si>
    <t>M5 z10</t>
  </si>
  <si>
    <t>M6 z8</t>
  </si>
  <si>
    <t>M7 z11</t>
  </si>
  <si>
    <t>M8 z14</t>
  </si>
  <si>
    <t>M9 z9</t>
  </si>
  <si>
    <t>M1 z13</t>
  </si>
  <si>
    <t>M2 z21</t>
  </si>
  <si>
    <t>M3 z22</t>
  </si>
  <si>
    <t>M4 z16</t>
  </si>
  <si>
    <t>M5 z18</t>
  </si>
  <si>
    <t>M7 z13</t>
  </si>
  <si>
    <t>M2 z14</t>
  </si>
  <si>
    <t>M3 z21</t>
  </si>
  <si>
    <t>M4 z12</t>
  </si>
  <si>
    <t>M5 z16</t>
  </si>
  <si>
    <t>M6 z16</t>
  </si>
  <si>
    <t>first luminal layer</t>
  </si>
  <si>
    <t>inside all</t>
  </si>
  <si>
    <t>C1 z16</t>
  </si>
  <si>
    <t>C2 z15</t>
  </si>
  <si>
    <t>C3 z15</t>
  </si>
  <si>
    <t>C4 z11</t>
  </si>
  <si>
    <t>C5 z14</t>
  </si>
  <si>
    <t>C6 z18</t>
  </si>
  <si>
    <t>C7 z15</t>
  </si>
  <si>
    <t>C1 z15</t>
  </si>
  <si>
    <t>C3 z14</t>
  </si>
  <si>
    <t>C4 z19</t>
  </si>
  <si>
    <t>C5 z13</t>
  </si>
  <si>
    <t>C6 z17</t>
  </si>
  <si>
    <t>C1 z12</t>
  </si>
  <si>
    <t>C3 z13</t>
  </si>
  <si>
    <t>C4 z16</t>
  </si>
  <si>
    <t>C5 z17</t>
  </si>
  <si>
    <t>C6 z20</t>
  </si>
  <si>
    <t>C7 z17</t>
  </si>
  <si>
    <r>
      <rPr>
        <i/>
        <sz val="11"/>
        <color theme="1"/>
        <rFont val="Calibri"/>
        <family val="2"/>
        <scheme val="minor"/>
      </rPr>
      <t>twist1b: gata1</t>
    </r>
    <r>
      <rPr>
        <sz val="11"/>
        <color theme="1"/>
        <rFont val="Calibri"/>
        <family val="2"/>
        <scheme val="minor"/>
      </rPr>
      <t xml:space="preserve"> control </t>
    </r>
  </si>
  <si>
    <r>
      <rPr>
        <i/>
        <sz val="11"/>
        <color theme="1"/>
        <rFont val="Calibri"/>
        <family val="2"/>
        <scheme val="minor"/>
      </rPr>
      <t>snail1b: gata1</t>
    </r>
    <r>
      <rPr>
        <sz val="11"/>
        <color theme="1"/>
        <rFont val="Calibri"/>
        <family val="2"/>
        <scheme val="minor"/>
      </rPr>
      <t xml:space="preserve"> mutant</t>
    </r>
  </si>
  <si>
    <r>
      <rPr>
        <i/>
        <sz val="11"/>
        <color theme="1"/>
        <rFont val="Calibri"/>
        <family val="2"/>
        <scheme val="minor"/>
      </rPr>
      <t>snail1b</t>
    </r>
    <r>
      <rPr>
        <sz val="11"/>
        <color theme="1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>gata1</t>
    </r>
    <r>
      <rPr>
        <sz val="11"/>
        <color theme="1"/>
        <rFont val="Calibri"/>
        <family val="2"/>
        <scheme val="minor"/>
      </rPr>
      <t xml:space="preserve"> control</t>
    </r>
  </si>
  <si>
    <r>
      <rPr>
        <i/>
        <sz val="11"/>
        <color theme="1"/>
        <rFont val="Calibri"/>
        <family val="2"/>
        <scheme val="minor"/>
      </rPr>
      <t>twist1b: gata1</t>
    </r>
    <r>
      <rPr>
        <sz val="11"/>
        <color theme="1"/>
        <rFont val="Calibri"/>
        <family val="2"/>
        <scheme val="minor"/>
      </rPr>
      <t xml:space="preserve"> mutant </t>
    </r>
  </si>
  <si>
    <r>
      <t xml:space="preserve">Mean of </t>
    </r>
    <r>
      <rPr>
        <i/>
        <sz val="10"/>
        <rFont val="Arial"/>
        <family val="2"/>
      </rPr>
      <t>gata1</t>
    </r>
    <r>
      <rPr>
        <sz val="10"/>
        <rFont val="Arial"/>
        <family val="2"/>
      </rPr>
      <t xml:space="preserve"> controls</t>
    </r>
  </si>
  <si>
    <r>
      <t xml:space="preserve">Mean of </t>
    </r>
    <r>
      <rPr>
        <i/>
        <sz val="10"/>
        <rFont val="Arial"/>
        <family val="2"/>
      </rPr>
      <t xml:space="preserve">gata1 </t>
    </r>
    <r>
      <rPr>
        <sz val="10"/>
        <rFont val="Arial"/>
        <family val="2"/>
      </rPr>
      <t>mutants</t>
    </r>
  </si>
  <si>
    <t>snail1b</t>
  </si>
  <si>
    <r>
      <t xml:space="preserve">Mean of </t>
    </r>
    <r>
      <rPr>
        <i/>
        <sz val="10"/>
        <rFont val="Arial"/>
        <family val="2"/>
      </rPr>
      <t xml:space="preserve">gata1 </t>
    </r>
    <r>
      <rPr>
        <sz val="10"/>
        <rFont val="Arial"/>
        <family val="2"/>
      </rPr>
      <t>controls</t>
    </r>
  </si>
  <si>
    <t>twist1b</t>
  </si>
  <si>
    <r>
      <t xml:space="preserve">gata1 </t>
    </r>
    <r>
      <rPr>
        <sz val="10"/>
        <rFont val="Arial"/>
        <family val="2"/>
      </rPr>
      <t>ctrl
(n = 32)</t>
    </r>
  </si>
  <si>
    <r>
      <t>gata1</t>
    </r>
    <r>
      <rPr>
        <i/>
        <vertAlign val="superscript"/>
        <sz val="10"/>
        <rFont val="Arial"/>
        <family val="2"/>
      </rPr>
      <t>-/-</t>
    </r>
    <r>
      <rPr>
        <sz val="10"/>
        <rFont val="Arial"/>
        <family val="2"/>
      </rPr>
      <t>(n = 24)</t>
    </r>
  </si>
  <si>
    <t>Fig 11F</t>
  </si>
  <si>
    <t>Total Valve Cell Number</t>
  </si>
  <si>
    <t>t=0.1183, df=54</t>
  </si>
  <si>
    <t>-0.1250 ± 1.057</t>
  </si>
  <si>
    <t>-2.243 to 1.993</t>
  </si>
  <si>
    <t>1.147, 31, 23</t>
  </si>
  <si>
    <r>
      <t xml:space="preserve">Number of GFP </t>
    </r>
    <r>
      <rPr>
        <sz val="12"/>
        <color theme="1"/>
        <rFont val="Calibri"/>
        <family val="2"/>
        <scheme val="minor"/>
      </rPr>
      <t>high</t>
    </r>
    <r>
      <rPr>
        <sz val="11"/>
        <color theme="1"/>
        <rFont val="Calibri"/>
        <family val="2"/>
        <scheme val="minor"/>
      </rPr>
      <t xml:space="preserve"> cells</t>
    </r>
  </si>
  <si>
    <t>Fig 11E</t>
  </si>
  <si>
    <t>t=3.766, df=63</t>
  </si>
  <si>
    <t>1.534 ± 0.4074</t>
  </si>
  <si>
    <t>0.7203 to 2.349</t>
  </si>
  <si>
    <t>1.707, 28, 35</t>
  </si>
  <si>
    <t>twist1b_high_cells_75hpf_in_gata1mut</t>
  </si>
  <si>
    <t>Fig 12C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</si>
  <si>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</si>
  <si>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</si>
  <si>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</si>
  <si>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</si>
  <si>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</si>
  <si>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</si>
  <si>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</si>
  <si>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</si>
  <si>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</si>
  <si>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</si>
  <si>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C7</t>
  </si>
  <si>
    <t>C8</t>
  </si>
  <si>
    <t>C10</t>
  </si>
  <si>
    <t>C11</t>
  </si>
  <si>
    <r>
      <rPr>
        <i/>
        <sz val="11"/>
        <color theme="1"/>
        <rFont val="Calibri"/>
        <family val="2"/>
        <scheme val="minor"/>
      </rPr>
      <t>twist1b</t>
    </r>
    <r>
      <rPr>
        <sz val="11"/>
        <color theme="1"/>
        <rFont val="Calibri"/>
        <family val="2"/>
        <scheme val="minor"/>
      </rPr>
      <t xml:space="preserve">  mutant summary</t>
    </r>
  </si>
  <si>
    <r>
      <rPr>
        <i/>
        <sz val="11"/>
        <color theme="1"/>
        <rFont val="Calibri"/>
        <family val="2"/>
        <scheme val="minor"/>
      </rPr>
      <t>twist1b</t>
    </r>
    <r>
      <rPr>
        <sz val="11"/>
        <color theme="1"/>
        <rFont val="Calibri"/>
        <family val="2"/>
        <scheme val="minor"/>
      </rPr>
      <t xml:space="preserve"> control summary</t>
    </r>
  </si>
  <si>
    <t>C9</t>
  </si>
  <si>
    <t>C12</t>
  </si>
  <si>
    <t>C13</t>
  </si>
  <si>
    <t>F11</t>
  </si>
  <si>
    <t>F12</t>
  </si>
  <si>
    <t>F13</t>
  </si>
  <si>
    <t>F14</t>
  </si>
  <si>
    <t>F15</t>
  </si>
  <si>
    <t>dots/micron^2</t>
  </si>
  <si>
    <t>abluminal</t>
  </si>
  <si>
    <t>DMSO
(n = 25)</t>
  </si>
  <si>
    <t>FK506
(n = 35)</t>
  </si>
  <si>
    <t>Fig 12D</t>
  </si>
  <si>
    <t>Fig 12E</t>
  </si>
  <si>
    <t>Total valve cell number</t>
  </si>
  <si>
    <t>Number of GFP high cells</t>
  </si>
  <si>
    <t>t=0.01329, df=59</t>
  </si>
  <si>
    <t>0.01099 ± 0.8268</t>
  </si>
  <si>
    <t>-1.643 to 1.665</t>
  </si>
  <si>
    <t>1.677, 34, 25</t>
  </si>
  <si>
    <t>EdC_Number_FK_75hpf</t>
  </si>
  <si>
    <t>t=5.006, df=58</t>
  </si>
  <si>
    <t>2.400 ± 0.4794</t>
  </si>
  <si>
    <t>1.440 to 3.360</t>
  </si>
  <si>
    <t>1.745, 34, 24</t>
  </si>
  <si>
    <t>twist1b_high_cells_75hpf_FK</t>
  </si>
  <si>
    <t>Fig 1H</t>
  </si>
  <si>
    <t>Fig S7K</t>
  </si>
  <si>
    <t>Fig S7H</t>
  </si>
  <si>
    <t>Fig S7O</t>
  </si>
  <si>
    <t>Fig S7P</t>
  </si>
  <si>
    <t>Fig S7Q</t>
  </si>
  <si>
    <t>Fig S14C</t>
  </si>
  <si>
    <t>Fig S14D</t>
  </si>
  <si>
    <t>Not split (%)</t>
  </si>
  <si>
    <t>not split at 80 hpf, split at 98 hpf</t>
  </si>
  <si>
    <t>not split at 80 hpf, not split at 98hpf</t>
  </si>
  <si>
    <t>The Fisher exact test statistic value is 0. The result is significant at p &lt; .01</t>
  </si>
  <si>
    <r>
      <rPr>
        <i/>
        <sz val="11"/>
        <color theme="1"/>
        <rFont val="Calibri"/>
        <family val="2"/>
        <scheme val="minor"/>
      </rPr>
      <t>gata1</t>
    </r>
    <r>
      <rPr>
        <sz val="11"/>
        <color theme="1"/>
        <rFont val="Calibri"/>
        <family val="2"/>
        <scheme val="minor"/>
      </rPr>
      <t xml:space="preserve"> ctrls 
(n = 13)</t>
    </r>
  </si>
  <si>
    <r>
      <rPr>
        <i/>
        <sz val="11"/>
        <color theme="1"/>
        <rFont val="Calibri"/>
        <family val="2"/>
        <scheme val="minor"/>
      </rPr>
      <t>gata1 -/-</t>
    </r>
    <r>
      <rPr>
        <sz val="11"/>
        <color theme="1"/>
        <rFont val="Calibri"/>
        <family val="2"/>
        <scheme val="minor"/>
      </rPr>
      <t xml:space="preserve"> 
(n = 18)</t>
    </r>
  </si>
  <si>
    <t>Water (n = 46)</t>
  </si>
  <si>
    <t>Nano-emulsion (n = 44)</t>
  </si>
  <si>
    <t>Percentage of row total</t>
  </si>
  <si>
    <t>43.48%</t>
  </si>
  <si>
    <t>56.52%</t>
  </si>
  <si>
    <t>61.36%</t>
  </si>
  <si>
    <t>38.64%</t>
  </si>
  <si>
    <t>Percentage of column total</t>
  </si>
  <si>
    <t>42.55%</t>
  </si>
  <si>
    <t>60.47%</t>
  </si>
  <si>
    <t>57.45%</t>
  </si>
  <si>
    <t>39.53%</t>
  </si>
  <si>
    <t>Percentage of grand total</t>
  </si>
  <si>
    <t>22.22%</t>
  </si>
  <si>
    <t>28.89%</t>
  </si>
  <si>
    <t>30.00%</t>
  </si>
  <si>
    <t>18.89%</t>
  </si>
  <si>
    <t>gata1 rescue thick or not</t>
  </si>
  <si>
    <r>
      <t>klf2a</t>
    </r>
    <r>
      <rPr>
        <i/>
        <vertAlign val="superscript"/>
        <sz val="10"/>
        <rFont val="Arial"/>
        <family val="2"/>
      </rPr>
      <t>+/-</t>
    </r>
    <r>
      <rPr>
        <i/>
        <sz val="10"/>
        <rFont val="Arial"/>
        <family val="2"/>
      </rPr>
      <t xml:space="preserve"> klf2b</t>
    </r>
    <r>
      <rPr>
        <i/>
        <vertAlign val="superscript"/>
        <sz val="10"/>
        <rFont val="Arial"/>
        <family val="2"/>
      </rPr>
      <t>+/-</t>
    </r>
  </si>
  <si>
    <r>
      <t>klf2a</t>
    </r>
    <r>
      <rPr>
        <i/>
        <vertAlign val="superscript"/>
        <sz val="10"/>
        <rFont val="Arial"/>
        <family val="2"/>
      </rPr>
      <t>+/-</t>
    </r>
    <r>
      <rPr>
        <i/>
        <sz val="10"/>
        <rFont val="Arial"/>
        <family val="2"/>
      </rPr>
      <t xml:space="preserve"> klf2b</t>
    </r>
    <r>
      <rPr>
        <i/>
        <vertAlign val="superscript"/>
        <sz val="10"/>
        <rFont val="Arial"/>
        <family val="2"/>
      </rPr>
      <t>-/-</t>
    </r>
  </si>
  <si>
    <r>
      <t>klf2</t>
    </r>
    <r>
      <rPr>
        <vertAlign val="superscript"/>
        <sz val="10"/>
        <rFont val="Arial"/>
        <family val="2"/>
      </rPr>
      <t>-/-</t>
    </r>
  </si>
  <si>
    <r>
      <t>klf2</t>
    </r>
    <r>
      <rPr>
        <i/>
        <vertAlign val="superscript"/>
        <sz val="10"/>
        <rFont val="Arial"/>
      </rPr>
      <t>+/+</t>
    </r>
    <r>
      <rPr>
        <sz val="10"/>
        <rFont val="Arial"/>
        <family val="2"/>
      </rPr>
      <t xml:space="preserve"> (n)</t>
    </r>
  </si>
  <si>
    <r>
      <t>klf2</t>
    </r>
    <r>
      <rPr>
        <i/>
        <vertAlign val="superscript"/>
        <sz val="10"/>
        <rFont val="Arial"/>
      </rPr>
      <t>-/-</t>
    </r>
    <r>
      <rPr>
        <sz val="10"/>
        <rFont val="Arial"/>
        <family val="2"/>
      </rPr>
      <t xml:space="preserve"> (n)</t>
    </r>
  </si>
  <si>
    <r>
      <t>klf2</t>
    </r>
    <r>
      <rPr>
        <i/>
        <vertAlign val="superscript"/>
        <sz val="10"/>
        <rFont val="Arial"/>
      </rPr>
      <t>+/+</t>
    </r>
    <r>
      <rPr>
        <i/>
        <sz val="10"/>
        <rFont val="Arial"/>
      </rPr>
      <t xml:space="preserve"> </t>
    </r>
    <r>
      <rPr>
        <sz val="10"/>
        <rFont val="Arial"/>
        <family val="2"/>
      </rPr>
      <t>(%)</t>
    </r>
  </si>
  <si>
    <r>
      <t>klf2</t>
    </r>
    <r>
      <rPr>
        <i/>
        <vertAlign val="superscript"/>
        <sz val="10"/>
        <rFont val="Arial"/>
      </rPr>
      <t>-/-</t>
    </r>
    <r>
      <rPr>
        <i/>
        <sz val="10"/>
        <rFont val="Arial"/>
      </rPr>
      <t xml:space="preserve"> </t>
    </r>
    <r>
      <rPr>
        <sz val="10"/>
        <rFont val="Arial"/>
        <family val="2"/>
      </rPr>
      <t>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</si>
</sst>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FF"/>
      <name val="Open Sans"/>
    </font>
    <font>
      <i/>
      <sz val="8"/>
      <color rgb="FF0000FF"/>
      <name val="Open Sans"/>
    </font>
    <font>
      <sz val="8"/>
      <color rgb="FFFF0000"/>
      <name val="Open Sans"/>
    </font>
    <font>
      <i/>
      <sz val="8"/>
      <color rgb="FFFF0000"/>
      <name val="Open Sans"/>
    </font>
    <font>
      <sz val="8"/>
      <color rgb="FF000000"/>
      <name val="Open Sans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0"/>
      <name val="Arial"/>
      <family val="2"/>
    </font>
    <font>
      <i/>
      <sz val="10"/>
      <name val="Arial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</font>
    <font>
      <i/>
      <vertAlign val="superscript"/>
      <sz val="10"/>
      <name val="Arial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3" fillId="0" borderId="0" xfId="0" applyFont="1"/>
    <xf numFmtId="0" fontId="5" fillId="0" borderId="0" xfId="0" applyFont="1"/>
    <xf numFmtId="0" fontId="1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0" fillId="7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5" borderId="1" xfId="0" applyFill="1" applyBorder="1" applyAlignment="1">
      <alignment wrapText="1"/>
    </xf>
    <xf numFmtId="0" fontId="8" fillId="7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7" borderId="1" xfId="0" applyFont="1" applyFill="1" applyBorder="1" applyAlignment="1">
      <alignment horizontal="left"/>
    </xf>
    <xf numFmtId="0" fontId="8" fillId="7" borderId="1" xfId="0" applyFont="1" applyFill="1" applyBorder="1"/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/>
    <xf numFmtId="0" fontId="8" fillId="0" borderId="1" xfId="0" applyFont="1" applyBorder="1"/>
    <xf numFmtId="0" fontId="0" fillId="7" borderId="2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7" borderId="2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1" xfId="0" applyFill="1" applyBorder="1"/>
    <xf numFmtId="0" fontId="0" fillId="0" borderId="1" xfId="0" applyBorder="1"/>
    <xf numFmtId="0" fontId="8" fillId="5" borderId="1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10" fontId="0" fillId="0" borderId="1" xfId="0" applyNumberFormat="1" applyBorder="1"/>
    <xf numFmtId="0" fontId="9" fillId="0" borderId="0" xfId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0" fillId="0" borderId="0" xfId="0" applyAlignment="1"/>
    <xf numFmtId="0" fontId="8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1" fontId="0" fillId="0" borderId="0" xfId="0" applyNumberFormat="1"/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3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wrapText="1"/>
    </xf>
    <xf numFmtId="0" fontId="2" fillId="0" borderId="1" xfId="0" applyFont="1" applyBorder="1" applyAlignment="1"/>
    <xf numFmtId="0" fontId="2" fillId="0" borderId="0" xfId="0" applyFont="1" applyAlignment="1"/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0" fillId="0" borderId="1" xfId="0" applyFont="1" applyBorder="1"/>
    <xf numFmtId="0" fontId="12" fillId="0" borderId="1" xfId="0" applyFont="1" applyBorder="1" applyAlignment="1">
      <alignment horizontal="left" wrapText="1"/>
    </xf>
    <xf numFmtId="0" fontId="18" fillId="0" borderId="0" xfId="0" applyFont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" xfId="0" applyFill="1" applyBorder="1"/>
    <xf numFmtId="0" fontId="0" fillId="0" borderId="0" xfId="0" applyBorder="1" applyAlignment="1">
      <alignment wrapText="1"/>
    </xf>
    <xf numFmtId="0" fontId="0" fillId="6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8" fillId="0" borderId="1" xfId="0" applyFont="1" applyBorder="1" applyAlignment="1">
      <alignment wrapText="1"/>
    </xf>
    <xf numFmtId="0" fontId="13" fillId="0" borderId="1" xfId="0" applyFont="1" applyBorder="1"/>
    <xf numFmtId="0" fontId="13" fillId="0" borderId="1" xfId="0" applyFont="1" applyBorder="1" applyAlignment="1"/>
    <xf numFmtId="0" fontId="0" fillId="0" borderId="1" xfId="0" applyFont="1" applyFill="1" applyBorder="1"/>
    <xf numFmtId="0" fontId="0" fillId="0" borderId="0" xfId="0" applyFont="1" applyFill="1"/>
    <xf numFmtId="0" fontId="0" fillId="7" borderId="2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7" borderId="2" xfId="0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0" fillId="7" borderId="4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4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48">
    <dxf>
      <font>
        <color auto="1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'[4]BDM summary'!$H$35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'[4]BDM summary'!$I$37:$L$37</c:f>
                <c:numCache>
                  <c:formatCode>General</c:formatCode>
                  <c:ptCount val="4"/>
                  <c:pt idx="0">
                    <c:v>26.784276195031616</c:v>
                  </c:pt>
                  <c:pt idx="1">
                    <c:v>18.759060584154405</c:v>
                  </c:pt>
                  <c:pt idx="2">
                    <c:v>37.44723666488305</c:v>
                  </c:pt>
                  <c:pt idx="3">
                    <c:v>41.625667465495823</c:v>
                  </c:pt>
                </c:numCache>
              </c:numRef>
            </c:plus>
            <c:minus>
              <c:numRef>
                <c:f>'[4]BDM summary'!$I$37:$L$37</c:f>
                <c:numCache>
                  <c:formatCode>General</c:formatCode>
                  <c:ptCount val="4"/>
                  <c:pt idx="0">
                    <c:v>26.784276195031616</c:v>
                  </c:pt>
                  <c:pt idx="1">
                    <c:v>18.759060584154405</c:v>
                  </c:pt>
                  <c:pt idx="2">
                    <c:v>37.44723666488305</c:v>
                  </c:pt>
                  <c:pt idx="3">
                    <c:v>41.625667465495823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'[4]BDM summary'!$I$35:$L$35</c:f>
              <c:numCache>
                <c:formatCode>General</c:formatCode>
                <c:ptCount val="4"/>
                <c:pt idx="0">
                  <c:v>138.80369864127644</c:v>
                </c:pt>
                <c:pt idx="1">
                  <c:v>144.7895854239184</c:v>
                </c:pt>
                <c:pt idx="2">
                  <c:v>155.1602465852491</c:v>
                </c:pt>
                <c:pt idx="3">
                  <c:v>212.7047137817159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D-408E-B462-A01A5763AD87}"/>
            </c:ext>
          </c:extLst>
        </c:ser>
        <c:ser>
          <c:idx val="1"/>
          <c:order val="1"/>
          <c:tx>
            <c:strRef>
              <c:f>'[4]BDM summary'!$H$36</c:f>
              <c:strCache>
                <c:ptCount val="1"/>
                <c:pt idx="0">
                  <c:v>BDM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'[4]BDM summary'!$I$38:$L$38</c:f>
                <c:numCache>
                  <c:formatCode>General</c:formatCode>
                  <c:ptCount val="4"/>
                  <c:pt idx="0">
                    <c:v>31.91833697006604</c:v>
                  </c:pt>
                  <c:pt idx="1">
                    <c:v>31.155717524983995</c:v>
                  </c:pt>
                  <c:pt idx="2">
                    <c:v>26.902310064957579</c:v>
                  </c:pt>
                  <c:pt idx="3">
                    <c:v>40.055484447367867</c:v>
                  </c:pt>
                </c:numCache>
              </c:numRef>
            </c:plus>
            <c:minus>
              <c:numRef>
                <c:f>'[4]BDM summary'!$I$38:$L$38</c:f>
                <c:numCache>
                  <c:formatCode>General</c:formatCode>
                  <c:ptCount val="4"/>
                  <c:pt idx="0">
                    <c:v>31.91833697006604</c:v>
                  </c:pt>
                  <c:pt idx="1">
                    <c:v>31.155717524983995</c:v>
                  </c:pt>
                  <c:pt idx="2">
                    <c:v>26.902310064957579</c:v>
                  </c:pt>
                  <c:pt idx="3">
                    <c:v>40.055484447367867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'[4]BDM summary'!$I$36:$L$36</c:f>
              <c:numCache>
                <c:formatCode>General</c:formatCode>
                <c:ptCount val="4"/>
                <c:pt idx="0">
                  <c:v>139.32038107549619</c:v>
                </c:pt>
                <c:pt idx="1">
                  <c:v>98.040815682589269</c:v>
                </c:pt>
                <c:pt idx="2">
                  <c:v>112.65707234259311</c:v>
                </c:pt>
                <c:pt idx="3">
                  <c:v>197.31982730914189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D-408E-B462-A01A5763A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4432024"/>
        <c:axId val="505366368"/>
      </c:lineChart>
      <c:catAx>
        <c:axId val="6844320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366368"/>
        <c:crosses val="autoZero"/>
        <c:auto val="1"/>
        <c:lblAlgn val="ctr"/>
        <c:lblOffset val="100"/>
        <c:noMultiLvlLbl val="0"/>
      </c:catAx>
      <c:valAx>
        <c:axId val="50536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/>
                  <a:t>Heartrate (beats/minute)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432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'[4]BDM summary'!$C$43</c:f>
              <c:strCache>
                <c:ptCount val="1"/>
                <c:pt idx="0">
                  <c:v>split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'[4]BDM summary'!$B$44:$B$45</c:f>
              <c:strCache>
                <c:ptCount val="2"/>
                <c:pt idx="0">
                  <c:v>Control</c:v>
                </c:pt>
                <c:pt idx="1">
                  <c:v>BDM</c:v>
                </c:pt>
              </c:strCache>
            </c:strRef>
          </c:cat>
          <c:val>
            <c:numRef>
              <c:f>'[4]BDM summary'!$C$44:$C$45</c:f>
              <c:numCache>
                <c:formatCode>General</c:formatCode>
                <c:ptCount val="2"/>
                <c:pt idx="0">
                  <c:v>13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0-4C0C-9CA7-A7E3D4573EDF}"/>
            </c:ext>
          </c:extLst>
        </c:ser>
        <c:ser>
          <c:idx val="1"/>
          <c:order val="1"/>
          <c:tx>
            <c:strRef>
              <c:f>'[4]BDM summary'!$D$43</c:f>
              <c:strCache>
                <c:ptCount val="1"/>
                <c:pt idx="0">
                  <c:v>not split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'[4]BDM summary'!$B$44:$B$45</c:f>
              <c:strCache>
                <c:ptCount val="2"/>
                <c:pt idx="0">
                  <c:v>Control</c:v>
                </c:pt>
                <c:pt idx="1">
                  <c:v>BDM</c:v>
                </c:pt>
              </c:strCache>
            </c:strRef>
          </c:cat>
          <c:val>
            <c:numRef>
              <c:f>'[4]BDM summary'!$D$44:$D$45</c:f>
              <c:numCache>
                <c:formatCode>General</c:formatCode>
                <c:ptCount val="2"/>
                <c:pt idx="0">
                  <c:v>5</c:v>
                </c:pt>
                <c:pt idx="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10-4C0C-9CA7-A7E3D4573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6869544"/>
        <c:axId val="315778928"/>
      </c:barChart>
      <c:catAx>
        <c:axId val="51686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778928"/>
        <c:crosses val="autoZero"/>
        <c:auto val="1"/>
        <c:lblAlgn val="ctr"/>
        <c:lblOffset val="100"/>
        <c:noMultiLvlLbl val="0"/>
      </c:catAx>
      <c:valAx>
        <c:axId val="31577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869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36017734247606E-2"/>
          <c:y val="5.1955291458547617E-2"/>
          <c:w val="0.89424343062492018"/>
          <c:h val="0.81449249528742729"/>
        </c:manualLayout>
      </c:layout>
      <c:areaChart>
        <c:grouping val="standard"/>
        <c:varyColors val="0"/>
        <c:ser>
          <c:idx val="10"/>
          <c:order val="0"/>
          <c:tx>
            <c:v>WT 95percentile max</c:v>
          </c:tx>
          <c:spPr>
            <a:solidFill>
              <a:schemeClr val="tx1">
                <a:alpha val="25000"/>
              </a:schemeClr>
            </a:solidFill>
            <a:ln>
              <a:noFill/>
            </a:ln>
            <a:effectLst/>
          </c:spPr>
          <c:cat>
            <c:numRef>
              <c:f>[5]Sheet1!$D$4:$D$54</c:f>
              <c:numCache>
                <c:formatCode>General</c:formatCode>
                <c:ptCount val="5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</c:numCache>
            </c:numRef>
          </c:cat>
          <c:val>
            <c:numRef>
              <c:f>[5]Sheet1!$N$4:$N$54</c:f>
              <c:numCache>
                <c:formatCode>General</c:formatCode>
                <c:ptCount val="51"/>
                <c:pt idx="0">
                  <c:v>3.84</c:v>
                </c:pt>
                <c:pt idx="1">
                  <c:v>5.1782219999999901</c:v>
                </c:pt>
                <c:pt idx="2">
                  <c:v>6.4364159999999897</c:v>
                </c:pt>
                <c:pt idx="3">
                  <c:v>7.6177406666666601</c:v>
                </c:pt>
                <c:pt idx="4">
                  <c:v>8.7253546666666608</c:v>
                </c:pt>
                <c:pt idx="5">
                  <c:v>9.7624166666666596</c:v>
                </c:pt>
                <c:pt idx="6">
                  <c:v>10.7320853333333</c:v>
                </c:pt>
                <c:pt idx="7">
                  <c:v>11.6375193333333</c:v>
                </c:pt>
                <c:pt idx="8">
                  <c:v>12.4818773333333</c:v>
                </c:pt>
                <c:pt idx="9">
                  <c:v>13.268317999999899</c:v>
                </c:pt>
                <c:pt idx="10">
                  <c:v>13.999999999999901</c:v>
                </c:pt>
                <c:pt idx="11">
                  <c:v>14.680081999999899</c:v>
                </c:pt>
                <c:pt idx="12">
                  <c:v>15.311722666666601</c:v>
                </c:pt>
                <c:pt idx="13">
                  <c:v>15.898080666666599</c:v>
                </c:pt>
                <c:pt idx="14">
                  <c:v>16.442314666666601</c:v>
                </c:pt>
                <c:pt idx="15">
                  <c:v>16.947583333333299</c:v>
                </c:pt>
                <c:pt idx="16">
                  <c:v>17.417045333333299</c:v>
                </c:pt>
                <c:pt idx="17">
                  <c:v>17.8538593333333</c:v>
                </c:pt>
                <c:pt idx="18">
                  <c:v>18.261184</c:v>
                </c:pt>
                <c:pt idx="19">
                  <c:v>18.642178000000001</c:v>
                </c:pt>
                <c:pt idx="20">
                  <c:v>19</c:v>
                </c:pt>
                <c:pt idx="21">
                  <c:v>19.33671</c:v>
                </c:pt>
                <c:pt idx="22">
                  <c:v>19.6499733333333</c:v>
                </c:pt>
                <c:pt idx="23">
                  <c:v>19.936356666666601</c:v>
                </c:pt>
                <c:pt idx="24">
                  <c:v>20.192426666666599</c:v>
                </c:pt>
                <c:pt idx="25">
                  <c:v>20.414749999999898</c:v>
                </c:pt>
                <c:pt idx="26">
                  <c:v>20.599893333333299</c:v>
                </c:pt>
                <c:pt idx="27">
                  <c:v>20.744423333333302</c:v>
                </c:pt>
                <c:pt idx="28">
                  <c:v>20.844906666666599</c:v>
                </c:pt>
                <c:pt idx="29">
                  <c:v>20.8979099999999</c:v>
                </c:pt>
                <c:pt idx="30">
                  <c:v>20.899999999999899</c:v>
                </c:pt>
                <c:pt idx="31">
                  <c:v>20.847677999999899</c:v>
                </c:pt>
                <c:pt idx="32">
                  <c:v>20.7371839999999</c:v>
                </c:pt>
                <c:pt idx="33">
                  <c:v>20.564692666666598</c:v>
                </c:pt>
                <c:pt idx="34">
                  <c:v>20.326378666666599</c:v>
                </c:pt>
                <c:pt idx="35">
                  <c:v>20.018416666666599</c:v>
                </c:pt>
                <c:pt idx="36">
                  <c:v>19.636981333333299</c:v>
                </c:pt>
                <c:pt idx="37">
                  <c:v>19.178247333333299</c:v>
                </c:pt>
                <c:pt idx="38">
                  <c:v>18.638389333333301</c:v>
                </c:pt>
                <c:pt idx="39">
                  <c:v>18.0135819999999</c:v>
                </c:pt>
                <c:pt idx="40">
                  <c:v>17.299999999999901</c:v>
                </c:pt>
                <c:pt idx="41">
                  <c:v>16.493817999999902</c:v>
                </c:pt>
                <c:pt idx="42">
                  <c:v>15.591210666666599</c:v>
                </c:pt>
                <c:pt idx="43">
                  <c:v>14.5883526666666</c:v>
                </c:pt>
                <c:pt idx="44">
                  <c:v>13.481418666666601</c:v>
                </c:pt>
                <c:pt idx="45">
                  <c:v>12.266583333333299</c:v>
                </c:pt>
                <c:pt idx="46">
                  <c:v>10.9400213333333</c:v>
                </c:pt>
                <c:pt idx="47">
                  <c:v>9.4979073333333304</c:v>
                </c:pt>
                <c:pt idx="48">
                  <c:v>7.9364160000000004</c:v>
                </c:pt>
                <c:pt idx="49">
                  <c:v>6.251722</c:v>
                </c:pt>
                <c:pt idx="50">
                  <c:v>4.4400000000000004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D-430F-8717-D2C6E61A894B}"/>
            </c:ext>
          </c:extLst>
        </c:ser>
        <c:ser>
          <c:idx val="11"/>
          <c:order val="1"/>
          <c:tx>
            <c:v>WT 95percentile min</c:v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[5]Sheet1!$D$4:$D$54</c:f>
              <c:numCache>
                <c:formatCode>General</c:formatCode>
                <c:ptCount val="5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</c:numCache>
            </c:numRef>
          </c:cat>
          <c:val>
            <c:numRef>
              <c:f>[5]Sheet1!$O$4:$O$54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0.24209066666666701</c:v>
                </c:pt>
                <c:pt idx="5">
                  <c:v>0.63766666666666805</c:v>
                </c:pt>
                <c:pt idx="6">
                  <c:v>1.1386293333333299</c:v>
                </c:pt>
                <c:pt idx="7">
                  <c:v>1.7306613333333301</c:v>
                </c:pt>
                <c:pt idx="8">
                  <c:v>2.3994453333333299</c:v>
                </c:pt>
                <c:pt idx="9">
                  <c:v>3.1306639999999999</c:v>
                </c:pt>
                <c:pt idx="10">
                  <c:v>3.91</c:v>
                </c:pt>
                <c:pt idx="11">
                  <c:v>4.7231360000000002</c:v>
                </c:pt>
                <c:pt idx="12">
                  <c:v>5.55575466666666</c:v>
                </c:pt>
                <c:pt idx="13">
                  <c:v>6.39353866666666</c:v>
                </c:pt>
                <c:pt idx="14">
                  <c:v>7.2221706666666599</c:v>
                </c:pt>
                <c:pt idx="15">
                  <c:v>8.0273333333333294</c:v>
                </c:pt>
                <c:pt idx="16">
                  <c:v>8.7947093333333299</c:v>
                </c:pt>
                <c:pt idx="17">
                  <c:v>9.5099813333333305</c:v>
                </c:pt>
                <c:pt idx="18">
                  <c:v>10.158832</c:v>
                </c:pt>
                <c:pt idx="19">
                  <c:v>10.726944</c:v>
                </c:pt>
                <c:pt idx="20">
                  <c:v>11.1999999999999</c:v>
                </c:pt>
                <c:pt idx="21">
                  <c:v>11.566229999999999</c:v>
                </c:pt>
                <c:pt idx="22">
                  <c:v>11.8240533333333</c:v>
                </c:pt>
                <c:pt idx="23">
                  <c:v>11.9744366666666</c:v>
                </c:pt>
                <c:pt idx="24">
                  <c:v>12.0183466666666</c:v>
                </c:pt>
                <c:pt idx="25">
                  <c:v>11.9567499999999</c:v>
                </c:pt>
                <c:pt idx="26">
                  <c:v>11.790613333333299</c:v>
                </c:pt>
                <c:pt idx="27">
                  <c:v>11.520903333333299</c:v>
                </c:pt>
                <c:pt idx="28">
                  <c:v>11.148586666666599</c:v>
                </c:pt>
                <c:pt idx="29">
                  <c:v>10.674629999999899</c:v>
                </c:pt>
                <c:pt idx="30">
                  <c:v>10.0999999999999</c:v>
                </c:pt>
                <c:pt idx="31">
                  <c:v>9.4282939999999993</c:v>
                </c:pt>
                <c:pt idx="32">
                  <c:v>8.6736319999999907</c:v>
                </c:pt>
                <c:pt idx="33">
                  <c:v>7.8527646666666602</c:v>
                </c:pt>
                <c:pt idx="34">
                  <c:v>6.9824426666666604</c:v>
                </c:pt>
                <c:pt idx="35">
                  <c:v>6.0794166666666598</c:v>
                </c:pt>
                <c:pt idx="36">
                  <c:v>5.1604373333333298</c:v>
                </c:pt>
                <c:pt idx="37">
                  <c:v>4.2422553333333299</c:v>
                </c:pt>
                <c:pt idx="38">
                  <c:v>3.3416213333333298</c:v>
                </c:pt>
                <c:pt idx="39">
                  <c:v>2.4752859999999899</c:v>
                </c:pt>
                <c:pt idx="40">
                  <c:v>1.6599999999999899</c:v>
                </c:pt>
                <c:pt idx="41">
                  <c:v>0.91251399999999805</c:v>
                </c:pt>
                <c:pt idx="42">
                  <c:v>0.249578666666666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D-430F-8717-D2C6E61A894B}"/>
            </c:ext>
          </c:extLst>
        </c:ser>
        <c:ser>
          <c:idx val="8"/>
          <c:order val="2"/>
          <c:tx>
            <c:v>injected gata1 -/- min</c:v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[5]Sheet1!$D$4:$D$54</c:f>
              <c:numCache>
                <c:formatCode>General</c:formatCode>
                <c:ptCount val="5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</c:numCache>
            </c:numRef>
          </c:cat>
          <c:val>
            <c:numRef>
              <c:f>[5]Sheet1!$R$4:$R$54</c:f>
              <c:numCache>
                <c:formatCode>General</c:formatCode>
                <c:ptCount val="51"/>
              </c:numCache>
            </c:numRef>
          </c:val>
          <c:extLst>
            <c:ext xmlns:c16="http://schemas.microsoft.com/office/drawing/2014/chart" uri="{C3380CC4-5D6E-409C-BE32-E72D297353CC}">
              <c16:uniqueId val="{00000002-278D-430F-8717-D2C6E61A894B}"/>
            </c:ext>
          </c:extLst>
        </c:ser>
        <c:ser>
          <c:idx val="3"/>
          <c:order val="3"/>
          <c:tx>
            <c:v>gata1 -/- max</c:v>
          </c:tx>
          <c:spPr>
            <a:solidFill>
              <a:srgbClr val="FF0000">
                <a:alpha val="25000"/>
              </a:srgbClr>
            </a:solidFill>
            <a:ln>
              <a:noFill/>
            </a:ln>
            <a:effectLst/>
          </c:spPr>
          <c:cat>
            <c:numRef>
              <c:f>[5]Sheet1!$D$4:$D$54</c:f>
              <c:numCache>
                <c:formatCode>General</c:formatCode>
                <c:ptCount val="5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</c:numCache>
            </c:numRef>
          </c:cat>
          <c:val>
            <c:numRef>
              <c:f>[5]Sheet1!$G$4:$G$54</c:f>
              <c:numCache>
                <c:formatCode>General</c:formatCode>
                <c:ptCount val="51"/>
                <c:pt idx="0">
                  <c:v>0.88399999999999901</c:v>
                </c:pt>
                <c:pt idx="1">
                  <c:v>0.91422060000000005</c:v>
                </c:pt>
                <c:pt idx="2">
                  <c:v>1.0127968000000001</c:v>
                </c:pt>
                <c:pt idx="3">
                  <c:v>1.1729601999999999</c:v>
                </c:pt>
                <c:pt idx="4">
                  <c:v>1.3879424</c:v>
                </c:pt>
                <c:pt idx="5">
                  <c:v>1.6509750000000001</c:v>
                </c:pt>
                <c:pt idx="6">
                  <c:v>1.9552896</c:v>
                </c:pt>
                <c:pt idx="7">
                  <c:v>2.2941178</c:v>
                </c:pt>
                <c:pt idx="8">
                  <c:v>2.6606912</c:v>
                </c:pt>
                <c:pt idx="9">
                  <c:v>3.0482414000000002</c:v>
                </c:pt>
                <c:pt idx="10">
                  <c:v>3.45</c:v>
                </c:pt>
                <c:pt idx="11">
                  <c:v>3.8591986</c:v>
                </c:pt>
                <c:pt idx="12">
                  <c:v>4.2690688000000003</c:v>
                </c:pt>
                <c:pt idx="13">
                  <c:v>4.6728421999999998</c:v>
                </c:pt>
                <c:pt idx="14">
                  <c:v>5.0637504</c:v>
                </c:pt>
                <c:pt idx="15">
                  <c:v>5.4350250000000004</c:v>
                </c:pt>
                <c:pt idx="16">
                  <c:v>5.7798976</c:v>
                </c:pt>
                <c:pt idx="17">
                  <c:v>6.0915997999999902</c:v>
                </c:pt>
                <c:pt idx="18">
                  <c:v>6.3633632000000002</c:v>
                </c:pt>
                <c:pt idx="19">
                  <c:v>6.5884194000000003</c:v>
                </c:pt>
                <c:pt idx="20">
                  <c:v>6.75999999999999</c:v>
                </c:pt>
                <c:pt idx="21">
                  <c:v>6.8734109999999902</c:v>
                </c:pt>
                <c:pt idx="22">
                  <c:v>6.93225599999999</c:v>
                </c:pt>
                <c:pt idx="23">
                  <c:v>6.94221299999999</c:v>
                </c:pt>
                <c:pt idx="24">
                  <c:v>6.9089599999999898</c:v>
                </c:pt>
                <c:pt idx="25">
                  <c:v>6.8381749999999899</c:v>
                </c:pt>
                <c:pt idx="26">
                  <c:v>6.73553599999999</c:v>
                </c:pt>
                <c:pt idx="27">
                  <c:v>6.6067210000000003</c:v>
                </c:pt>
                <c:pt idx="28">
                  <c:v>6.4574079999999903</c:v>
                </c:pt>
                <c:pt idx="29">
                  <c:v>6.2932750000000004</c:v>
                </c:pt>
                <c:pt idx="30">
                  <c:v>6.1199999999999903</c:v>
                </c:pt>
                <c:pt idx="31">
                  <c:v>5.9423874000000003</c:v>
                </c:pt>
                <c:pt idx="32">
                  <c:v>5.7617472000000003</c:v>
                </c:pt>
                <c:pt idx="33">
                  <c:v>5.5785157999999901</c:v>
                </c:pt>
                <c:pt idx="34">
                  <c:v>5.3931295999999902</c:v>
                </c:pt>
                <c:pt idx="35">
                  <c:v>5.2060249999999897</c:v>
                </c:pt>
                <c:pt idx="36">
                  <c:v>5.0176384000000001</c:v>
                </c:pt>
                <c:pt idx="37">
                  <c:v>4.8284061999999901</c:v>
                </c:pt>
                <c:pt idx="38">
                  <c:v>4.6387647999999997</c:v>
                </c:pt>
                <c:pt idx="39">
                  <c:v>4.4491505999999896</c:v>
                </c:pt>
                <c:pt idx="40">
                  <c:v>4.25999999999999</c:v>
                </c:pt>
                <c:pt idx="41">
                  <c:v>4.0717493999999901</c:v>
                </c:pt>
                <c:pt idx="42">
                  <c:v>3.8848351999999902</c:v>
                </c:pt>
                <c:pt idx="43">
                  <c:v>3.6996937999999902</c:v>
                </c:pt>
                <c:pt idx="44">
                  <c:v>3.5167615999999899</c:v>
                </c:pt>
                <c:pt idx="45">
                  <c:v>3.3364749999999899</c:v>
                </c:pt>
                <c:pt idx="46">
                  <c:v>3.1592703999999898</c:v>
                </c:pt>
                <c:pt idx="47">
                  <c:v>2.9855841999999901</c:v>
                </c:pt>
                <c:pt idx="48">
                  <c:v>2.8158527999999898</c:v>
                </c:pt>
                <c:pt idx="49">
                  <c:v>2.6505125999999901</c:v>
                </c:pt>
                <c:pt idx="50">
                  <c:v>2.4900000000000002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8D-430F-8717-D2C6E61A894B}"/>
            </c:ext>
          </c:extLst>
        </c:ser>
        <c:ser>
          <c:idx val="4"/>
          <c:order val="4"/>
          <c:tx>
            <c:v>gata1 -/- min</c:v>
          </c:tx>
          <c:spPr>
            <a:solidFill>
              <a:schemeClr val="bg1">
                <a:alpha val="95000"/>
              </a:schemeClr>
            </a:solidFill>
            <a:ln w="25400">
              <a:noFill/>
            </a:ln>
            <a:effectLst/>
          </c:spPr>
          <c:cat>
            <c:numRef>
              <c:f>[5]Sheet1!$D$4:$D$54</c:f>
              <c:numCache>
                <c:formatCode>General</c:formatCode>
                <c:ptCount val="5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</c:numCache>
            </c:numRef>
          </c:cat>
          <c:val>
            <c:numRef>
              <c:f>[5]Sheet1!$S$4:$S$54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0.24209066666666701</c:v>
                </c:pt>
                <c:pt idx="5">
                  <c:v>0.63766666666666805</c:v>
                </c:pt>
                <c:pt idx="6">
                  <c:v>1.1386293333333299</c:v>
                </c:pt>
                <c:pt idx="7">
                  <c:v>1.7306613333333301</c:v>
                </c:pt>
                <c:pt idx="8">
                  <c:v>2.06449493333333</c:v>
                </c:pt>
                <c:pt idx="9">
                  <c:v>2.2553551999999999</c:v>
                </c:pt>
                <c:pt idx="10">
                  <c:v>2.4300000000000002</c:v>
                </c:pt>
                <c:pt idx="11">
                  <c:v>2.5880448</c:v>
                </c:pt>
                <c:pt idx="12">
                  <c:v>2.7291050666666599</c:v>
                </c:pt>
                <c:pt idx="13">
                  <c:v>2.85279626666666</c:v>
                </c:pt>
                <c:pt idx="14">
                  <c:v>2.9587338666666598</c:v>
                </c:pt>
                <c:pt idx="15">
                  <c:v>3.04653333333333</c:v>
                </c:pt>
                <c:pt idx="16">
                  <c:v>3.1158101333333299</c:v>
                </c:pt>
                <c:pt idx="17">
                  <c:v>3.1661797333333301</c:v>
                </c:pt>
                <c:pt idx="18">
                  <c:v>3.1972575999999999</c:v>
                </c:pt>
                <c:pt idx="19">
                  <c:v>3.2086592</c:v>
                </c:pt>
                <c:pt idx="20">
                  <c:v>3.2</c:v>
                </c:pt>
                <c:pt idx="21">
                  <c:v>3.1712600000000002</c:v>
                </c:pt>
                <c:pt idx="22">
                  <c:v>3.1238773333333301</c:v>
                </c:pt>
                <c:pt idx="23">
                  <c:v>3.0596546666666602</c:v>
                </c:pt>
                <c:pt idx="24">
                  <c:v>2.9803946666666601</c:v>
                </c:pt>
                <c:pt idx="25">
                  <c:v>2.8879000000000001</c:v>
                </c:pt>
                <c:pt idx="26">
                  <c:v>2.7839733333333299</c:v>
                </c:pt>
                <c:pt idx="27">
                  <c:v>2.6704173333333299</c:v>
                </c:pt>
                <c:pt idx="28">
                  <c:v>2.5490346666666599</c:v>
                </c:pt>
                <c:pt idx="29">
                  <c:v>2.4216279999999899</c:v>
                </c:pt>
                <c:pt idx="30">
                  <c:v>2.29</c:v>
                </c:pt>
                <c:pt idx="31">
                  <c:v>2.1558351999999901</c:v>
                </c:pt>
                <c:pt idx="32">
                  <c:v>2.0203456000000002</c:v>
                </c:pt>
                <c:pt idx="33">
                  <c:v>1.88462506666666</c:v>
                </c:pt>
                <c:pt idx="34">
                  <c:v>1.7497674666666601</c:v>
                </c:pt>
                <c:pt idx="35">
                  <c:v>1.61686666666666</c:v>
                </c:pt>
                <c:pt idx="36">
                  <c:v>1.4870165333333301</c:v>
                </c:pt>
                <c:pt idx="37">
                  <c:v>1.36131093333333</c:v>
                </c:pt>
                <c:pt idx="38">
                  <c:v>1.24084373333333</c:v>
                </c:pt>
                <c:pt idx="39">
                  <c:v>1.1267087999999901</c:v>
                </c:pt>
                <c:pt idx="40">
                  <c:v>1.01999999999999</c:v>
                </c:pt>
                <c:pt idx="41">
                  <c:v>0.91251399999999805</c:v>
                </c:pt>
                <c:pt idx="42">
                  <c:v>0.249578666666666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8D-430F-8717-D2C6E61A8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671696"/>
        <c:axId val="591673336"/>
      </c:areaChart>
      <c:lineChart>
        <c:grouping val="standard"/>
        <c:varyColors val="0"/>
        <c:ser>
          <c:idx val="12"/>
          <c:order val="5"/>
          <c:tx>
            <c:v>WT 95 percentile</c:v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[5]Sheet1!$D$4:$D$54</c:f>
              <c:numCache>
                <c:formatCode>General</c:formatCode>
                <c:ptCount val="5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</c:numCache>
            </c:numRef>
          </c:cat>
          <c:val>
            <c:numRef>
              <c:f>[5]Sheet1!$P$4:$P$54</c:f>
              <c:numCache>
                <c:formatCode>General</c:formatCode>
                <c:ptCount val="51"/>
                <c:pt idx="0">
                  <c:v>1.92</c:v>
                </c:pt>
                <c:pt idx="1">
                  <c:v>2.5891109999999951</c:v>
                </c:pt>
                <c:pt idx="2">
                  <c:v>3.2182079999999949</c:v>
                </c:pt>
                <c:pt idx="3">
                  <c:v>3.80887033333333</c:v>
                </c:pt>
                <c:pt idx="4">
                  <c:v>4.4837226666666643</c:v>
                </c:pt>
                <c:pt idx="5">
                  <c:v>5.2000416666666638</c:v>
                </c:pt>
                <c:pt idx="6">
                  <c:v>5.9353573333333154</c:v>
                </c:pt>
                <c:pt idx="7">
                  <c:v>6.684090333333315</c:v>
                </c:pt>
                <c:pt idx="8">
                  <c:v>7.4406613333333151</c:v>
                </c:pt>
                <c:pt idx="9">
                  <c:v>8.1994909999999503</c:v>
                </c:pt>
                <c:pt idx="10">
                  <c:v>8.9549999999999503</c:v>
                </c:pt>
                <c:pt idx="11">
                  <c:v>9.7016089999999497</c:v>
                </c:pt>
                <c:pt idx="12">
                  <c:v>10.433738666666631</c:v>
                </c:pt>
                <c:pt idx="13">
                  <c:v>11.145809666666629</c:v>
                </c:pt>
                <c:pt idx="14">
                  <c:v>11.83224266666663</c:v>
                </c:pt>
                <c:pt idx="15">
                  <c:v>12.487458333333315</c:v>
                </c:pt>
                <c:pt idx="16">
                  <c:v>13.105877333333314</c:v>
                </c:pt>
                <c:pt idx="17">
                  <c:v>13.681920333333316</c:v>
                </c:pt>
                <c:pt idx="18">
                  <c:v>14.210008</c:v>
                </c:pt>
                <c:pt idx="19">
                  <c:v>14.684561</c:v>
                </c:pt>
                <c:pt idx="20">
                  <c:v>15.09999999999995</c:v>
                </c:pt>
                <c:pt idx="21">
                  <c:v>15.45147</c:v>
                </c:pt>
                <c:pt idx="22">
                  <c:v>15.7370133333333</c:v>
                </c:pt>
                <c:pt idx="23">
                  <c:v>15.955396666666601</c:v>
                </c:pt>
                <c:pt idx="24">
                  <c:v>16.1053866666666</c:v>
                </c:pt>
                <c:pt idx="25">
                  <c:v>16.185749999999899</c:v>
                </c:pt>
                <c:pt idx="26">
                  <c:v>16.195253333333298</c:v>
                </c:pt>
                <c:pt idx="27">
                  <c:v>16.132663333333301</c:v>
                </c:pt>
                <c:pt idx="28">
                  <c:v>15.996746666666599</c:v>
                </c:pt>
                <c:pt idx="29">
                  <c:v>15.786269999999899</c:v>
                </c:pt>
                <c:pt idx="30">
                  <c:v>15.499999999999901</c:v>
                </c:pt>
                <c:pt idx="31">
                  <c:v>15.137985999999948</c:v>
                </c:pt>
                <c:pt idx="32">
                  <c:v>14.705407999999945</c:v>
                </c:pt>
                <c:pt idx="33">
                  <c:v>14.20872866666663</c:v>
                </c:pt>
                <c:pt idx="34">
                  <c:v>13.65441066666663</c:v>
                </c:pt>
                <c:pt idx="35">
                  <c:v>13.04891666666663</c:v>
                </c:pt>
                <c:pt idx="36">
                  <c:v>12.398709333333315</c:v>
                </c:pt>
                <c:pt idx="37">
                  <c:v>11.710251333333314</c:v>
                </c:pt>
                <c:pt idx="38">
                  <c:v>10.990005333333315</c:v>
                </c:pt>
                <c:pt idx="39">
                  <c:v>10.244433999999945</c:v>
                </c:pt>
                <c:pt idx="40">
                  <c:v>9.4799999999999454</c:v>
                </c:pt>
                <c:pt idx="41">
                  <c:v>8.7031659999999498</c:v>
                </c:pt>
                <c:pt idx="42">
                  <c:v>7.9203946666666329</c:v>
                </c:pt>
                <c:pt idx="43">
                  <c:v>7.2941763333332998</c:v>
                </c:pt>
                <c:pt idx="44">
                  <c:v>6.7407093333333004</c:v>
                </c:pt>
                <c:pt idx="45">
                  <c:v>6.1332916666666497</c:v>
                </c:pt>
                <c:pt idx="46">
                  <c:v>5.4700106666666501</c:v>
                </c:pt>
                <c:pt idx="47">
                  <c:v>4.7489536666666652</c:v>
                </c:pt>
                <c:pt idx="48">
                  <c:v>3.9682080000000002</c:v>
                </c:pt>
                <c:pt idx="49">
                  <c:v>3.125861</c:v>
                </c:pt>
                <c:pt idx="50">
                  <c:v>2.2200000000000002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8D-430F-8717-D2C6E61A894B}"/>
            </c:ext>
          </c:extLst>
        </c:ser>
        <c:ser>
          <c:idx val="2"/>
          <c:order val="6"/>
          <c:tx>
            <c:v>gata1 -/-</c:v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[5]Sheet1!$D$4:$D$54</c:f>
              <c:numCache>
                <c:formatCode>General</c:formatCode>
                <c:ptCount val="5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</c:numCache>
            </c:numRef>
          </c:cat>
          <c:val>
            <c:numRef>
              <c:f>[5]Sheet1!$F$4:$F$54</c:f>
              <c:numCache>
                <c:formatCode>General</c:formatCode>
                <c:ptCount val="51"/>
                <c:pt idx="0">
                  <c:v>0.29499999999999998</c:v>
                </c:pt>
                <c:pt idx="1">
                  <c:v>0.50928249999999997</c:v>
                </c:pt>
                <c:pt idx="2">
                  <c:v>0.74016000000000004</c:v>
                </c:pt>
                <c:pt idx="3">
                  <c:v>0.98492749999999996</c:v>
                </c:pt>
                <c:pt idx="4">
                  <c:v>1.24088</c:v>
                </c:pt>
                <c:pt idx="5">
                  <c:v>1.5053125000000001</c:v>
                </c:pt>
                <c:pt idx="6">
                  <c:v>1.77552</c:v>
                </c:pt>
                <c:pt idx="7">
                  <c:v>2.0487975</c:v>
                </c:pt>
                <c:pt idx="8">
                  <c:v>2.3224399999999998</c:v>
                </c:pt>
                <c:pt idx="9">
                  <c:v>2.5937424999999901</c:v>
                </c:pt>
                <c:pt idx="10">
                  <c:v>2.86</c:v>
                </c:pt>
                <c:pt idx="11">
                  <c:v>3.11850749999999</c:v>
                </c:pt>
                <c:pt idx="12">
                  <c:v>3.3665600000000002</c:v>
                </c:pt>
                <c:pt idx="13">
                  <c:v>3.6014525000000002</c:v>
                </c:pt>
                <c:pt idx="14">
                  <c:v>3.8204799999999901</c:v>
                </c:pt>
                <c:pt idx="15">
                  <c:v>4.0209374999999898</c:v>
                </c:pt>
                <c:pt idx="16">
                  <c:v>4.2001200000000001</c:v>
                </c:pt>
                <c:pt idx="17">
                  <c:v>4.35532249999999</c:v>
                </c:pt>
                <c:pt idx="18">
                  <c:v>4.4838399999999998</c:v>
                </c:pt>
                <c:pt idx="19">
                  <c:v>4.5829674999999996</c:v>
                </c:pt>
                <c:pt idx="20">
                  <c:v>4.6499999999999897</c:v>
                </c:pt>
                <c:pt idx="21">
                  <c:v>4.6832025000000002</c:v>
                </c:pt>
                <c:pt idx="22">
                  <c:v>4.6847199999999898</c:v>
                </c:pt>
                <c:pt idx="23">
                  <c:v>4.6576674999999996</c:v>
                </c:pt>
                <c:pt idx="24">
                  <c:v>4.6051599999999899</c:v>
                </c:pt>
                <c:pt idx="25">
                  <c:v>4.5303124999999902</c:v>
                </c:pt>
                <c:pt idx="26">
                  <c:v>4.4362399999999997</c:v>
                </c:pt>
                <c:pt idx="27">
                  <c:v>4.3260574999999903</c:v>
                </c:pt>
                <c:pt idx="28">
                  <c:v>4.2028799999999897</c:v>
                </c:pt>
                <c:pt idx="29">
                  <c:v>4.0698224999999901</c:v>
                </c:pt>
                <c:pt idx="30">
                  <c:v>3.9299999999999899</c:v>
                </c:pt>
                <c:pt idx="31">
                  <c:v>3.7861424999999902</c:v>
                </c:pt>
                <c:pt idx="32">
                  <c:v>3.63944</c:v>
                </c:pt>
                <c:pt idx="33">
                  <c:v>3.4906974999999898</c:v>
                </c:pt>
                <c:pt idx="34">
                  <c:v>3.3407199999999899</c:v>
                </c:pt>
                <c:pt idx="35">
                  <c:v>3.1903124999999899</c:v>
                </c:pt>
                <c:pt idx="36">
                  <c:v>3.0402799999999899</c:v>
                </c:pt>
                <c:pt idx="37">
                  <c:v>2.8914274999999998</c:v>
                </c:pt>
                <c:pt idx="38">
                  <c:v>2.7445599999999999</c:v>
                </c:pt>
                <c:pt idx="39">
                  <c:v>2.6004825</c:v>
                </c:pt>
                <c:pt idx="40">
                  <c:v>2.4599999999999902</c:v>
                </c:pt>
                <c:pt idx="41">
                  <c:v>2.3239174999999901</c:v>
                </c:pt>
                <c:pt idx="42">
                  <c:v>2.1930399999999999</c:v>
                </c:pt>
                <c:pt idx="43">
                  <c:v>2.06817249999999</c:v>
                </c:pt>
                <c:pt idx="44">
                  <c:v>1.9501200000000001</c:v>
                </c:pt>
                <c:pt idx="45">
                  <c:v>1.8396874999999899</c:v>
                </c:pt>
                <c:pt idx="46">
                  <c:v>1.7376799999999999</c:v>
                </c:pt>
                <c:pt idx="47">
                  <c:v>1.6449024999999999</c:v>
                </c:pt>
                <c:pt idx="48">
                  <c:v>1.56215999999999</c:v>
                </c:pt>
                <c:pt idx="49">
                  <c:v>1.4902575</c:v>
                </c:pt>
                <c:pt idx="50">
                  <c:v>1.4299999999999899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8D-430F-8717-D2C6E61A8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671696"/>
        <c:axId val="591673336"/>
      </c:lineChart>
      <c:catAx>
        <c:axId val="591671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67333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9167333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Shear Stress (Pa)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cross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671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6758015305969274"/>
          <c:y val="6.5544625124581285E-2"/>
          <c:w val="0.19758332803611522"/>
          <c:h val="0.1744551427589078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419100</xdr:colOff>
      <xdr:row>25</xdr:row>
      <xdr:rowOff>133350</xdr:rowOff>
    </xdr:from>
    <xdr:to>
      <xdr:col>20</xdr:col>
      <xdr:colOff>22860</xdr:colOff>
      <xdr:row>41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ECF676-8EC3-4DB1-9F5F-394B68FEB7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</xdr:colOff>
      <xdr:row>41</xdr:row>
      <xdr:rowOff>188595</xdr:rowOff>
    </xdr:from>
    <xdr:to>
      <xdr:col>10</xdr:col>
      <xdr:colOff>365760</xdr:colOff>
      <xdr:row>55</xdr:row>
      <xdr:rowOff>32385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520B28-4363-488B-B78D-12E8825D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77467</xdr:colOff>
      <xdr:row>1</xdr:row>
      <xdr:rowOff>5986</xdr:rowOff>
    </xdr:from>
    <xdr:to>
      <xdr:col>2</xdr:col>
      <xdr:colOff>3007894</xdr:colOff>
      <xdr:row>16</xdr:row>
      <xdr:rowOff>58485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96C6BB-91BB-408A-B0E3-C2CD3FEAF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owr/ExptPlanningAndAnalysis/Excel%20spreadsheets%20of%20experiments/Antibody%20stains/VeCadStain_analysis3_mean_immunosOnl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howr/ExptPlanningAndAnalysis/Antibody_stains/VeCadStain_analysis4_max_immunosOnl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howr/Paper/Old/1st%20Submission%20to%20eLife/Source%20Data%20-%20Fig6%20Bead%20Injection%20Experimen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howr/Paper/Old/1st%20Submission%20to%20eLife/Source%20Data%20-%20Fig6%20BDM%20experimen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hearStress_Viscosity%20_%20no%20nanoemul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expts"/>
      <sheetName val="353i 55hpf"/>
      <sheetName val="359i 55hpf"/>
      <sheetName val="474i 55hpf"/>
      <sheetName val="473i 55hpf"/>
      <sheetName val="471i 55hpf"/>
      <sheetName val="359i 65 hpf"/>
      <sheetName val="360i 80 hpf"/>
      <sheetName val="361i 80 hpf"/>
      <sheetName val="iSummary"/>
    </sheetNames>
    <sheetDataSet>
      <sheetData sheetId="0" refreshError="1"/>
      <sheetData sheetId="1" refreshError="1">
        <row r="15">
          <cell r="D15">
            <v>34.978571428571428</v>
          </cell>
          <cell r="O15">
            <v>50.228666666666676</v>
          </cell>
          <cell r="Z15">
            <v>27.7255</v>
          </cell>
          <cell r="AK15">
            <v>23.811555555555557</v>
          </cell>
        </row>
        <row r="29">
          <cell r="D29">
            <v>15.915333333333335</v>
          </cell>
          <cell r="O29">
            <v>25.198166666666665</v>
          </cell>
          <cell r="Z29">
            <v>13.764571428571427</v>
          </cell>
          <cell r="AK29">
            <v>17.213600000000003</v>
          </cell>
        </row>
      </sheetData>
      <sheetData sheetId="2" refreshError="1">
        <row r="15">
          <cell r="D15">
            <v>38.056749999999994</v>
          </cell>
        </row>
        <row r="29">
          <cell r="D29">
            <v>32.763333333333328</v>
          </cell>
        </row>
      </sheetData>
      <sheetData sheetId="3" refreshError="1">
        <row r="17">
          <cell r="D17">
            <v>40.351499999999994</v>
          </cell>
          <cell r="O17">
            <v>48.138666666666666</v>
          </cell>
        </row>
        <row r="33">
          <cell r="D33">
            <v>35.436500000000002</v>
          </cell>
          <cell r="O33">
            <v>36.6402</v>
          </cell>
        </row>
      </sheetData>
      <sheetData sheetId="4" refreshError="1">
        <row r="17">
          <cell r="D17">
            <v>59.928285714285714</v>
          </cell>
          <cell r="O17">
            <v>38.520125</v>
          </cell>
          <cell r="Z17">
            <v>46.610000000000007</v>
          </cell>
          <cell r="AK17">
            <v>35.697222222222223</v>
          </cell>
          <cell r="AV17">
            <v>44.215000000000003</v>
          </cell>
          <cell r="BG17">
            <v>47.612666666666676</v>
          </cell>
        </row>
        <row r="33">
          <cell r="D33">
            <v>47.297800000000002</v>
          </cell>
          <cell r="O33">
            <v>30.917000000000005</v>
          </cell>
          <cell r="Z33">
            <v>44.244799999999998</v>
          </cell>
          <cell r="AK33">
            <v>27.013999999999999</v>
          </cell>
          <cell r="AV33">
            <v>35.797375000000002</v>
          </cell>
          <cell r="BG33">
            <v>45.248125000000002</v>
          </cell>
        </row>
      </sheetData>
      <sheetData sheetId="5" refreshError="1">
        <row r="17">
          <cell r="D17">
            <v>61.52957142857143</v>
          </cell>
          <cell r="O17">
            <v>42.728625000000001</v>
          </cell>
          <cell r="Z17">
            <v>44.525166666666671</v>
          </cell>
          <cell r="AK17">
            <v>84.308000000000007</v>
          </cell>
        </row>
        <row r="33">
          <cell r="D33">
            <v>61.781399999999998</v>
          </cell>
          <cell r="O33">
            <v>49.0747</v>
          </cell>
          <cell r="Z33">
            <v>47.713142857142863</v>
          </cell>
          <cell r="AK33">
            <v>103.43575</v>
          </cell>
        </row>
      </sheetData>
      <sheetData sheetId="6" refreshError="1">
        <row r="15">
          <cell r="D15">
            <v>26.395799999999998</v>
          </cell>
          <cell r="O15">
            <v>13.964571428571428</v>
          </cell>
          <cell r="Z15">
            <v>20.252857142857142</v>
          </cell>
          <cell r="AK15">
            <v>52.851666666666659</v>
          </cell>
          <cell r="AV15">
            <v>82.533000000000001</v>
          </cell>
          <cell r="BG15">
            <v>69.072125</v>
          </cell>
          <cell r="BR15">
            <v>79.36966666666666</v>
          </cell>
          <cell r="CC15">
            <v>56.84259999999999</v>
          </cell>
          <cell r="CN15">
            <v>20.563625000000002</v>
          </cell>
          <cell r="DJ15">
            <v>30.759</v>
          </cell>
          <cell r="DU15">
            <v>46.121166666666674</v>
          </cell>
        </row>
        <row r="29">
          <cell r="D29">
            <v>28.643000000000001</v>
          </cell>
          <cell r="O29">
            <v>6.5850000000000009</v>
          </cell>
          <cell r="Z29">
            <v>20.9955</v>
          </cell>
          <cell r="AK29">
            <v>28.017166666666665</v>
          </cell>
          <cell r="AV29">
            <v>37.162857142857142</v>
          </cell>
          <cell r="BG29">
            <v>42.573571428571434</v>
          </cell>
          <cell r="BR29">
            <v>52.068600000000004</v>
          </cell>
          <cell r="CC29">
            <v>38.987000000000002</v>
          </cell>
          <cell r="CN29">
            <v>15.5114</v>
          </cell>
          <cell r="DJ29">
            <v>16.151</v>
          </cell>
          <cell r="DU29">
            <v>15.338999999999999</v>
          </cell>
        </row>
      </sheetData>
      <sheetData sheetId="7" refreshError="1">
        <row r="15">
          <cell r="D15">
            <v>36.053333333333342</v>
          </cell>
          <cell r="O15">
            <v>42.546833333333332</v>
          </cell>
          <cell r="Z15">
            <v>19.868666666666666</v>
          </cell>
          <cell r="AK15">
            <v>25.4436</v>
          </cell>
          <cell r="AV15">
            <v>40.962000000000003</v>
          </cell>
          <cell r="BG15">
            <v>77.352571428571423</v>
          </cell>
          <cell r="BR15">
            <v>42.008499999999998</v>
          </cell>
        </row>
        <row r="29">
          <cell r="O29">
            <v>49.133600000000001</v>
          </cell>
          <cell r="Z29">
            <v>23.741199999999999</v>
          </cell>
          <cell r="AK29">
            <v>26.132200000000001</v>
          </cell>
          <cell r="AV29">
            <v>33.014125</v>
          </cell>
          <cell r="BG29">
            <v>86.190571428571431</v>
          </cell>
          <cell r="BR29">
            <v>55.574599999999997</v>
          </cell>
        </row>
      </sheetData>
      <sheetData sheetId="8" refreshError="1">
        <row r="15">
          <cell r="D15">
            <v>28.565249999999999</v>
          </cell>
          <cell r="O15">
            <v>83.772571428571453</v>
          </cell>
          <cell r="Z15">
            <v>53.354999999999997</v>
          </cell>
          <cell r="AK15">
            <v>33.87085714285714</v>
          </cell>
          <cell r="AV15">
            <v>46.152799999999999</v>
          </cell>
          <cell r="BG15">
            <v>68.384799999999998</v>
          </cell>
          <cell r="BR15">
            <v>40.559285714285707</v>
          </cell>
          <cell r="CN15">
            <v>44.455599999999997</v>
          </cell>
          <cell r="CY15">
            <v>31.77483333333333</v>
          </cell>
        </row>
        <row r="27">
          <cell r="D27">
            <v>29.563200000000002</v>
          </cell>
          <cell r="O27">
            <v>64.383400000000009</v>
          </cell>
          <cell r="Z27">
            <v>64.222999999999999</v>
          </cell>
          <cell r="AK27">
            <v>31.019400000000001</v>
          </cell>
          <cell r="AV27">
            <v>37.841499999999996</v>
          </cell>
          <cell r="BG27">
            <v>49.799142857142847</v>
          </cell>
          <cell r="BR27">
            <v>37.8566</v>
          </cell>
          <cell r="CC27">
            <v>33.012499999999996</v>
          </cell>
          <cell r="CN27">
            <v>52.795749999999998</v>
          </cell>
          <cell r="CY27">
            <v>46.8748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expts"/>
      <sheetName val="353i 55hpf"/>
      <sheetName val="359i 55hpf"/>
      <sheetName val="474i 55hpf"/>
      <sheetName val="473i 55hpf"/>
      <sheetName val="471i 55hpf"/>
      <sheetName val="359i 65 hpf"/>
      <sheetName val="360i 80 hpf"/>
      <sheetName val="361i 80 hpf"/>
      <sheetName val="iSummary"/>
    </sheetNames>
    <sheetDataSet>
      <sheetData sheetId="0" refreshError="1"/>
      <sheetData sheetId="1">
        <row r="15">
          <cell r="F15">
            <v>51.541857142857147</v>
          </cell>
          <cell r="Q15">
            <v>74.902333333333331</v>
          </cell>
          <cell r="AB15">
            <v>46.050000000000004</v>
          </cell>
          <cell r="AM15">
            <v>41.806111111111107</v>
          </cell>
        </row>
        <row r="29">
          <cell r="F29">
            <v>30.738666666666671</v>
          </cell>
          <cell r="Q29">
            <v>46.773333333333333</v>
          </cell>
          <cell r="AB29">
            <v>22.434285714285711</v>
          </cell>
          <cell r="AM29">
            <v>32.411999999999999</v>
          </cell>
        </row>
      </sheetData>
      <sheetData sheetId="2">
        <row r="15">
          <cell r="F15">
            <v>64.242374999999996</v>
          </cell>
        </row>
        <row r="29">
          <cell r="F29">
            <v>53.29</v>
          </cell>
        </row>
      </sheetData>
      <sheetData sheetId="3">
        <row r="17">
          <cell r="F17">
            <v>65.200375000000008</v>
          </cell>
          <cell r="Q17">
            <v>66.183333333333337</v>
          </cell>
        </row>
        <row r="33">
          <cell r="F33">
            <v>48.03</v>
          </cell>
          <cell r="Q33">
            <v>53.896000000000001</v>
          </cell>
        </row>
      </sheetData>
      <sheetData sheetId="4">
        <row r="17">
          <cell r="F17">
            <v>103.871</v>
          </cell>
          <cell r="Q17">
            <v>56.867500000000007</v>
          </cell>
          <cell r="AB17">
            <v>67.044428571428583</v>
          </cell>
          <cell r="AM17">
            <v>63.903888888888901</v>
          </cell>
          <cell r="AX17">
            <v>59.133333333333333</v>
          </cell>
          <cell r="BI17">
            <v>70.768333333333331</v>
          </cell>
        </row>
        <row r="33">
          <cell r="F33">
            <v>68.569600000000008</v>
          </cell>
          <cell r="Q33">
            <v>49.037142857142854</v>
          </cell>
          <cell r="AB33">
            <v>67.181799999999996</v>
          </cell>
          <cell r="AM33">
            <v>44.85342857142858</v>
          </cell>
          <cell r="AX33">
            <v>54.180625000000006</v>
          </cell>
          <cell r="BI33">
            <v>66.117500000000007</v>
          </cell>
        </row>
      </sheetData>
      <sheetData sheetId="5">
        <row r="17">
          <cell r="F17">
            <v>95.739714285714285</v>
          </cell>
          <cell r="Q17">
            <v>61.84</v>
          </cell>
          <cell r="AB17">
            <v>61.666666666666664</v>
          </cell>
          <cell r="AM17">
            <v>138.07999999999998</v>
          </cell>
        </row>
        <row r="33">
          <cell r="F33">
            <v>93.135999999999996</v>
          </cell>
          <cell r="Q33">
            <v>67.972799999999992</v>
          </cell>
          <cell r="AB33">
            <v>67.522428571428577</v>
          </cell>
          <cell r="AM33">
            <v>157.127375</v>
          </cell>
        </row>
      </sheetData>
      <sheetData sheetId="6">
        <row r="15">
          <cell r="F15">
            <v>38.808</v>
          </cell>
          <cell r="Q15">
            <v>22.857142857142858</v>
          </cell>
          <cell r="AB15">
            <v>29.444285714285716</v>
          </cell>
          <cell r="AM15">
            <v>81.922222222222217</v>
          </cell>
          <cell r="AX15">
            <v>120.38666666666667</v>
          </cell>
          <cell r="BI15">
            <v>117.00999999999999</v>
          </cell>
          <cell r="BT15">
            <v>126.59311111111111</v>
          </cell>
          <cell r="CE15">
            <v>80.123000000000005</v>
          </cell>
          <cell r="CP15">
            <v>29.891375</v>
          </cell>
          <cell r="DL15">
            <v>47.897500000000001</v>
          </cell>
          <cell r="DW15">
            <v>64.048666666666676</v>
          </cell>
        </row>
        <row r="29">
          <cell r="F29">
            <v>48.778666666666673</v>
          </cell>
          <cell r="Q29">
            <v>12.552</v>
          </cell>
          <cell r="AB29">
            <v>33.54</v>
          </cell>
          <cell r="AM29">
            <v>43.302</v>
          </cell>
          <cell r="AX29">
            <v>59.211428571428577</v>
          </cell>
          <cell r="BI29">
            <v>65.577714285714279</v>
          </cell>
          <cell r="BT29">
            <v>85.25800000000001</v>
          </cell>
          <cell r="CE29">
            <v>65.13344444444445</v>
          </cell>
          <cell r="CP29">
            <v>23.259999999999998</v>
          </cell>
          <cell r="DL29">
            <v>26.187999999999999</v>
          </cell>
          <cell r="DW29">
            <v>26.593999999999998</v>
          </cell>
        </row>
      </sheetData>
      <sheetData sheetId="7">
        <row r="15">
          <cell r="F15">
            <v>57.020499999999998</v>
          </cell>
          <cell r="Q15">
            <v>62.844166666666666</v>
          </cell>
          <cell r="AB15">
            <v>22.053833333333333</v>
          </cell>
          <cell r="AM15">
            <v>35.111000000000004</v>
          </cell>
          <cell r="AX15">
            <v>94.614000000000004</v>
          </cell>
          <cell r="BI15">
            <v>106.25842857142857</v>
          </cell>
          <cell r="BT15">
            <v>60.701166666666666</v>
          </cell>
        </row>
        <row r="29">
          <cell r="Q29">
            <v>72.496000000000009</v>
          </cell>
          <cell r="AB29">
            <v>27.2882</v>
          </cell>
          <cell r="AM29">
            <v>56.6496</v>
          </cell>
          <cell r="AX29">
            <v>64.87062499999999</v>
          </cell>
          <cell r="BI29">
            <v>136.89400000000001</v>
          </cell>
          <cell r="BT29">
            <v>99.10420000000002</v>
          </cell>
        </row>
      </sheetData>
      <sheetData sheetId="8">
        <row r="15">
          <cell r="F15">
            <v>49.372</v>
          </cell>
          <cell r="Q15">
            <v>136.88285714285715</v>
          </cell>
          <cell r="AB15">
            <v>79.653333333333322</v>
          </cell>
          <cell r="AM15">
            <v>58.008428571428567</v>
          </cell>
          <cell r="AX15">
            <v>63.1616</v>
          </cell>
          <cell r="BI15">
            <v>94.695999999999998</v>
          </cell>
          <cell r="BT15">
            <v>59.588428571428572</v>
          </cell>
          <cell r="CP15">
            <v>83.576800000000006</v>
          </cell>
          <cell r="DA15">
            <v>51.678166666666669</v>
          </cell>
        </row>
        <row r="27">
          <cell r="F27">
            <v>50.13</v>
          </cell>
          <cell r="Q27">
            <v>102.42</v>
          </cell>
          <cell r="AB27">
            <v>98.5</v>
          </cell>
          <cell r="AM27">
            <v>51.218000000000004</v>
          </cell>
          <cell r="AX27">
            <v>55.36</v>
          </cell>
          <cell r="BI27">
            <v>75.811000000000007</v>
          </cell>
          <cell r="BT27">
            <v>55.045999999999992</v>
          </cell>
          <cell r="CE27">
            <v>78.413333333333327</v>
          </cell>
          <cell r="CP27">
            <v>126.28775</v>
          </cell>
          <cell r="DA27">
            <v>79.840799999999987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rtrate and Flow direction"/>
      <sheetName val="Split vs Not Split Summary"/>
    </sheetNames>
    <sheetDataSet>
      <sheetData sheetId="0" refreshError="1"/>
      <sheetData sheetId="1">
        <row r="13">
          <cell r="C13" t="str">
            <v>sham</v>
          </cell>
          <cell r="D13" t="str">
            <v>occluded</v>
          </cell>
        </row>
        <row r="14">
          <cell r="B14" t="str">
            <v>split</v>
          </cell>
          <cell r="C14">
            <v>17</v>
          </cell>
          <cell r="D14">
            <v>7</v>
          </cell>
        </row>
        <row r="15">
          <cell r="B15" t="str">
            <v>not split</v>
          </cell>
          <cell r="C15">
            <v>9</v>
          </cell>
          <cell r="D15">
            <v>16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_09_13"/>
      <sheetName val="2019_09_21"/>
      <sheetName val="2019_10_01"/>
      <sheetName val="2020_01_09"/>
      <sheetName val="2020_01_13"/>
      <sheetName val="BDM summary"/>
    </sheetNames>
    <sheetDataSet>
      <sheetData sheetId="0" refreshError="1"/>
      <sheetData sheetId="1" refreshError="1"/>
      <sheetData sheetId="2" refreshError="1"/>
      <sheetData sheetId="3">
        <row r="4">
          <cell r="C4">
            <v>2.8</v>
          </cell>
          <cell r="E4">
            <v>2.7272727272727271</v>
          </cell>
          <cell r="F4">
            <v>2.9166666666666665</v>
          </cell>
          <cell r="H4">
            <v>168</v>
          </cell>
          <cell r="I4">
            <v>163.63636363636363</v>
          </cell>
          <cell r="J4">
            <v>175</v>
          </cell>
        </row>
        <row r="5">
          <cell r="C5">
            <v>2.5833333333333335</v>
          </cell>
          <cell r="E5">
            <v>2.5</v>
          </cell>
          <cell r="F5">
            <v>3.5</v>
          </cell>
          <cell r="H5">
            <v>155</v>
          </cell>
          <cell r="I5">
            <v>150</v>
          </cell>
          <cell r="J5">
            <v>210</v>
          </cell>
        </row>
        <row r="6">
          <cell r="C6">
            <v>2.8125</v>
          </cell>
          <cell r="E6">
            <v>2.4324324324324325</v>
          </cell>
          <cell r="F6">
            <v>3</v>
          </cell>
          <cell r="H6">
            <v>168.75</v>
          </cell>
          <cell r="I6">
            <v>145.94594594594594</v>
          </cell>
          <cell r="J6">
            <v>180</v>
          </cell>
        </row>
        <row r="7">
          <cell r="C7">
            <v>2.7272727272727271</v>
          </cell>
          <cell r="E7">
            <v>2.5</v>
          </cell>
          <cell r="F7">
            <v>2.6</v>
          </cell>
          <cell r="H7">
            <v>163.63636363636363</v>
          </cell>
          <cell r="I7">
            <v>150</v>
          </cell>
          <cell r="J7">
            <v>156</v>
          </cell>
        </row>
        <row r="8">
          <cell r="C8">
            <v>2.6666666666666665</v>
          </cell>
          <cell r="E8">
            <v>2.6086956521739131</v>
          </cell>
          <cell r="F8">
            <v>2.53125</v>
          </cell>
          <cell r="H8">
            <v>160</v>
          </cell>
          <cell r="I8">
            <v>156.52173913043478</v>
          </cell>
          <cell r="J8">
            <v>151.875</v>
          </cell>
        </row>
        <row r="13">
          <cell r="C13">
            <v>2.9629629629629628</v>
          </cell>
          <cell r="E13">
            <v>2.1923076923076925</v>
          </cell>
          <cell r="F13">
            <v>2</v>
          </cell>
          <cell r="H13">
            <v>177.77777777777777</v>
          </cell>
          <cell r="I13">
            <v>131.53846153846155</v>
          </cell>
          <cell r="J13">
            <v>120</v>
          </cell>
        </row>
        <row r="14">
          <cell r="C14">
            <v>2.8181818181818183</v>
          </cell>
          <cell r="E14">
            <v>2</v>
          </cell>
          <cell r="F14">
            <v>2.2000000000000002</v>
          </cell>
          <cell r="H14">
            <v>169.09090909090909</v>
          </cell>
          <cell r="I14">
            <v>120</v>
          </cell>
          <cell r="J14">
            <v>132</v>
          </cell>
        </row>
        <row r="15">
          <cell r="C15">
            <v>2.8205128205128207</v>
          </cell>
          <cell r="E15">
            <v>2</v>
          </cell>
          <cell r="F15">
            <v>2.263157894736842</v>
          </cell>
          <cell r="H15">
            <v>155</v>
          </cell>
          <cell r="I15">
            <v>120</v>
          </cell>
          <cell r="J15">
            <v>135.78947368421052</v>
          </cell>
        </row>
        <row r="16">
          <cell r="C16">
            <v>2.6333333333333333</v>
          </cell>
          <cell r="E16">
            <v>1.35</v>
          </cell>
          <cell r="F16">
            <v>2</v>
          </cell>
          <cell r="H16">
            <v>168.75</v>
          </cell>
          <cell r="I16">
            <v>81</v>
          </cell>
          <cell r="J16">
            <v>120</v>
          </cell>
        </row>
        <row r="17">
          <cell r="C17">
            <v>2.7027027027027026</v>
          </cell>
          <cell r="E17">
            <v>2.1666666666666665</v>
          </cell>
          <cell r="F17">
            <v>1.9047619047619047</v>
          </cell>
          <cell r="H17">
            <v>169.23076923076925</v>
          </cell>
          <cell r="I17">
            <v>130</v>
          </cell>
          <cell r="J17">
            <v>114.28571428571428</v>
          </cell>
        </row>
      </sheetData>
      <sheetData sheetId="4">
        <row r="4">
          <cell r="C4">
            <v>2.7</v>
          </cell>
          <cell r="E4">
            <v>2.5806451612903225</v>
          </cell>
          <cell r="F4">
            <v>3.3461538461538463</v>
          </cell>
          <cell r="H4">
            <v>162</v>
          </cell>
          <cell r="I4">
            <v>154.83870967741936</v>
          </cell>
          <cell r="J4">
            <v>200.76923076923077</v>
          </cell>
        </row>
        <row r="5">
          <cell r="C5">
            <v>2.2222222222222223</v>
          </cell>
          <cell r="E5">
            <v>2.5</v>
          </cell>
          <cell r="F5">
            <v>3.5</v>
          </cell>
          <cell r="H5">
            <v>133.33333333333334</v>
          </cell>
          <cell r="I5">
            <v>150</v>
          </cell>
          <cell r="J5">
            <v>210</v>
          </cell>
        </row>
        <row r="6">
          <cell r="C6">
            <v>2.6333333333333333</v>
          </cell>
          <cell r="E6">
            <v>2.4666666666666668</v>
          </cell>
          <cell r="F6">
            <v>3.0434782608695654</v>
          </cell>
          <cell r="H6">
            <v>158</v>
          </cell>
          <cell r="I6">
            <v>148</v>
          </cell>
          <cell r="J6">
            <v>182.60869565217394</v>
          </cell>
        </row>
        <row r="7">
          <cell r="C7">
            <v>2.6315789473684212</v>
          </cell>
          <cell r="E7">
            <v>2.4242424242424243</v>
          </cell>
          <cell r="F7">
            <v>3.0769230769230771</v>
          </cell>
          <cell r="H7">
            <v>157.89473684210526</v>
          </cell>
          <cell r="I7">
            <v>145.45454545454547</v>
          </cell>
          <cell r="J7">
            <v>184.61538461538461</v>
          </cell>
        </row>
        <row r="8">
          <cell r="C8">
            <v>2.4666666666666668</v>
          </cell>
          <cell r="E8">
            <v>3.2</v>
          </cell>
          <cell r="F8">
            <v>2.5806451612903225</v>
          </cell>
          <cell r="H8">
            <v>148</v>
          </cell>
          <cell r="I8">
            <v>192</v>
          </cell>
          <cell r="J8">
            <v>154.83870967741936</v>
          </cell>
        </row>
        <row r="13">
          <cell r="C13">
            <v>3.0434782608695654</v>
          </cell>
          <cell r="E13">
            <v>2.096774193548387</v>
          </cell>
          <cell r="F13">
            <v>2.5</v>
          </cell>
          <cell r="H13">
            <v>182.60869565217394</v>
          </cell>
          <cell r="I13">
            <v>125.80645161290322</v>
          </cell>
          <cell r="J13">
            <v>150</v>
          </cell>
        </row>
        <row r="14">
          <cell r="C14">
            <v>2.9333333333333331</v>
          </cell>
          <cell r="E14">
            <v>2.1481481481481484</v>
          </cell>
          <cell r="F14">
            <v>2.6154891304347827</v>
          </cell>
          <cell r="H14">
            <v>176</v>
          </cell>
          <cell r="I14">
            <v>128.88888888888891</v>
          </cell>
          <cell r="J14">
            <v>156.92934782608697</v>
          </cell>
        </row>
        <row r="15">
          <cell r="C15">
            <v>2.6</v>
          </cell>
          <cell r="E15">
            <v>2.2916666666666665</v>
          </cell>
          <cell r="F15">
            <v>2.5238095238095237</v>
          </cell>
          <cell r="H15">
            <v>156</v>
          </cell>
          <cell r="I15">
            <v>137.5</v>
          </cell>
          <cell r="J15">
            <v>151.42857142857142</v>
          </cell>
        </row>
        <row r="16">
          <cell r="C16">
            <v>2.4285714285714284</v>
          </cell>
          <cell r="E16">
            <v>2.0588235294117645</v>
          </cell>
          <cell r="F16">
            <v>1.7647058823529411</v>
          </cell>
          <cell r="H16">
            <v>145.71428571428569</v>
          </cell>
          <cell r="I16">
            <v>123.52941176470587</v>
          </cell>
          <cell r="J16">
            <v>105.88235294117646</v>
          </cell>
        </row>
        <row r="17">
          <cell r="C17">
            <v>2.6666666666666665</v>
          </cell>
          <cell r="E17">
            <v>2.1363636363636362</v>
          </cell>
          <cell r="F17">
            <v>1.896551724137931</v>
          </cell>
          <cell r="H17">
            <v>160</v>
          </cell>
          <cell r="I17">
            <v>128.18181818181819</v>
          </cell>
          <cell r="J17">
            <v>113.79310344827586</v>
          </cell>
        </row>
      </sheetData>
      <sheetData sheetId="5">
        <row r="35">
          <cell r="H35" t="str">
            <v>Control</v>
          </cell>
          <cell r="I35">
            <v>138.80369864127644</v>
          </cell>
          <cell r="J35">
            <v>144.7895854239184</v>
          </cell>
          <cell r="K35">
            <v>155.1602465852491</v>
          </cell>
          <cell r="L35">
            <v>212.7047137817159</v>
          </cell>
        </row>
        <row r="36">
          <cell r="H36" t="str">
            <v>BDM</v>
          </cell>
          <cell r="I36">
            <v>139.32038107549619</v>
          </cell>
          <cell r="J36">
            <v>98.040815682589269</v>
          </cell>
          <cell r="K36">
            <v>112.65707234259311</v>
          </cell>
          <cell r="L36">
            <v>197.31982730914189</v>
          </cell>
        </row>
        <row r="37">
          <cell r="I37">
            <v>26.784276195031616</v>
          </cell>
          <cell r="J37">
            <v>18.759060584154405</v>
          </cell>
          <cell r="K37">
            <v>37.44723666488305</v>
          </cell>
          <cell r="L37">
            <v>41.625667465495823</v>
          </cell>
        </row>
        <row r="38">
          <cell r="I38">
            <v>31.91833697006604</v>
          </cell>
          <cell r="J38">
            <v>31.155717524983995</v>
          </cell>
          <cell r="K38">
            <v>26.902310064957579</v>
          </cell>
          <cell r="L38">
            <v>40.055484447367867</v>
          </cell>
        </row>
        <row r="43">
          <cell r="C43" t="str">
            <v>split</v>
          </cell>
          <cell r="D43" t="str">
            <v>not split</v>
          </cell>
        </row>
        <row r="44">
          <cell r="B44" t="str">
            <v>Control</v>
          </cell>
          <cell r="C44">
            <v>13</v>
          </cell>
          <cell r="D44">
            <v>5</v>
          </cell>
        </row>
        <row r="45">
          <cell r="B45" t="str">
            <v>BDM</v>
          </cell>
          <cell r="C45">
            <v>5</v>
          </cell>
          <cell r="D45">
            <v>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D4">
            <v>100</v>
          </cell>
          <cell r="F4">
            <v>0.29499999999999998</v>
          </cell>
          <cell r="G4">
            <v>0.88399999999999901</v>
          </cell>
          <cell r="N4">
            <v>3.84</v>
          </cell>
          <cell r="O4">
            <v>0</v>
          </cell>
          <cell r="P4">
            <v>1.92</v>
          </cell>
          <cell r="S4">
            <v>0</v>
          </cell>
        </row>
        <row r="5">
          <cell r="D5">
            <v>101</v>
          </cell>
          <cell r="F5">
            <v>0.50928249999999997</v>
          </cell>
          <cell r="G5">
            <v>0.91422060000000005</v>
          </cell>
          <cell r="N5">
            <v>5.1782219999999901</v>
          </cell>
          <cell r="O5">
            <v>0</v>
          </cell>
          <cell r="P5">
            <v>2.5891109999999951</v>
          </cell>
          <cell r="S5">
            <v>0</v>
          </cell>
        </row>
        <row r="6">
          <cell r="D6">
            <v>102</v>
          </cell>
          <cell r="F6">
            <v>0.74016000000000004</v>
          </cell>
          <cell r="G6">
            <v>1.0127968000000001</v>
          </cell>
          <cell r="N6">
            <v>6.4364159999999897</v>
          </cell>
          <cell r="O6">
            <v>0</v>
          </cell>
          <cell r="P6">
            <v>3.2182079999999949</v>
          </cell>
          <cell r="S6">
            <v>0</v>
          </cell>
        </row>
        <row r="7">
          <cell r="D7">
            <v>103</v>
          </cell>
          <cell r="F7">
            <v>0.98492749999999996</v>
          </cell>
          <cell r="G7">
            <v>1.1729601999999999</v>
          </cell>
          <cell r="N7">
            <v>7.6177406666666601</v>
          </cell>
          <cell r="O7">
            <v>0</v>
          </cell>
          <cell r="P7">
            <v>3.80887033333333</v>
          </cell>
          <cell r="S7">
            <v>0</v>
          </cell>
        </row>
        <row r="8">
          <cell r="D8">
            <v>104</v>
          </cell>
          <cell r="F8">
            <v>1.24088</v>
          </cell>
          <cell r="G8">
            <v>1.3879424</v>
          </cell>
          <cell r="N8">
            <v>8.7253546666666608</v>
          </cell>
          <cell r="O8">
            <v>0.24209066666666701</v>
          </cell>
          <cell r="P8">
            <v>4.4837226666666643</v>
          </cell>
          <cell r="S8">
            <v>0.24209066666666701</v>
          </cell>
        </row>
        <row r="9">
          <cell r="D9">
            <v>105</v>
          </cell>
          <cell r="F9">
            <v>1.5053125000000001</v>
          </cell>
          <cell r="G9">
            <v>1.6509750000000001</v>
          </cell>
          <cell r="N9">
            <v>9.7624166666666596</v>
          </cell>
          <cell r="O9">
            <v>0.63766666666666805</v>
          </cell>
          <cell r="P9">
            <v>5.2000416666666638</v>
          </cell>
          <cell r="S9">
            <v>0.63766666666666805</v>
          </cell>
        </row>
        <row r="10">
          <cell r="D10">
            <v>106</v>
          </cell>
          <cell r="F10">
            <v>1.77552</v>
          </cell>
          <cell r="G10">
            <v>1.9552896</v>
          </cell>
          <cell r="N10">
            <v>10.7320853333333</v>
          </cell>
          <cell r="O10">
            <v>1.1386293333333299</v>
          </cell>
          <cell r="P10">
            <v>5.9353573333333154</v>
          </cell>
          <cell r="S10">
            <v>1.1386293333333299</v>
          </cell>
        </row>
        <row r="11">
          <cell r="D11">
            <v>107</v>
          </cell>
          <cell r="F11">
            <v>2.0487975</v>
          </cell>
          <cell r="G11">
            <v>2.2941178</v>
          </cell>
          <cell r="N11">
            <v>11.6375193333333</v>
          </cell>
          <cell r="O11">
            <v>1.7306613333333301</v>
          </cell>
          <cell r="P11">
            <v>6.684090333333315</v>
          </cell>
          <cell r="S11">
            <v>1.7306613333333301</v>
          </cell>
        </row>
        <row r="12">
          <cell r="D12">
            <v>108</v>
          </cell>
          <cell r="F12">
            <v>2.3224399999999998</v>
          </cell>
          <cell r="G12">
            <v>2.6606912</v>
          </cell>
          <cell r="N12">
            <v>12.4818773333333</v>
          </cell>
          <cell r="O12">
            <v>2.3994453333333299</v>
          </cell>
          <cell r="P12">
            <v>7.4406613333333151</v>
          </cell>
          <cell r="S12">
            <v>2.06449493333333</v>
          </cell>
        </row>
        <row r="13">
          <cell r="D13">
            <v>109</v>
          </cell>
          <cell r="F13">
            <v>2.5937424999999901</v>
          </cell>
          <cell r="G13">
            <v>3.0482414000000002</v>
          </cell>
          <cell r="N13">
            <v>13.268317999999899</v>
          </cell>
          <cell r="O13">
            <v>3.1306639999999999</v>
          </cell>
          <cell r="P13">
            <v>8.1994909999999503</v>
          </cell>
          <cell r="S13">
            <v>2.2553551999999999</v>
          </cell>
        </row>
        <row r="14">
          <cell r="D14">
            <v>110</v>
          </cell>
          <cell r="F14">
            <v>2.86</v>
          </cell>
          <cell r="G14">
            <v>3.45</v>
          </cell>
          <cell r="N14">
            <v>13.999999999999901</v>
          </cell>
          <cell r="O14">
            <v>3.91</v>
          </cell>
          <cell r="P14">
            <v>8.9549999999999503</v>
          </cell>
          <cell r="S14">
            <v>2.4300000000000002</v>
          </cell>
        </row>
        <row r="15">
          <cell r="D15">
            <v>111</v>
          </cell>
          <cell r="F15">
            <v>3.11850749999999</v>
          </cell>
          <cell r="G15">
            <v>3.8591986</v>
          </cell>
          <cell r="N15">
            <v>14.680081999999899</v>
          </cell>
          <cell r="O15">
            <v>4.7231360000000002</v>
          </cell>
          <cell r="P15">
            <v>9.7016089999999497</v>
          </cell>
          <cell r="S15">
            <v>2.5880448</v>
          </cell>
        </row>
        <row r="16">
          <cell r="D16">
            <v>112</v>
          </cell>
          <cell r="F16">
            <v>3.3665600000000002</v>
          </cell>
          <cell r="G16">
            <v>4.2690688000000003</v>
          </cell>
          <cell r="N16">
            <v>15.311722666666601</v>
          </cell>
          <cell r="O16">
            <v>5.55575466666666</v>
          </cell>
          <cell r="P16">
            <v>10.433738666666631</v>
          </cell>
          <cell r="S16">
            <v>2.7291050666666599</v>
          </cell>
        </row>
        <row r="17">
          <cell r="D17">
            <v>113</v>
          </cell>
          <cell r="F17">
            <v>3.6014525000000002</v>
          </cell>
          <cell r="G17">
            <v>4.6728421999999998</v>
          </cell>
          <cell r="N17">
            <v>15.898080666666599</v>
          </cell>
          <cell r="O17">
            <v>6.39353866666666</v>
          </cell>
          <cell r="P17">
            <v>11.145809666666629</v>
          </cell>
          <cell r="S17">
            <v>2.85279626666666</v>
          </cell>
        </row>
        <row r="18">
          <cell r="D18">
            <v>114</v>
          </cell>
          <cell r="F18">
            <v>3.8204799999999901</v>
          </cell>
          <cell r="G18">
            <v>5.0637504</v>
          </cell>
          <cell r="N18">
            <v>16.442314666666601</v>
          </cell>
          <cell r="O18">
            <v>7.2221706666666599</v>
          </cell>
          <cell r="P18">
            <v>11.83224266666663</v>
          </cell>
          <cell r="S18">
            <v>2.9587338666666598</v>
          </cell>
        </row>
        <row r="19">
          <cell r="D19">
            <v>115</v>
          </cell>
          <cell r="F19">
            <v>4.0209374999999898</v>
          </cell>
          <cell r="G19">
            <v>5.4350250000000004</v>
          </cell>
          <cell r="N19">
            <v>16.947583333333299</v>
          </cell>
          <cell r="O19">
            <v>8.0273333333333294</v>
          </cell>
          <cell r="P19">
            <v>12.487458333333315</v>
          </cell>
          <cell r="S19">
            <v>3.04653333333333</v>
          </cell>
        </row>
        <row r="20">
          <cell r="D20">
            <v>116</v>
          </cell>
          <cell r="F20">
            <v>4.2001200000000001</v>
          </cell>
          <cell r="G20">
            <v>5.7798976</v>
          </cell>
          <cell r="N20">
            <v>17.417045333333299</v>
          </cell>
          <cell r="O20">
            <v>8.7947093333333299</v>
          </cell>
          <cell r="P20">
            <v>13.105877333333314</v>
          </cell>
          <cell r="S20">
            <v>3.1158101333333299</v>
          </cell>
        </row>
        <row r="21">
          <cell r="D21">
            <v>117</v>
          </cell>
          <cell r="F21">
            <v>4.35532249999999</v>
          </cell>
          <cell r="G21">
            <v>6.0915997999999902</v>
          </cell>
          <cell r="N21">
            <v>17.8538593333333</v>
          </cell>
          <cell r="O21">
            <v>9.5099813333333305</v>
          </cell>
          <cell r="P21">
            <v>13.681920333333316</v>
          </cell>
          <cell r="S21">
            <v>3.1661797333333301</v>
          </cell>
        </row>
        <row r="22">
          <cell r="D22">
            <v>118</v>
          </cell>
          <cell r="F22">
            <v>4.4838399999999998</v>
          </cell>
          <cell r="G22">
            <v>6.3633632000000002</v>
          </cell>
          <cell r="N22">
            <v>18.261184</v>
          </cell>
          <cell r="O22">
            <v>10.158832</v>
          </cell>
          <cell r="P22">
            <v>14.210008</v>
          </cell>
          <cell r="S22">
            <v>3.1972575999999999</v>
          </cell>
        </row>
        <row r="23">
          <cell r="D23">
            <v>119</v>
          </cell>
          <cell r="F23">
            <v>4.5829674999999996</v>
          </cell>
          <cell r="G23">
            <v>6.5884194000000003</v>
          </cell>
          <cell r="N23">
            <v>18.642178000000001</v>
          </cell>
          <cell r="O23">
            <v>10.726944</v>
          </cell>
          <cell r="P23">
            <v>14.684561</v>
          </cell>
          <cell r="S23">
            <v>3.2086592</v>
          </cell>
        </row>
        <row r="24">
          <cell r="D24">
            <v>120</v>
          </cell>
          <cell r="F24">
            <v>4.6499999999999897</v>
          </cell>
          <cell r="G24">
            <v>6.75999999999999</v>
          </cell>
          <cell r="N24">
            <v>19</v>
          </cell>
          <cell r="O24">
            <v>11.1999999999999</v>
          </cell>
          <cell r="P24">
            <v>15.09999999999995</v>
          </cell>
          <cell r="S24">
            <v>3.2</v>
          </cell>
        </row>
        <row r="25">
          <cell r="D25">
            <v>121</v>
          </cell>
          <cell r="F25">
            <v>4.6832025000000002</v>
          </cell>
          <cell r="G25">
            <v>6.8734109999999902</v>
          </cell>
          <cell r="N25">
            <v>19.33671</v>
          </cell>
          <cell r="O25">
            <v>11.566229999999999</v>
          </cell>
          <cell r="P25">
            <v>15.45147</v>
          </cell>
          <cell r="S25">
            <v>3.1712600000000002</v>
          </cell>
        </row>
        <row r="26">
          <cell r="D26">
            <v>122</v>
          </cell>
          <cell r="F26">
            <v>4.6847199999999898</v>
          </cell>
          <cell r="G26">
            <v>6.93225599999999</v>
          </cell>
          <cell r="N26">
            <v>19.6499733333333</v>
          </cell>
          <cell r="O26">
            <v>11.8240533333333</v>
          </cell>
          <cell r="P26">
            <v>15.7370133333333</v>
          </cell>
          <cell r="S26">
            <v>3.1238773333333301</v>
          </cell>
        </row>
        <row r="27">
          <cell r="D27">
            <v>123</v>
          </cell>
          <cell r="F27">
            <v>4.6576674999999996</v>
          </cell>
          <cell r="G27">
            <v>6.94221299999999</v>
          </cell>
          <cell r="N27">
            <v>19.936356666666601</v>
          </cell>
          <cell r="O27">
            <v>11.9744366666666</v>
          </cell>
          <cell r="P27">
            <v>15.955396666666601</v>
          </cell>
          <cell r="S27">
            <v>3.0596546666666602</v>
          </cell>
        </row>
        <row r="28">
          <cell r="D28">
            <v>124</v>
          </cell>
          <cell r="F28">
            <v>4.6051599999999899</v>
          </cell>
          <cell r="G28">
            <v>6.9089599999999898</v>
          </cell>
          <cell r="N28">
            <v>20.192426666666599</v>
          </cell>
          <cell r="O28">
            <v>12.0183466666666</v>
          </cell>
          <cell r="P28">
            <v>16.1053866666666</v>
          </cell>
          <cell r="S28">
            <v>2.9803946666666601</v>
          </cell>
        </row>
        <row r="29">
          <cell r="D29">
            <v>125</v>
          </cell>
          <cell r="F29">
            <v>4.5303124999999902</v>
          </cell>
          <cell r="G29">
            <v>6.8381749999999899</v>
          </cell>
          <cell r="N29">
            <v>20.414749999999898</v>
          </cell>
          <cell r="O29">
            <v>11.9567499999999</v>
          </cell>
          <cell r="P29">
            <v>16.185749999999899</v>
          </cell>
          <cell r="S29">
            <v>2.8879000000000001</v>
          </cell>
        </row>
        <row r="30">
          <cell r="D30">
            <v>126</v>
          </cell>
          <cell r="F30">
            <v>4.4362399999999997</v>
          </cell>
          <cell r="G30">
            <v>6.73553599999999</v>
          </cell>
          <cell r="N30">
            <v>20.599893333333299</v>
          </cell>
          <cell r="O30">
            <v>11.790613333333299</v>
          </cell>
          <cell r="P30">
            <v>16.195253333333298</v>
          </cell>
          <cell r="S30">
            <v>2.7839733333333299</v>
          </cell>
        </row>
        <row r="31">
          <cell r="D31">
            <v>127</v>
          </cell>
          <cell r="F31">
            <v>4.3260574999999903</v>
          </cell>
          <cell r="G31">
            <v>6.6067210000000003</v>
          </cell>
          <cell r="N31">
            <v>20.744423333333302</v>
          </cell>
          <cell r="O31">
            <v>11.520903333333299</v>
          </cell>
          <cell r="P31">
            <v>16.132663333333301</v>
          </cell>
          <cell r="S31">
            <v>2.6704173333333299</v>
          </cell>
        </row>
        <row r="32">
          <cell r="D32">
            <v>128</v>
          </cell>
          <cell r="F32">
            <v>4.2028799999999897</v>
          </cell>
          <cell r="G32">
            <v>6.4574079999999903</v>
          </cell>
          <cell r="N32">
            <v>20.844906666666599</v>
          </cell>
          <cell r="O32">
            <v>11.148586666666599</v>
          </cell>
          <cell r="P32">
            <v>15.996746666666599</v>
          </cell>
          <cell r="S32">
            <v>2.5490346666666599</v>
          </cell>
        </row>
        <row r="33">
          <cell r="D33">
            <v>129</v>
          </cell>
          <cell r="F33">
            <v>4.0698224999999901</v>
          </cell>
          <cell r="G33">
            <v>6.2932750000000004</v>
          </cell>
          <cell r="N33">
            <v>20.8979099999999</v>
          </cell>
          <cell r="O33">
            <v>10.674629999999899</v>
          </cell>
          <cell r="P33">
            <v>15.786269999999899</v>
          </cell>
          <cell r="S33">
            <v>2.4216279999999899</v>
          </cell>
        </row>
        <row r="34">
          <cell r="D34">
            <v>130</v>
          </cell>
          <cell r="F34">
            <v>3.9299999999999899</v>
          </cell>
          <cell r="G34">
            <v>6.1199999999999903</v>
          </cell>
          <cell r="N34">
            <v>20.899999999999899</v>
          </cell>
          <cell r="O34">
            <v>10.0999999999999</v>
          </cell>
          <cell r="P34">
            <v>15.499999999999901</v>
          </cell>
          <cell r="S34">
            <v>2.29</v>
          </cell>
        </row>
        <row r="35">
          <cell r="D35">
            <v>131</v>
          </cell>
          <cell r="F35">
            <v>3.7861424999999902</v>
          </cell>
          <cell r="G35">
            <v>5.9423874000000003</v>
          </cell>
          <cell r="N35">
            <v>20.847677999999899</v>
          </cell>
          <cell r="O35">
            <v>9.4282939999999993</v>
          </cell>
          <cell r="P35">
            <v>15.137985999999948</v>
          </cell>
          <cell r="S35">
            <v>2.1558351999999901</v>
          </cell>
        </row>
        <row r="36">
          <cell r="D36">
            <v>132</v>
          </cell>
          <cell r="F36">
            <v>3.63944</v>
          </cell>
          <cell r="G36">
            <v>5.7617472000000003</v>
          </cell>
          <cell r="N36">
            <v>20.7371839999999</v>
          </cell>
          <cell r="O36">
            <v>8.6736319999999907</v>
          </cell>
          <cell r="P36">
            <v>14.705407999999945</v>
          </cell>
          <cell r="S36">
            <v>2.0203456000000002</v>
          </cell>
        </row>
        <row r="37">
          <cell r="D37">
            <v>133</v>
          </cell>
          <cell r="F37">
            <v>3.4906974999999898</v>
          </cell>
          <cell r="G37">
            <v>5.5785157999999901</v>
          </cell>
          <cell r="N37">
            <v>20.564692666666598</v>
          </cell>
          <cell r="O37">
            <v>7.8527646666666602</v>
          </cell>
          <cell r="P37">
            <v>14.20872866666663</v>
          </cell>
          <cell r="S37">
            <v>1.88462506666666</v>
          </cell>
        </row>
        <row r="38">
          <cell r="D38">
            <v>134</v>
          </cell>
          <cell r="F38">
            <v>3.3407199999999899</v>
          </cell>
          <cell r="G38">
            <v>5.3931295999999902</v>
          </cell>
          <cell r="N38">
            <v>20.326378666666599</v>
          </cell>
          <cell r="O38">
            <v>6.9824426666666604</v>
          </cell>
          <cell r="P38">
            <v>13.65441066666663</v>
          </cell>
          <cell r="S38">
            <v>1.7497674666666601</v>
          </cell>
        </row>
        <row r="39">
          <cell r="D39">
            <v>135</v>
          </cell>
          <cell r="F39">
            <v>3.1903124999999899</v>
          </cell>
          <cell r="G39">
            <v>5.2060249999999897</v>
          </cell>
          <cell r="N39">
            <v>20.018416666666599</v>
          </cell>
          <cell r="O39">
            <v>6.0794166666666598</v>
          </cell>
          <cell r="P39">
            <v>13.04891666666663</v>
          </cell>
          <cell r="S39">
            <v>1.61686666666666</v>
          </cell>
        </row>
        <row r="40">
          <cell r="D40">
            <v>136</v>
          </cell>
          <cell r="F40">
            <v>3.0402799999999899</v>
          </cell>
          <cell r="G40">
            <v>5.0176384000000001</v>
          </cell>
          <cell r="N40">
            <v>19.636981333333299</v>
          </cell>
          <cell r="O40">
            <v>5.1604373333333298</v>
          </cell>
          <cell r="P40">
            <v>12.398709333333315</v>
          </cell>
          <cell r="S40">
            <v>1.4870165333333301</v>
          </cell>
        </row>
        <row r="41">
          <cell r="D41">
            <v>137</v>
          </cell>
          <cell r="F41">
            <v>2.8914274999999998</v>
          </cell>
          <cell r="G41">
            <v>4.8284061999999901</v>
          </cell>
          <cell r="N41">
            <v>19.178247333333299</v>
          </cell>
          <cell r="O41">
            <v>4.2422553333333299</v>
          </cell>
          <cell r="P41">
            <v>11.710251333333314</v>
          </cell>
          <cell r="S41">
            <v>1.36131093333333</v>
          </cell>
        </row>
        <row r="42">
          <cell r="D42">
            <v>138</v>
          </cell>
          <cell r="F42">
            <v>2.7445599999999999</v>
          </cell>
          <cell r="G42">
            <v>4.6387647999999997</v>
          </cell>
          <cell r="N42">
            <v>18.638389333333301</v>
          </cell>
          <cell r="O42">
            <v>3.3416213333333298</v>
          </cell>
          <cell r="P42">
            <v>10.990005333333315</v>
          </cell>
          <cell r="S42">
            <v>1.24084373333333</v>
          </cell>
        </row>
        <row r="43">
          <cell r="D43">
            <v>139</v>
          </cell>
          <cell r="F43">
            <v>2.6004825</v>
          </cell>
          <cell r="G43">
            <v>4.4491505999999896</v>
          </cell>
          <cell r="N43">
            <v>18.0135819999999</v>
          </cell>
          <cell r="O43">
            <v>2.4752859999999899</v>
          </cell>
          <cell r="P43">
            <v>10.244433999999945</v>
          </cell>
          <cell r="S43">
            <v>1.1267087999999901</v>
          </cell>
        </row>
        <row r="44">
          <cell r="D44">
            <v>140</v>
          </cell>
          <cell r="F44">
            <v>2.4599999999999902</v>
          </cell>
          <cell r="G44">
            <v>4.25999999999999</v>
          </cell>
          <cell r="N44">
            <v>17.299999999999901</v>
          </cell>
          <cell r="O44">
            <v>1.6599999999999899</v>
          </cell>
          <cell r="P44">
            <v>9.4799999999999454</v>
          </cell>
          <cell r="S44">
            <v>1.01999999999999</v>
          </cell>
        </row>
        <row r="45">
          <cell r="D45">
            <v>141</v>
          </cell>
          <cell r="F45">
            <v>2.3239174999999901</v>
          </cell>
          <cell r="G45">
            <v>4.0717493999999901</v>
          </cell>
          <cell r="N45">
            <v>16.493817999999902</v>
          </cell>
          <cell r="O45">
            <v>0.91251399999999805</v>
          </cell>
          <cell r="P45">
            <v>8.7031659999999498</v>
          </cell>
          <cell r="S45">
            <v>0.91251399999999805</v>
          </cell>
        </row>
        <row r="46">
          <cell r="D46">
            <v>142</v>
          </cell>
          <cell r="F46">
            <v>2.1930399999999999</v>
          </cell>
          <cell r="G46">
            <v>3.8848351999999902</v>
          </cell>
          <cell r="N46">
            <v>15.591210666666599</v>
          </cell>
          <cell r="O46">
            <v>0.249578666666666</v>
          </cell>
          <cell r="P46">
            <v>7.9203946666666329</v>
          </cell>
          <cell r="S46">
            <v>0.249578666666666</v>
          </cell>
        </row>
        <row r="47">
          <cell r="D47">
            <v>143</v>
          </cell>
          <cell r="F47">
            <v>2.06817249999999</v>
          </cell>
          <cell r="G47">
            <v>3.6996937999999902</v>
          </cell>
          <cell r="N47">
            <v>14.5883526666666</v>
          </cell>
          <cell r="O47">
            <v>0</v>
          </cell>
          <cell r="P47">
            <v>7.2941763333332998</v>
          </cell>
          <cell r="S47">
            <v>0</v>
          </cell>
        </row>
        <row r="48">
          <cell r="D48">
            <v>144</v>
          </cell>
          <cell r="F48">
            <v>1.9501200000000001</v>
          </cell>
          <cell r="G48">
            <v>3.5167615999999899</v>
          </cell>
          <cell r="N48">
            <v>13.481418666666601</v>
          </cell>
          <cell r="O48">
            <v>0</v>
          </cell>
          <cell r="P48">
            <v>6.7407093333333004</v>
          </cell>
          <cell r="S48">
            <v>0</v>
          </cell>
        </row>
        <row r="49">
          <cell r="D49">
            <v>145</v>
          </cell>
          <cell r="F49">
            <v>1.8396874999999899</v>
          </cell>
          <cell r="G49">
            <v>3.3364749999999899</v>
          </cell>
          <cell r="N49">
            <v>12.266583333333299</v>
          </cell>
          <cell r="O49">
            <v>0</v>
          </cell>
          <cell r="P49">
            <v>6.1332916666666497</v>
          </cell>
          <cell r="S49">
            <v>0</v>
          </cell>
        </row>
        <row r="50">
          <cell r="D50">
            <v>146</v>
          </cell>
          <cell r="F50">
            <v>1.7376799999999999</v>
          </cell>
          <cell r="G50">
            <v>3.1592703999999898</v>
          </cell>
          <cell r="N50">
            <v>10.9400213333333</v>
          </cell>
          <cell r="O50">
            <v>0</v>
          </cell>
          <cell r="P50">
            <v>5.4700106666666501</v>
          </cell>
          <cell r="S50">
            <v>0</v>
          </cell>
        </row>
        <row r="51">
          <cell r="D51">
            <v>147</v>
          </cell>
          <cell r="F51">
            <v>1.6449024999999999</v>
          </cell>
          <cell r="G51">
            <v>2.9855841999999901</v>
          </cell>
          <cell r="N51">
            <v>9.4979073333333304</v>
          </cell>
          <cell r="O51">
            <v>0</v>
          </cell>
          <cell r="P51">
            <v>4.7489536666666652</v>
          </cell>
          <cell r="S51">
            <v>0</v>
          </cell>
        </row>
        <row r="52">
          <cell r="D52">
            <v>148</v>
          </cell>
          <cell r="F52">
            <v>1.56215999999999</v>
          </cell>
          <cell r="G52">
            <v>2.8158527999999898</v>
          </cell>
          <cell r="N52">
            <v>7.9364160000000004</v>
          </cell>
          <cell r="O52">
            <v>0</v>
          </cell>
          <cell r="P52">
            <v>3.9682080000000002</v>
          </cell>
          <cell r="S52">
            <v>0</v>
          </cell>
        </row>
        <row r="53">
          <cell r="D53">
            <v>149</v>
          </cell>
          <cell r="F53">
            <v>1.4902575</v>
          </cell>
          <cell r="G53">
            <v>2.6505125999999901</v>
          </cell>
          <cell r="N53">
            <v>6.251722</v>
          </cell>
          <cell r="O53">
            <v>0</v>
          </cell>
          <cell r="P53">
            <v>3.125861</v>
          </cell>
          <cell r="S53">
            <v>0</v>
          </cell>
        </row>
        <row r="54">
          <cell r="D54">
            <v>150</v>
          </cell>
          <cell r="F54">
            <v>1.4299999999999899</v>
          </cell>
          <cell r="G54">
            <v>2.4900000000000002</v>
          </cell>
          <cell r="N54">
            <v>4.4400000000000004</v>
          </cell>
          <cell r="O54">
            <v>0</v>
          </cell>
          <cell r="P54">
            <v>2.2200000000000002</v>
          </cell>
          <cell r="S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cscistatistics.com/tests/fisher/default2.asp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ED133-8BBA-4D33-B1C2-3BABAA5457FE}">
  <dimension ref="B3:L28"/>
  <sheetViews>
    <sheetView workbookViewId="0">
      <selection activeCell="B27" sqref="B27"/>
    </sheetView>
  </sheetViews>
  <sheetFormatPr defaultRowHeight="15"/>
  <cols>
    <col min="2" max="2" width="18.42578125" customWidth="1"/>
    <col min="8" max="8" width="15.42578125" customWidth="1"/>
  </cols>
  <sheetData>
    <row r="3" spans="2:12">
      <c r="B3" t="s">
        <v>0</v>
      </c>
      <c r="H3" t="s">
        <v>642</v>
      </c>
    </row>
    <row r="5" spans="2:12" ht="30">
      <c r="B5" s="16" t="s">
        <v>27</v>
      </c>
      <c r="C5" s="16" t="s">
        <v>28</v>
      </c>
      <c r="D5" s="16" t="s">
        <v>29</v>
      </c>
      <c r="E5" s="16" t="s">
        <v>30</v>
      </c>
      <c r="H5" s="46" t="s">
        <v>195</v>
      </c>
      <c r="I5" s="65" t="s">
        <v>19</v>
      </c>
      <c r="J5" s="65" t="s">
        <v>58</v>
      </c>
      <c r="K5" s="65" t="s">
        <v>59</v>
      </c>
      <c r="L5" s="65" t="s">
        <v>60</v>
      </c>
    </row>
    <row r="6" spans="2:12">
      <c r="B6" s="69" t="s">
        <v>20</v>
      </c>
      <c r="C6" s="67">
        <v>0</v>
      </c>
      <c r="D6" s="67">
        <v>25</v>
      </c>
      <c r="E6" s="16">
        <v>25</v>
      </c>
      <c r="H6" s="46">
        <v>1</v>
      </c>
      <c r="I6" s="79">
        <v>10</v>
      </c>
      <c r="J6" s="79">
        <v>10</v>
      </c>
      <c r="K6" s="79">
        <v>3</v>
      </c>
      <c r="L6" s="79">
        <v>7</v>
      </c>
    </row>
    <row r="7" spans="2:12">
      <c r="B7" s="69" t="s">
        <v>21</v>
      </c>
      <c r="C7" s="67">
        <v>16</v>
      </c>
      <c r="D7" s="67">
        <v>29</v>
      </c>
      <c r="E7" s="16">
        <v>45</v>
      </c>
      <c r="H7" s="46">
        <v>2</v>
      </c>
      <c r="I7" s="79">
        <v>8</v>
      </c>
      <c r="J7" s="79">
        <v>17</v>
      </c>
      <c r="K7" s="79">
        <v>4</v>
      </c>
      <c r="L7" s="79">
        <v>8</v>
      </c>
    </row>
    <row r="8" spans="2:12">
      <c r="B8" s="69" t="s">
        <v>22</v>
      </c>
      <c r="C8" s="67">
        <v>22</v>
      </c>
      <c r="D8" s="67">
        <v>6</v>
      </c>
      <c r="E8" s="16">
        <v>28</v>
      </c>
      <c r="H8" s="46">
        <v>3</v>
      </c>
      <c r="I8" s="79">
        <v>12</v>
      </c>
      <c r="J8" s="79">
        <v>10</v>
      </c>
      <c r="K8" s="79">
        <v>4</v>
      </c>
      <c r="L8" s="79">
        <v>9</v>
      </c>
    </row>
    <row r="9" spans="2:12">
      <c r="B9" s="69" t="s">
        <v>23</v>
      </c>
      <c r="C9" s="67">
        <v>67</v>
      </c>
      <c r="D9" s="67">
        <v>5</v>
      </c>
      <c r="E9" s="16">
        <v>72</v>
      </c>
      <c r="H9" s="46">
        <v>4</v>
      </c>
      <c r="I9" s="79">
        <v>14</v>
      </c>
      <c r="J9" s="79">
        <v>15</v>
      </c>
      <c r="K9" s="79">
        <v>3</v>
      </c>
      <c r="L9" s="79">
        <v>5</v>
      </c>
    </row>
    <row r="10" spans="2:12">
      <c r="B10" s="69" t="s">
        <v>24</v>
      </c>
      <c r="C10" s="67">
        <v>22</v>
      </c>
      <c r="D10" s="67">
        <v>0</v>
      </c>
      <c r="E10" s="16">
        <v>22</v>
      </c>
      <c r="H10" s="46">
        <v>5</v>
      </c>
      <c r="I10" s="79">
        <v>10</v>
      </c>
      <c r="J10" s="79">
        <v>14</v>
      </c>
      <c r="K10" s="79">
        <v>3</v>
      </c>
      <c r="L10" s="79">
        <v>11</v>
      </c>
    </row>
    <row r="11" spans="2:12">
      <c r="H11" s="46">
        <v>6</v>
      </c>
      <c r="I11" s="79">
        <v>13</v>
      </c>
      <c r="J11" s="79">
        <v>11</v>
      </c>
      <c r="K11" s="79">
        <v>3</v>
      </c>
      <c r="L11" s="79">
        <v>5</v>
      </c>
    </row>
    <row r="12" spans="2:12" ht="30">
      <c r="B12" s="16" t="s">
        <v>27</v>
      </c>
      <c r="C12" s="16" t="s">
        <v>25</v>
      </c>
      <c r="D12" s="16" t="s">
        <v>26</v>
      </c>
      <c r="H12" s="46">
        <v>7</v>
      </c>
      <c r="I12" s="79">
        <v>8</v>
      </c>
      <c r="J12" s="79">
        <v>10</v>
      </c>
      <c r="K12" s="79">
        <v>3</v>
      </c>
      <c r="L12" s="79">
        <v>8</v>
      </c>
    </row>
    <row r="13" spans="2:12">
      <c r="B13" s="69" t="s">
        <v>20</v>
      </c>
      <c r="C13" s="67">
        <v>0</v>
      </c>
      <c r="D13" s="67">
        <v>100</v>
      </c>
      <c r="H13" s="46">
        <v>8</v>
      </c>
      <c r="I13" s="79">
        <v>15</v>
      </c>
      <c r="J13" s="79">
        <v>7</v>
      </c>
      <c r="K13" s="46">
        <v>3</v>
      </c>
      <c r="L13" s="79">
        <v>5</v>
      </c>
    </row>
    <row r="14" spans="2:12">
      <c r="B14" s="69" t="s">
        <v>21</v>
      </c>
      <c r="C14" s="67">
        <v>35.55556</v>
      </c>
      <c r="D14" s="67">
        <v>64.44444</v>
      </c>
      <c r="H14" s="46">
        <v>9</v>
      </c>
      <c r="I14" s="79">
        <v>10</v>
      </c>
      <c r="J14" s="79">
        <v>10</v>
      </c>
      <c r="K14" s="79">
        <v>3</v>
      </c>
      <c r="L14" s="79">
        <v>5</v>
      </c>
    </row>
    <row r="15" spans="2:12">
      <c r="B15" s="69" t="s">
        <v>22</v>
      </c>
      <c r="C15" s="67">
        <v>78.571430000000007</v>
      </c>
      <c r="D15" s="67">
        <v>21.428570000000001</v>
      </c>
      <c r="H15" s="46">
        <v>10</v>
      </c>
      <c r="I15" s="79">
        <v>11</v>
      </c>
      <c r="J15" s="79">
        <v>9</v>
      </c>
      <c r="K15" s="46"/>
      <c r="L15" s="79">
        <v>7</v>
      </c>
    </row>
    <row r="16" spans="2:12">
      <c r="B16" s="69" t="s">
        <v>23</v>
      </c>
      <c r="C16" s="67">
        <v>93.05556</v>
      </c>
      <c r="D16" s="67">
        <v>6.9444439999999998</v>
      </c>
      <c r="H16" s="46">
        <v>11</v>
      </c>
      <c r="I16" s="79">
        <v>12</v>
      </c>
      <c r="J16" s="46"/>
      <c r="K16" s="46"/>
      <c r="L16" s="79">
        <v>6</v>
      </c>
    </row>
    <row r="17" spans="2:12">
      <c r="B17" s="69" t="s">
        <v>24</v>
      </c>
      <c r="C17" s="67">
        <v>100</v>
      </c>
      <c r="D17" s="67">
        <v>0</v>
      </c>
      <c r="H17" s="46">
        <v>12</v>
      </c>
      <c r="I17" s="79">
        <v>10</v>
      </c>
      <c r="J17" s="46"/>
      <c r="K17" s="46"/>
      <c r="L17" s="79">
        <v>11</v>
      </c>
    </row>
    <row r="18" spans="2:12">
      <c r="H18" s="46">
        <v>13</v>
      </c>
      <c r="I18" s="79">
        <v>12</v>
      </c>
      <c r="J18" s="46"/>
      <c r="K18" s="46"/>
      <c r="L18" s="79">
        <v>8</v>
      </c>
    </row>
    <row r="19" spans="2:12">
      <c r="H19" s="46">
        <v>14</v>
      </c>
      <c r="I19" s="79">
        <v>10</v>
      </c>
      <c r="J19" s="46"/>
      <c r="K19" s="46"/>
      <c r="L19" s="79">
        <v>13</v>
      </c>
    </row>
    <row r="20" spans="2:12">
      <c r="H20" s="46">
        <v>15</v>
      </c>
      <c r="I20" s="79">
        <v>11</v>
      </c>
      <c r="J20" s="46"/>
      <c r="K20" s="46"/>
      <c r="L20" s="79">
        <v>12</v>
      </c>
    </row>
    <row r="21" spans="2:12">
      <c r="H21" s="46">
        <v>16</v>
      </c>
      <c r="I21" s="79">
        <v>12</v>
      </c>
      <c r="J21" s="46"/>
      <c r="K21" s="46"/>
      <c r="L21" s="79">
        <v>12</v>
      </c>
    </row>
    <row r="22" spans="2:12">
      <c r="H22" s="46">
        <v>17</v>
      </c>
      <c r="I22" s="79">
        <v>8</v>
      </c>
      <c r="J22" s="46"/>
      <c r="K22" s="46"/>
      <c r="L22" s="79"/>
    </row>
    <row r="23" spans="2:12">
      <c r="H23" s="46">
        <v>18</v>
      </c>
      <c r="I23" s="79">
        <v>17</v>
      </c>
      <c r="J23" s="46"/>
      <c r="K23" s="46"/>
      <c r="L23" s="79"/>
    </row>
    <row r="24" spans="2:12">
      <c r="H24" s="46">
        <v>19</v>
      </c>
      <c r="I24" s="79">
        <v>10</v>
      </c>
      <c r="J24" s="46"/>
      <c r="K24" s="46"/>
      <c r="L24" s="79"/>
    </row>
    <row r="25" spans="2:12">
      <c r="H25" s="46">
        <v>20</v>
      </c>
      <c r="I25" s="79">
        <v>9</v>
      </c>
      <c r="J25" s="46"/>
      <c r="K25" s="46"/>
      <c r="L25" s="79"/>
    </row>
    <row r="26" spans="2:12">
      <c r="H26" s="46"/>
      <c r="I26" s="79"/>
      <c r="J26" s="46"/>
      <c r="K26" s="46"/>
      <c r="L26" s="79"/>
    </row>
    <row r="27" spans="2:12">
      <c r="H27" s="46" t="s">
        <v>17</v>
      </c>
      <c r="I27" s="46">
        <f>AVERAGE(I6:I25)</f>
        <v>11.1</v>
      </c>
      <c r="J27" s="46">
        <f>AVERAGE(J6:J25)</f>
        <v>11.3</v>
      </c>
      <c r="K27" s="46">
        <f>AVERAGE(K6:K25)</f>
        <v>3.2222222222222223</v>
      </c>
      <c r="L27" s="46">
        <f>AVERAGE(L6:L25)</f>
        <v>8.25</v>
      </c>
    </row>
    <row r="28" spans="2:12">
      <c r="H28" s="46" t="s">
        <v>61</v>
      </c>
      <c r="I28" s="46">
        <f>COUNT(I6:I25)</f>
        <v>20</v>
      </c>
      <c r="J28" s="46">
        <f>COUNT(J6:J25)</f>
        <v>10</v>
      </c>
      <c r="K28" s="46">
        <f>COUNT(K6:K25)</f>
        <v>9</v>
      </c>
      <c r="L28" s="46">
        <f>COUNT(L6:L25)</f>
        <v>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EB436-43A3-4BF1-8B6F-561D8CD53F0F}">
  <dimension ref="B3:Z45"/>
  <sheetViews>
    <sheetView workbookViewId="0">
      <selection activeCell="B32" sqref="B32"/>
    </sheetView>
  </sheetViews>
  <sheetFormatPr defaultRowHeight="15"/>
  <cols>
    <col min="5" max="5" width="12" bestFit="1" customWidth="1"/>
    <col min="8" max="9" width="10.28515625" customWidth="1"/>
    <col min="13" max="13" width="12" bestFit="1" customWidth="1"/>
    <col min="14" max="14" width="12" customWidth="1"/>
  </cols>
  <sheetData>
    <row r="3" spans="2:26">
      <c r="B3" s="46" t="s">
        <v>234</v>
      </c>
      <c r="C3" s="46" t="s">
        <v>195</v>
      </c>
      <c r="D3" s="46" t="s">
        <v>197</v>
      </c>
      <c r="E3" s="46" t="s">
        <v>198</v>
      </c>
      <c r="F3" s="46" t="s">
        <v>199</v>
      </c>
      <c r="G3" s="46" t="s">
        <v>200</v>
      </c>
      <c r="H3" s="46" t="s">
        <v>201</v>
      </c>
      <c r="I3" s="46" t="s">
        <v>198</v>
      </c>
      <c r="J3" s="46" t="s">
        <v>202</v>
      </c>
      <c r="K3" s="46" t="s">
        <v>200</v>
      </c>
      <c r="L3" s="46" t="s">
        <v>182</v>
      </c>
      <c r="M3" s="46" t="s">
        <v>183</v>
      </c>
      <c r="O3" s="46" t="s">
        <v>234</v>
      </c>
      <c r="P3" s="46" t="s">
        <v>195</v>
      </c>
      <c r="Q3" s="46" t="s">
        <v>197</v>
      </c>
      <c r="R3" s="46" t="s">
        <v>198</v>
      </c>
      <c r="S3" s="46" t="s">
        <v>199</v>
      </c>
      <c r="T3" s="46" t="s">
        <v>203</v>
      </c>
      <c r="U3" s="46" t="s">
        <v>201</v>
      </c>
      <c r="V3" s="46" t="s">
        <v>198</v>
      </c>
      <c r="W3" s="46" t="s">
        <v>202</v>
      </c>
      <c r="X3" s="46" t="s">
        <v>200</v>
      </c>
      <c r="Y3" s="46" t="s">
        <v>182</v>
      </c>
      <c r="Z3" s="46" t="s">
        <v>183</v>
      </c>
    </row>
    <row r="4" spans="2:26">
      <c r="B4" s="46" t="s">
        <v>204</v>
      </c>
      <c r="C4" s="46" t="s">
        <v>205</v>
      </c>
      <c r="D4" s="46">
        <f>70/(60-23)</f>
        <v>1.8918918918918919</v>
      </c>
      <c r="E4" s="46">
        <f>50/(60-40)</f>
        <v>2.5</v>
      </c>
      <c r="F4" s="46">
        <f>100/(60-27)</f>
        <v>3.0303030303030303</v>
      </c>
      <c r="G4" s="46">
        <f>1/((69-6)*10/1000/2)</f>
        <v>3.1746031746031744</v>
      </c>
      <c r="H4" s="46">
        <f>D4*60</f>
        <v>113.51351351351352</v>
      </c>
      <c r="I4" s="46">
        <f>E4*60</f>
        <v>150</v>
      </c>
      <c r="J4" s="46">
        <f>F4*60</f>
        <v>181.81818181818181</v>
      </c>
      <c r="K4" s="46">
        <f>G4*60</f>
        <v>190.47619047619045</v>
      </c>
      <c r="L4" s="46">
        <v>1</v>
      </c>
      <c r="M4" s="46"/>
      <c r="O4" s="46" t="s">
        <v>204</v>
      </c>
      <c r="P4" s="46" t="s">
        <v>206</v>
      </c>
      <c r="Q4" s="46">
        <f>60/(60-22)</f>
        <v>1.5789473684210527</v>
      </c>
      <c r="R4" s="46">
        <f>90/(60-7)</f>
        <v>1.6981132075471699</v>
      </c>
      <c r="S4" s="46">
        <f>60/(60-26)</f>
        <v>1.7647058823529411</v>
      </c>
      <c r="T4" s="46">
        <f>1/((48-15)*10/1000/1)</f>
        <v>3.0303030303030303</v>
      </c>
      <c r="U4" s="46">
        <f>Q4*60</f>
        <v>94.736842105263165</v>
      </c>
      <c r="V4" s="46">
        <f>R4*60</f>
        <v>101.88679245283019</v>
      </c>
      <c r="W4" s="46">
        <f>S4*60</f>
        <v>105.88235294117646</v>
      </c>
      <c r="X4" s="46">
        <f>T4*60</f>
        <v>181.81818181818181</v>
      </c>
      <c r="Y4" s="46">
        <v>1</v>
      </c>
      <c r="Z4" s="46"/>
    </row>
    <row r="5" spans="2:26">
      <c r="B5" s="46"/>
      <c r="C5" s="46" t="s">
        <v>207</v>
      </c>
      <c r="D5" s="46">
        <f>60/(60-27)</f>
        <v>1.8181818181818181</v>
      </c>
      <c r="E5" s="46">
        <f>55/24</f>
        <v>2.2916666666666665</v>
      </c>
      <c r="F5" s="46">
        <f>40/(60-42)</f>
        <v>2.2222222222222223</v>
      </c>
      <c r="G5" s="46">
        <f>1/((54-20)*10/1000/1)</f>
        <v>2.9411764705882351</v>
      </c>
      <c r="H5" s="46">
        <f t="shared" ref="H5:K20" si="0">D5*60</f>
        <v>109.09090909090909</v>
      </c>
      <c r="I5" s="46">
        <f t="shared" si="0"/>
        <v>137.5</v>
      </c>
      <c r="J5" s="46">
        <f t="shared" si="0"/>
        <v>133.33333333333334</v>
      </c>
      <c r="K5" s="46">
        <f t="shared" si="0"/>
        <v>176.47058823529412</v>
      </c>
      <c r="L5" s="46"/>
      <c r="M5" s="46">
        <v>1</v>
      </c>
      <c r="O5" s="46"/>
      <c r="P5" s="46" t="s">
        <v>208</v>
      </c>
      <c r="Q5" s="46">
        <f>80/(60-13)</f>
        <v>1.7021276595744681</v>
      </c>
      <c r="R5" s="46">
        <f>61/40</f>
        <v>1.5249999999999999</v>
      </c>
      <c r="S5" s="46">
        <f>36/26</f>
        <v>1.3846153846153846</v>
      </c>
      <c r="T5" s="46">
        <f>1/((52-10)*10/1000/1)</f>
        <v>2.3809523809523809</v>
      </c>
      <c r="U5" s="46">
        <f t="shared" ref="U5:X20" si="1">Q5*60</f>
        <v>102.12765957446808</v>
      </c>
      <c r="V5" s="46">
        <f t="shared" si="1"/>
        <v>91.5</v>
      </c>
      <c r="W5" s="46">
        <f t="shared" si="1"/>
        <v>83.07692307692308</v>
      </c>
      <c r="X5" s="46">
        <f t="shared" si="1"/>
        <v>142.85714285714286</v>
      </c>
      <c r="Y5" s="46"/>
      <c r="Z5" s="46">
        <v>1</v>
      </c>
    </row>
    <row r="6" spans="2:26">
      <c r="B6" s="46"/>
      <c r="C6" s="46" t="s">
        <v>209</v>
      </c>
      <c r="D6" s="46">
        <f>60/(50-17)</f>
        <v>1.8181818181818181</v>
      </c>
      <c r="E6" s="46">
        <f>90/(60-20)</f>
        <v>2.25</v>
      </c>
      <c r="F6" s="46">
        <f>47/(42-18)</f>
        <v>1.9583333333333333</v>
      </c>
      <c r="G6" s="46">
        <f>1/((79-9)*10/1000/2)</f>
        <v>2.8571428571428572</v>
      </c>
      <c r="H6" s="46">
        <f t="shared" si="0"/>
        <v>109.09090909090909</v>
      </c>
      <c r="I6" s="46">
        <f t="shared" si="0"/>
        <v>135</v>
      </c>
      <c r="J6" s="46">
        <f t="shared" si="0"/>
        <v>117.5</v>
      </c>
      <c r="K6" s="46">
        <f t="shared" si="0"/>
        <v>171.42857142857144</v>
      </c>
      <c r="L6" s="46">
        <v>1</v>
      </c>
      <c r="M6" s="46"/>
      <c r="O6" s="46"/>
      <c r="P6" s="46" t="s">
        <v>210</v>
      </c>
      <c r="Q6" s="46">
        <f>60/(60-24)</f>
        <v>1.6666666666666667</v>
      </c>
      <c r="R6" s="46">
        <f>60/(60-7)</f>
        <v>1.1320754716981132</v>
      </c>
      <c r="S6" s="46">
        <f>40/(60-32)</f>
        <v>1.4285714285714286</v>
      </c>
      <c r="T6" s="46">
        <f>1/((66-3)*10/1000/2)</f>
        <v>3.1746031746031744</v>
      </c>
      <c r="U6" s="46">
        <f t="shared" si="1"/>
        <v>100</v>
      </c>
      <c r="V6" s="46">
        <f t="shared" si="1"/>
        <v>67.924528301886795</v>
      </c>
      <c r="W6" s="46">
        <f t="shared" si="1"/>
        <v>85.714285714285722</v>
      </c>
      <c r="X6" s="46">
        <f t="shared" si="1"/>
        <v>190.47619047619045</v>
      </c>
      <c r="Y6" s="46">
        <v>1</v>
      </c>
      <c r="Z6" s="46"/>
    </row>
    <row r="7" spans="2:26">
      <c r="B7" s="46"/>
      <c r="C7" s="46" t="s">
        <v>211</v>
      </c>
      <c r="D7" s="46">
        <f>38/27</f>
        <v>1.4074074074074074</v>
      </c>
      <c r="E7" s="46">
        <f>60/(60-26)</f>
        <v>1.7647058823529411</v>
      </c>
      <c r="F7" s="46">
        <f>60/(60-24)</f>
        <v>1.6666666666666667</v>
      </c>
      <c r="G7" s="46">
        <f>1/((78-6)*10/1000/2)</f>
        <v>2.7777777777777777</v>
      </c>
      <c r="H7" s="46">
        <f t="shared" si="0"/>
        <v>84.444444444444443</v>
      </c>
      <c r="I7" s="46">
        <f t="shared" si="0"/>
        <v>105.88235294117646</v>
      </c>
      <c r="J7" s="46">
        <f t="shared" si="0"/>
        <v>100</v>
      </c>
      <c r="K7" s="46">
        <f t="shared" si="0"/>
        <v>166.66666666666666</v>
      </c>
      <c r="L7" s="46">
        <v>1</v>
      </c>
      <c r="M7" s="46"/>
      <c r="O7" s="46"/>
      <c r="P7" s="46" t="s">
        <v>212</v>
      </c>
      <c r="Q7" s="46">
        <f>51/30</f>
        <v>1.7</v>
      </c>
      <c r="R7" s="46">
        <f>40/(60-22)</f>
        <v>1.0526315789473684</v>
      </c>
      <c r="S7" s="46">
        <f>40/(60-26)</f>
        <v>1.1764705882352942</v>
      </c>
      <c r="T7" s="46">
        <f>1/((50-17)*10/1000/1)</f>
        <v>3.0303030303030303</v>
      </c>
      <c r="U7" s="46">
        <f t="shared" si="1"/>
        <v>102</v>
      </c>
      <c r="V7" s="46">
        <f t="shared" si="1"/>
        <v>63.157894736842103</v>
      </c>
      <c r="W7" s="46">
        <f t="shared" si="1"/>
        <v>70.588235294117652</v>
      </c>
      <c r="X7" s="46">
        <f t="shared" si="1"/>
        <v>181.81818181818181</v>
      </c>
      <c r="Y7" s="46">
        <v>1</v>
      </c>
      <c r="Z7" s="46"/>
    </row>
    <row r="8" spans="2:26">
      <c r="B8" s="46"/>
      <c r="C8" s="46" t="s">
        <v>213</v>
      </c>
      <c r="D8" s="46">
        <f>50/30</f>
        <v>1.6666666666666667</v>
      </c>
      <c r="E8" s="46">
        <f>59/26</f>
        <v>2.2692307692307692</v>
      </c>
      <c r="F8" s="46">
        <f>46/24</f>
        <v>1.9166666666666667</v>
      </c>
      <c r="G8" s="46">
        <f>1/((47-2)*10/1000/1)</f>
        <v>2.2222222222222223</v>
      </c>
      <c r="H8" s="46">
        <f t="shared" si="0"/>
        <v>100</v>
      </c>
      <c r="I8" s="46">
        <f t="shared" si="0"/>
        <v>136.15384615384616</v>
      </c>
      <c r="J8" s="46">
        <f t="shared" si="0"/>
        <v>115</v>
      </c>
      <c r="K8" s="46">
        <f t="shared" si="0"/>
        <v>133.33333333333334</v>
      </c>
      <c r="L8" s="46">
        <v>1</v>
      </c>
      <c r="M8" s="46"/>
      <c r="O8" s="46"/>
      <c r="P8" s="46" t="s">
        <v>214</v>
      </c>
      <c r="Q8" s="46">
        <f>80/(60-11)</f>
        <v>1.6326530612244898</v>
      </c>
      <c r="R8" s="46">
        <f>60/(60-10)</f>
        <v>1.2</v>
      </c>
      <c r="S8" s="46">
        <f>33/26</f>
        <v>1.2692307692307692</v>
      </c>
      <c r="T8" s="46">
        <f>1/((72-30)*10/1000/1)</f>
        <v>2.3809523809523809</v>
      </c>
      <c r="U8" s="46">
        <f t="shared" si="1"/>
        <v>97.959183673469397</v>
      </c>
      <c r="V8" s="46">
        <f t="shared" si="1"/>
        <v>72</v>
      </c>
      <c r="W8" s="46">
        <f t="shared" si="1"/>
        <v>76.153846153846146</v>
      </c>
      <c r="X8" s="46">
        <f t="shared" si="1"/>
        <v>142.85714285714286</v>
      </c>
      <c r="Y8" s="46"/>
      <c r="Z8" s="46">
        <v>1</v>
      </c>
    </row>
    <row r="9" spans="2:26">
      <c r="B9" s="46" t="s">
        <v>216</v>
      </c>
      <c r="C9" s="46" t="s">
        <v>205</v>
      </c>
      <c r="D9" s="46">
        <f>(42/(30-12)+43/20)/2</f>
        <v>2.2416666666666667</v>
      </c>
      <c r="E9" s="46">
        <f>80/(60-26)</f>
        <v>2.3529411764705883</v>
      </c>
      <c r="F9" s="46">
        <f>100/(56-7)</f>
        <v>2.0408163265306123</v>
      </c>
      <c r="G9" s="46">
        <f>1/((49-7)*10/1000/1)</f>
        <v>2.3809523809523809</v>
      </c>
      <c r="H9" s="46">
        <f t="shared" ref="H9:J11" si="2">D9*60</f>
        <v>134.5</v>
      </c>
      <c r="I9" s="46">
        <f t="shared" si="2"/>
        <v>141.1764705882353</v>
      </c>
      <c r="J9" s="46">
        <f t="shared" si="2"/>
        <v>122.44897959183673</v>
      </c>
      <c r="K9" s="46">
        <f>G9*60</f>
        <v>142.85714285714286</v>
      </c>
      <c r="L9" s="46">
        <v>1</v>
      </c>
      <c r="M9" s="46"/>
      <c r="N9" s="6"/>
      <c r="O9" s="46"/>
      <c r="P9" s="46" t="s">
        <v>215</v>
      </c>
      <c r="Q9" s="46">
        <f>50/(60-29)</f>
        <v>1.6129032258064515</v>
      </c>
      <c r="R9" s="46">
        <f>50/(60-17)</f>
        <v>1.1627906976744187</v>
      </c>
      <c r="S9" s="46">
        <f>36/30</f>
        <v>1.2</v>
      </c>
      <c r="T9" s="46">
        <f>1/((73-32)*10/1000/1)</f>
        <v>2.4390243902439024</v>
      </c>
      <c r="U9" s="46">
        <f t="shared" si="1"/>
        <v>96.774193548387089</v>
      </c>
      <c r="V9" s="46">
        <f t="shared" si="1"/>
        <v>69.767441860465127</v>
      </c>
      <c r="W9" s="46">
        <f t="shared" si="1"/>
        <v>72</v>
      </c>
      <c r="X9" s="46">
        <f t="shared" si="1"/>
        <v>146.34146341463415</v>
      </c>
      <c r="Y9" s="46"/>
      <c r="Z9" s="46">
        <v>1</v>
      </c>
    </row>
    <row r="10" spans="2:26">
      <c r="B10" s="46"/>
      <c r="C10" s="46" t="s">
        <v>207</v>
      </c>
      <c r="D10" s="46">
        <f>(24/(37-28)+15/6+43/(22-6))/3</f>
        <v>2.6180555555555554</v>
      </c>
      <c r="E10" s="46">
        <f>100/(60-15)</f>
        <v>2.2222222222222223</v>
      </c>
      <c r="F10" s="46">
        <f>80/(48-9)</f>
        <v>2.0512820512820511</v>
      </c>
      <c r="G10" s="46">
        <f>1/((62-8)*10/1000/2)</f>
        <v>3.7037037037037033</v>
      </c>
      <c r="H10" s="46">
        <f t="shared" si="2"/>
        <v>157.08333333333331</v>
      </c>
      <c r="I10" s="46">
        <f t="shared" si="2"/>
        <v>133.33333333333334</v>
      </c>
      <c r="J10" s="46">
        <f t="shared" si="2"/>
        <v>123.07692307692307</v>
      </c>
      <c r="K10" s="46">
        <f>G10*60</f>
        <v>222.2222222222222</v>
      </c>
      <c r="L10" s="46"/>
      <c r="M10" s="46">
        <v>1</v>
      </c>
      <c r="O10" s="46" t="s">
        <v>216</v>
      </c>
      <c r="P10" s="46" t="s">
        <v>206</v>
      </c>
      <c r="Q10" s="46">
        <f>63/28</f>
        <v>2.25</v>
      </c>
      <c r="R10" s="46">
        <f>19/26</f>
        <v>0.73076923076923073</v>
      </c>
      <c r="S10" s="46">
        <f>120/(60-7)</f>
        <v>2.2641509433962264</v>
      </c>
      <c r="T10" s="46">
        <f>1/((72-9)*10/1000/2)</f>
        <v>3.1746031746031744</v>
      </c>
      <c r="U10" s="46">
        <f t="shared" si="1"/>
        <v>135</v>
      </c>
      <c r="V10" s="46">
        <f t="shared" si="1"/>
        <v>43.846153846153847</v>
      </c>
      <c r="W10" s="46">
        <f t="shared" si="1"/>
        <v>135.84905660377359</v>
      </c>
      <c r="X10" s="46">
        <f t="shared" si="1"/>
        <v>190.47619047619045</v>
      </c>
      <c r="Y10" s="46"/>
      <c r="Z10" s="46">
        <v>1</v>
      </c>
    </row>
    <row r="11" spans="2:26">
      <c r="B11" s="46"/>
      <c r="C11" s="46" t="s">
        <v>209</v>
      </c>
      <c r="D11" s="46">
        <f>60/(66-35)</f>
        <v>1.935483870967742</v>
      </c>
      <c r="E11" s="46">
        <f>72/(51-12)</f>
        <v>1.8461538461538463</v>
      </c>
      <c r="F11" s="46">
        <f>94/60</f>
        <v>1.5666666666666667</v>
      </c>
      <c r="G11" s="46">
        <f>1/((65-34)*10/1000/1)</f>
        <v>3.2258064516129035</v>
      </c>
      <c r="H11" s="46">
        <f t="shared" si="2"/>
        <v>116.12903225806451</v>
      </c>
      <c r="I11" s="46">
        <f t="shared" si="2"/>
        <v>110.76923076923077</v>
      </c>
      <c r="J11" s="46">
        <f t="shared" si="2"/>
        <v>94</v>
      </c>
      <c r="K11" s="46">
        <f>G11*60</f>
        <v>193.54838709677421</v>
      </c>
      <c r="L11" s="46">
        <v>1</v>
      </c>
      <c r="M11" s="46"/>
      <c r="O11" s="46"/>
      <c r="P11" s="46" t="s">
        <v>208</v>
      </c>
      <c r="Q11" s="46">
        <f>60/27</f>
        <v>2.2222222222222223</v>
      </c>
      <c r="R11" s="46">
        <f>46/52</f>
        <v>0.88461538461538458</v>
      </c>
      <c r="S11" s="46">
        <f>70/(60-18)</f>
        <v>1.6666666666666667</v>
      </c>
      <c r="T11" s="46">
        <f>1/((65-35)*10/1000/1)</f>
        <v>3.3333333333333335</v>
      </c>
      <c r="U11" s="46">
        <f t="shared" si="1"/>
        <v>133.33333333333334</v>
      </c>
      <c r="V11" s="46">
        <f t="shared" si="1"/>
        <v>53.076923076923073</v>
      </c>
      <c r="W11" s="46">
        <f t="shared" si="1"/>
        <v>100</v>
      </c>
      <c r="X11" s="46">
        <f t="shared" si="1"/>
        <v>200</v>
      </c>
      <c r="Y11" s="46"/>
      <c r="Z11" s="46">
        <v>1</v>
      </c>
    </row>
    <row r="12" spans="2:26">
      <c r="B12" s="46" t="s">
        <v>217</v>
      </c>
      <c r="C12" s="46" t="s">
        <v>205</v>
      </c>
      <c r="D12" s="46">
        <f>'[4]2020_01_09'!C4</f>
        <v>2.8</v>
      </c>
      <c r="E12" s="46">
        <f>'[4]2020_01_09'!E4</f>
        <v>2.7272727272727271</v>
      </c>
      <c r="F12" s="46">
        <f>'[4]2020_01_09'!F4</f>
        <v>2.9166666666666665</v>
      </c>
      <c r="G12" s="46">
        <f>1/((68-14)*10/1000/2)</f>
        <v>3.7037037037037033</v>
      </c>
      <c r="H12" s="46">
        <f>'[4]2020_01_09'!H4</f>
        <v>168</v>
      </c>
      <c r="I12" s="46">
        <f>'[4]2020_01_09'!I4</f>
        <v>163.63636363636363</v>
      </c>
      <c r="J12" s="46">
        <f>'[4]2020_01_09'!J4</f>
        <v>175</v>
      </c>
      <c r="K12" s="46">
        <f>G12*60</f>
        <v>222.2222222222222</v>
      </c>
      <c r="L12" s="46">
        <v>1</v>
      </c>
      <c r="M12" s="46"/>
      <c r="O12" s="46"/>
      <c r="P12" s="46" t="s">
        <v>210</v>
      </c>
      <c r="Q12" s="46">
        <f>60/(60-32)</f>
        <v>2.1428571428571428</v>
      </c>
      <c r="R12" s="46">
        <f>50/(60-19)</f>
        <v>1.2195121951219512</v>
      </c>
      <c r="S12" s="46">
        <f>50/(45-18)</f>
        <v>1.8518518518518519</v>
      </c>
      <c r="T12" s="46">
        <f>1/((52-2)*10/1000/1)</f>
        <v>2</v>
      </c>
      <c r="U12" s="46">
        <f t="shared" si="1"/>
        <v>128.57142857142856</v>
      </c>
      <c r="V12" s="46">
        <f t="shared" si="1"/>
        <v>73.170731707317074</v>
      </c>
      <c r="W12" s="46">
        <f t="shared" si="1"/>
        <v>111.11111111111111</v>
      </c>
      <c r="X12" s="46">
        <f t="shared" si="1"/>
        <v>120</v>
      </c>
      <c r="Y12" s="46"/>
      <c r="Z12" s="46">
        <v>1</v>
      </c>
    </row>
    <row r="13" spans="2:26">
      <c r="B13" s="46"/>
      <c r="C13" s="46" t="s">
        <v>207</v>
      </c>
      <c r="D13" s="46">
        <f>'[4]2020_01_09'!C5</f>
        <v>2.5833333333333335</v>
      </c>
      <c r="E13" s="46">
        <f>'[4]2020_01_09'!E5</f>
        <v>2.5</v>
      </c>
      <c r="F13" s="46">
        <f>'[4]2020_01_09'!F5</f>
        <v>3.5</v>
      </c>
      <c r="G13" s="46">
        <f>1/((59-2)*10/1000/2)</f>
        <v>3.5087719298245617</v>
      </c>
      <c r="H13" s="46">
        <f>'[4]2020_01_09'!H5</f>
        <v>155</v>
      </c>
      <c r="I13" s="46">
        <f>'[4]2020_01_09'!I5</f>
        <v>150</v>
      </c>
      <c r="J13" s="46">
        <f>'[4]2020_01_09'!J5</f>
        <v>210</v>
      </c>
      <c r="K13" s="46">
        <f>G13*60</f>
        <v>210.5263157894737</v>
      </c>
      <c r="L13" s="46">
        <v>1</v>
      </c>
      <c r="M13" s="46"/>
      <c r="O13" s="46" t="s">
        <v>217</v>
      </c>
      <c r="P13" s="46" t="s">
        <v>208</v>
      </c>
      <c r="Q13" s="46">
        <f>'[4]2020_01_09'!C13</f>
        <v>2.9629629629629628</v>
      </c>
      <c r="R13" s="46">
        <f>'[4]2020_01_09'!E13</f>
        <v>2.1923076923076925</v>
      </c>
      <c r="S13" s="46">
        <f>'[4]2020_01_09'!F13</f>
        <v>2</v>
      </c>
      <c r="T13" s="46">
        <f>1/((66-6)*10/1000/2)</f>
        <v>3.3333333333333335</v>
      </c>
      <c r="U13" s="46">
        <f>'[4]2020_01_09'!H13</f>
        <v>177.77777777777777</v>
      </c>
      <c r="V13" s="46">
        <f>'[4]2020_01_09'!I13</f>
        <v>131.53846153846155</v>
      </c>
      <c r="W13" s="46">
        <f>'[4]2020_01_09'!J13</f>
        <v>120</v>
      </c>
      <c r="X13" s="46">
        <f t="shared" si="1"/>
        <v>200</v>
      </c>
      <c r="Y13" s="46"/>
      <c r="Z13" s="46">
        <v>1</v>
      </c>
    </row>
    <row r="14" spans="2:26">
      <c r="B14" s="46"/>
      <c r="C14" s="46" t="s">
        <v>209</v>
      </c>
      <c r="D14" s="46">
        <f>'[4]2020_01_09'!C6</f>
        <v>2.8125</v>
      </c>
      <c r="E14" s="46">
        <f>'[4]2020_01_09'!E6</f>
        <v>2.4324324324324325</v>
      </c>
      <c r="F14" s="46">
        <f>'[4]2020_01_09'!F6</f>
        <v>3</v>
      </c>
      <c r="G14" s="46">
        <f>1/((65-15)*10/1000/2)</f>
        <v>4</v>
      </c>
      <c r="H14" s="46">
        <f>'[4]2020_01_09'!H6</f>
        <v>168.75</v>
      </c>
      <c r="I14" s="46">
        <f>'[4]2020_01_09'!I6</f>
        <v>145.94594594594594</v>
      </c>
      <c r="J14" s="46">
        <f>'[4]2020_01_09'!J6</f>
        <v>180</v>
      </c>
      <c r="K14" s="46">
        <f>G14*60</f>
        <v>240</v>
      </c>
      <c r="L14" s="46">
        <v>1</v>
      </c>
      <c r="M14" s="46"/>
      <c r="O14" s="46"/>
      <c r="P14" s="46" t="s">
        <v>210</v>
      </c>
      <c r="Q14" s="46">
        <f>'[4]2020_01_09'!C14</f>
        <v>2.8181818181818183</v>
      </c>
      <c r="R14" s="46">
        <f>'[4]2020_01_09'!E14</f>
        <v>2</v>
      </c>
      <c r="S14" s="46">
        <f>'[4]2020_01_09'!F14</f>
        <v>2.2000000000000002</v>
      </c>
      <c r="T14" s="46">
        <f>1/((61-2)*10/1000/2)</f>
        <v>3.3898305084745766</v>
      </c>
      <c r="U14" s="46">
        <f>'[4]2020_01_09'!H14</f>
        <v>169.09090909090909</v>
      </c>
      <c r="V14" s="46">
        <f>'[4]2020_01_09'!I14</f>
        <v>120</v>
      </c>
      <c r="W14" s="46">
        <f>'[4]2020_01_09'!J14</f>
        <v>132</v>
      </c>
      <c r="X14" s="46">
        <f t="shared" si="1"/>
        <v>203.3898305084746</v>
      </c>
      <c r="Y14" s="46"/>
      <c r="Z14" s="46">
        <v>1</v>
      </c>
    </row>
    <row r="15" spans="2:26">
      <c r="B15" s="46"/>
      <c r="C15" s="46" t="s">
        <v>211</v>
      </c>
      <c r="D15" s="46">
        <f>'[4]2020_01_09'!C7</f>
        <v>2.7272727272727271</v>
      </c>
      <c r="E15" s="46">
        <f>'[4]2020_01_09'!E7</f>
        <v>2.5</v>
      </c>
      <c r="F15" s="46">
        <f>'[4]2020_01_09'!F7</f>
        <v>2.6</v>
      </c>
      <c r="G15" s="46">
        <f>1/((58-7)*10/1000/2)</f>
        <v>3.9215686274509802</v>
      </c>
      <c r="H15" s="46">
        <f>'[4]2020_01_09'!H7</f>
        <v>163.63636363636363</v>
      </c>
      <c r="I15" s="46">
        <f>'[4]2020_01_09'!I7</f>
        <v>150</v>
      </c>
      <c r="J15" s="46">
        <f>'[4]2020_01_09'!J7</f>
        <v>156</v>
      </c>
      <c r="K15" s="46">
        <f>G15*60</f>
        <v>235.29411764705881</v>
      </c>
      <c r="L15" s="46">
        <v>1</v>
      </c>
      <c r="M15" s="46"/>
      <c r="O15" s="46"/>
      <c r="P15" s="46" t="s">
        <v>212</v>
      </c>
      <c r="Q15" s="46">
        <f>'[4]2020_01_09'!C15</f>
        <v>2.8205128205128207</v>
      </c>
      <c r="R15" s="46">
        <f>'[4]2020_01_09'!E15</f>
        <v>2</v>
      </c>
      <c r="S15" s="46">
        <f>'[4]2020_01_09'!F15</f>
        <v>2.263157894736842</v>
      </c>
      <c r="T15" s="46">
        <f>1/((68-8)*10/1000/2)</f>
        <v>3.3333333333333335</v>
      </c>
      <c r="U15" s="46">
        <f>'[4]2020_01_09'!H15</f>
        <v>155</v>
      </c>
      <c r="V15" s="46">
        <f>'[4]2020_01_09'!I15</f>
        <v>120</v>
      </c>
      <c r="W15" s="46">
        <f>'[4]2020_01_09'!J15</f>
        <v>135.78947368421052</v>
      </c>
      <c r="X15" s="46">
        <f t="shared" si="1"/>
        <v>200</v>
      </c>
      <c r="Y15" s="46"/>
      <c r="Z15" s="46">
        <v>1</v>
      </c>
    </row>
    <row r="16" spans="2:26">
      <c r="B16" s="46"/>
      <c r="C16" s="46" t="s">
        <v>218</v>
      </c>
      <c r="D16" s="46">
        <f>'[4]2020_01_09'!C8</f>
        <v>2.6666666666666665</v>
      </c>
      <c r="E16" s="46">
        <f>'[4]2020_01_09'!E8</f>
        <v>2.6086956521739131</v>
      </c>
      <c r="F16" s="46">
        <f>'[4]2020_01_09'!F8</f>
        <v>2.53125</v>
      </c>
      <c r="G16" s="46">
        <f>1/((68-20)*10/1000/2)</f>
        <v>4.166666666666667</v>
      </c>
      <c r="H16" s="46">
        <f>'[4]2020_01_09'!H8</f>
        <v>160</v>
      </c>
      <c r="I16" s="46">
        <f>'[4]2020_01_09'!I8</f>
        <v>156.52173913043478</v>
      </c>
      <c r="J16" s="46">
        <f>'[4]2020_01_09'!J8</f>
        <v>151.875</v>
      </c>
      <c r="K16" s="46">
        <f>G16*60</f>
        <v>250.00000000000003</v>
      </c>
      <c r="L16" s="46">
        <v>1</v>
      </c>
      <c r="M16" s="46"/>
      <c r="O16" s="46"/>
      <c r="P16" s="46" t="s">
        <v>214</v>
      </c>
      <c r="Q16" s="46">
        <f>'[4]2020_01_09'!C16</f>
        <v>2.6333333333333333</v>
      </c>
      <c r="R16" s="46">
        <f>'[4]2020_01_09'!E16</f>
        <v>1.35</v>
      </c>
      <c r="S16" s="46">
        <f>'[4]2020_01_09'!F16</f>
        <v>2</v>
      </c>
      <c r="T16" s="46">
        <f>1/((59-4)*10/1000/2)</f>
        <v>3.6363636363636362</v>
      </c>
      <c r="U16" s="46">
        <f>'[4]2020_01_09'!H16</f>
        <v>168.75</v>
      </c>
      <c r="V16" s="46">
        <f>'[4]2020_01_09'!I16</f>
        <v>81</v>
      </c>
      <c r="W16" s="46">
        <f>'[4]2020_01_09'!J16</f>
        <v>120</v>
      </c>
      <c r="X16" s="46">
        <f t="shared" si="1"/>
        <v>218.18181818181819</v>
      </c>
      <c r="Y16" s="46"/>
      <c r="Z16" s="46">
        <v>1</v>
      </c>
    </row>
    <row r="17" spans="2:26">
      <c r="B17" s="46" t="s">
        <v>219</v>
      </c>
      <c r="C17" s="46" t="s">
        <v>205</v>
      </c>
      <c r="D17" s="46">
        <f>'[4]2020_01_13'!C4</f>
        <v>2.7</v>
      </c>
      <c r="E17" s="46">
        <f>'[4]2020_01_13'!E4</f>
        <v>2.5806451612903225</v>
      </c>
      <c r="F17" s="46">
        <f>'[4]2020_01_13'!F4</f>
        <v>3.3461538461538463</v>
      </c>
      <c r="G17" s="46">
        <f>1/((77-10)*10/1000/3)</f>
        <v>4.4776119402985071</v>
      </c>
      <c r="H17" s="46">
        <f>'[4]2020_01_13'!H4</f>
        <v>162</v>
      </c>
      <c r="I17" s="46">
        <f>'[4]2020_01_13'!I4</f>
        <v>154.83870967741936</v>
      </c>
      <c r="J17" s="46">
        <f>'[4]2020_01_13'!J4</f>
        <v>200.76923076923077</v>
      </c>
      <c r="K17" s="46">
        <f>G17*60</f>
        <v>268.65671641791045</v>
      </c>
      <c r="L17" s="46"/>
      <c r="M17" s="46">
        <v>1</v>
      </c>
      <c r="O17" s="46"/>
      <c r="P17" s="46" t="s">
        <v>215</v>
      </c>
      <c r="Q17" s="46">
        <f>'[4]2020_01_09'!C17</f>
        <v>2.7027027027027026</v>
      </c>
      <c r="R17" s="46">
        <f>'[4]2020_01_09'!E17</f>
        <v>2.1666666666666665</v>
      </c>
      <c r="S17" s="46">
        <f>'[4]2020_01_09'!F17</f>
        <v>1.9047619047619047</v>
      </c>
      <c r="T17" s="46">
        <f>1/((75-14)*10/1000/2)</f>
        <v>3.278688524590164</v>
      </c>
      <c r="U17" s="46">
        <f>'[4]2020_01_09'!H17</f>
        <v>169.23076923076925</v>
      </c>
      <c r="V17" s="46">
        <f>'[4]2020_01_09'!I17</f>
        <v>130</v>
      </c>
      <c r="W17" s="46">
        <f>'[4]2020_01_09'!J17</f>
        <v>114.28571428571428</v>
      </c>
      <c r="X17" s="46">
        <f t="shared" si="1"/>
        <v>196.72131147540983</v>
      </c>
      <c r="Y17" s="46"/>
      <c r="Z17" s="46">
        <v>1</v>
      </c>
    </row>
    <row r="18" spans="2:26">
      <c r="B18" s="46"/>
      <c r="C18" s="46" t="s">
        <v>207</v>
      </c>
      <c r="D18" s="46">
        <f>'[4]2020_01_13'!C5</f>
        <v>2.2222222222222223</v>
      </c>
      <c r="E18" s="46">
        <f>'[4]2020_01_13'!E5</f>
        <v>2.5</v>
      </c>
      <c r="F18" s="46">
        <f>'[4]2020_01_13'!F5</f>
        <v>3.5</v>
      </c>
      <c r="G18" s="46">
        <f>1/((79-5)*10/1000/3)</f>
        <v>4.0540540540540544</v>
      </c>
      <c r="H18" s="46">
        <f>'[4]2020_01_13'!H5</f>
        <v>133.33333333333334</v>
      </c>
      <c r="I18" s="46">
        <f>'[4]2020_01_13'!I5</f>
        <v>150</v>
      </c>
      <c r="J18" s="46">
        <f>'[4]2020_01_13'!J5</f>
        <v>210</v>
      </c>
      <c r="K18" s="46">
        <f>G18*60</f>
        <v>243.24324324324326</v>
      </c>
      <c r="L18" s="46">
        <v>1</v>
      </c>
      <c r="M18" s="46"/>
      <c r="O18" s="46" t="s">
        <v>219</v>
      </c>
      <c r="P18" s="46" t="s">
        <v>206</v>
      </c>
      <c r="Q18" s="46">
        <f>'[4]2020_01_13'!C13</f>
        <v>3.0434782608695654</v>
      </c>
      <c r="R18" s="46">
        <f>'[4]2020_01_13'!E13</f>
        <v>2.096774193548387</v>
      </c>
      <c r="S18" s="46">
        <f>'[4]2020_01_13'!F13</f>
        <v>2.5</v>
      </c>
      <c r="T18" s="46">
        <f>1/((64-17)*10/1000/2)</f>
        <v>4.2553191489361701</v>
      </c>
      <c r="U18" s="46">
        <f>'[4]2020_01_13'!H13</f>
        <v>182.60869565217394</v>
      </c>
      <c r="V18" s="46">
        <f>'[4]2020_01_13'!I13</f>
        <v>125.80645161290322</v>
      </c>
      <c r="W18" s="46">
        <f>'[4]2020_01_13'!J13</f>
        <v>150</v>
      </c>
      <c r="X18" s="46">
        <f t="shared" si="1"/>
        <v>255.31914893617022</v>
      </c>
      <c r="Y18" s="46"/>
      <c r="Z18" s="46">
        <v>1</v>
      </c>
    </row>
    <row r="19" spans="2:26">
      <c r="B19" s="46"/>
      <c r="C19" s="46" t="s">
        <v>211</v>
      </c>
      <c r="D19" s="46">
        <f>'[4]2020_01_13'!C6</f>
        <v>2.6333333333333333</v>
      </c>
      <c r="E19" s="46">
        <f>'[4]2020_01_13'!E6</f>
        <v>2.4666666666666668</v>
      </c>
      <c r="F19" s="46">
        <f>'[4]2020_01_13'!F6</f>
        <v>3.0434782608695654</v>
      </c>
      <c r="G19" s="46">
        <f>1/((74-5)*10/1000/3)</f>
        <v>4.3478260869565224</v>
      </c>
      <c r="H19" s="46">
        <f>'[4]2020_01_13'!H6</f>
        <v>158</v>
      </c>
      <c r="I19" s="46">
        <f>'[4]2020_01_13'!I6</f>
        <v>148</v>
      </c>
      <c r="J19" s="46">
        <f>'[4]2020_01_13'!J6</f>
        <v>182.60869565217394</v>
      </c>
      <c r="K19" s="46">
        <f>G19*60</f>
        <v>260.86956521739137</v>
      </c>
      <c r="L19" s="46">
        <v>1</v>
      </c>
      <c r="M19" s="46"/>
      <c r="O19" s="46"/>
      <c r="P19" s="46" t="s">
        <v>208</v>
      </c>
      <c r="Q19" s="46">
        <f>'[4]2020_01_13'!C14</f>
        <v>2.9333333333333331</v>
      </c>
      <c r="R19" s="46">
        <f>'[4]2020_01_13'!E14</f>
        <v>2.1481481481481484</v>
      </c>
      <c r="S19" s="46">
        <f>'[4]2020_01_13'!F14</f>
        <v>2.6154891304347827</v>
      </c>
      <c r="T19" s="46">
        <f>1/((62-14)*10/1000/2)</f>
        <v>4.166666666666667</v>
      </c>
      <c r="U19" s="46">
        <f>'[4]2020_01_13'!H14</f>
        <v>176</v>
      </c>
      <c r="V19" s="46">
        <f>'[4]2020_01_13'!I14</f>
        <v>128.88888888888891</v>
      </c>
      <c r="W19" s="46">
        <f>'[4]2020_01_13'!J14</f>
        <v>156.92934782608697</v>
      </c>
      <c r="X19" s="46">
        <f t="shared" si="1"/>
        <v>250.00000000000003</v>
      </c>
      <c r="Y19" s="46">
        <v>1</v>
      </c>
      <c r="Z19" s="46"/>
    </row>
    <row r="20" spans="2:26">
      <c r="B20" s="46"/>
      <c r="C20" s="46" t="s">
        <v>213</v>
      </c>
      <c r="D20" s="46">
        <f>'[4]2020_01_13'!C7</f>
        <v>2.6315789473684212</v>
      </c>
      <c r="E20" s="46">
        <f>'[4]2020_01_13'!E7</f>
        <v>2.4242424242424243</v>
      </c>
      <c r="F20" s="46">
        <f>'[4]2020_01_13'!F7</f>
        <v>3.0769230769230771</v>
      </c>
      <c r="G20" s="46">
        <f>1/((74-5)*10/1000/3)</f>
        <v>4.3478260869565224</v>
      </c>
      <c r="H20" s="46">
        <f>'[4]2020_01_13'!H7</f>
        <v>157.89473684210526</v>
      </c>
      <c r="I20" s="46">
        <f>'[4]2020_01_13'!I7</f>
        <v>145.45454545454547</v>
      </c>
      <c r="J20" s="46">
        <f>'[4]2020_01_13'!J7</f>
        <v>184.61538461538461</v>
      </c>
      <c r="K20" s="46">
        <f>G20*60</f>
        <v>260.86956521739137</v>
      </c>
      <c r="L20" s="46"/>
      <c r="M20" s="46">
        <v>1</v>
      </c>
      <c r="O20" s="46"/>
      <c r="P20" s="46" t="s">
        <v>210</v>
      </c>
      <c r="Q20" s="46">
        <f>'[4]2020_01_13'!C15</f>
        <v>2.6</v>
      </c>
      <c r="R20" s="46">
        <f>'[4]2020_01_13'!E15</f>
        <v>2.2916666666666665</v>
      </c>
      <c r="S20" s="46">
        <f>'[4]2020_01_13'!F15</f>
        <v>2.5238095238095237</v>
      </c>
      <c r="T20" s="46">
        <f>1/((69-22)*10/1000/2)</f>
        <v>4.2553191489361701</v>
      </c>
      <c r="U20" s="46">
        <f>'[4]2020_01_13'!H15</f>
        <v>156</v>
      </c>
      <c r="V20" s="46">
        <f>'[4]2020_01_13'!I15</f>
        <v>137.5</v>
      </c>
      <c r="W20" s="46">
        <f>'[4]2020_01_13'!J15</f>
        <v>151.42857142857142</v>
      </c>
      <c r="X20" s="46">
        <f t="shared" si="1"/>
        <v>255.31914893617022</v>
      </c>
      <c r="Y20" s="46">
        <v>1</v>
      </c>
      <c r="Z20" s="46"/>
    </row>
    <row r="21" spans="2:26">
      <c r="B21" s="46"/>
      <c r="C21" s="46" t="s">
        <v>218</v>
      </c>
      <c r="D21" s="46">
        <f>'[4]2020_01_13'!C8</f>
        <v>2.4666666666666668</v>
      </c>
      <c r="E21" s="46">
        <f>'[4]2020_01_13'!E8</f>
        <v>3.2</v>
      </c>
      <c r="F21" s="46">
        <f>'[4]2020_01_13'!F8</f>
        <v>2.5806451612903225</v>
      </c>
      <c r="G21" s="46">
        <f>1/((36-11)*10/1000/1)</f>
        <v>4</v>
      </c>
      <c r="H21" s="46">
        <f>'[4]2020_01_13'!H8</f>
        <v>148</v>
      </c>
      <c r="I21" s="46">
        <f>'[4]2020_01_13'!I8</f>
        <v>192</v>
      </c>
      <c r="J21" s="46">
        <f>'[4]2020_01_13'!J8</f>
        <v>154.83870967741936</v>
      </c>
      <c r="K21" s="46">
        <f>G21*60</f>
        <v>240</v>
      </c>
      <c r="L21" s="46"/>
      <c r="M21" s="46">
        <v>1</v>
      </c>
      <c r="O21" s="46"/>
      <c r="P21" s="46" t="s">
        <v>212</v>
      </c>
      <c r="Q21" s="46">
        <f>'[4]2020_01_13'!C16</f>
        <v>2.4285714285714284</v>
      </c>
      <c r="R21" s="46">
        <f>'[4]2020_01_13'!E16</f>
        <v>2.0588235294117645</v>
      </c>
      <c r="S21" s="46">
        <f>'[4]2020_01_13'!F16</f>
        <v>1.7647058823529411</v>
      </c>
      <c r="T21" s="46">
        <f>1/((69-22)*10/1000/2)</f>
        <v>4.2553191489361701</v>
      </c>
      <c r="U21" s="46">
        <f>'[4]2020_01_13'!H16</f>
        <v>145.71428571428569</v>
      </c>
      <c r="V21" s="46">
        <f>'[4]2020_01_13'!I16</f>
        <v>123.52941176470587</v>
      </c>
      <c r="W21" s="46">
        <f>'[4]2020_01_13'!J16</f>
        <v>105.88235294117646</v>
      </c>
      <c r="X21" s="46">
        <f t="shared" ref="X21:X38" si="3">T21*60</f>
        <v>255.31914893617022</v>
      </c>
      <c r="Y21" s="46"/>
      <c r="Z21" s="46">
        <v>1</v>
      </c>
    </row>
    <row r="22" spans="2:26"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O22" s="46"/>
      <c r="P22" s="46" t="s">
        <v>214</v>
      </c>
      <c r="Q22" s="46">
        <f>'[4]2020_01_13'!C17</f>
        <v>2.6666666666666665</v>
      </c>
      <c r="R22" s="46">
        <f>'[4]2020_01_13'!E17</f>
        <v>2.1363636363636362</v>
      </c>
      <c r="S22" s="46">
        <f>'[4]2020_01_13'!F17</f>
        <v>1.896551724137931</v>
      </c>
      <c r="T22" s="46">
        <f>1/((74-19)*10/1000/2)</f>
        <v>3.6363636363636362</v>
      </c>
      <c r="U22" s="46">
        <f>'[4]2020_01_13'!H17</f>
        <v>160</v>
      </c>
      <c r="V22" s="46">
        <f>'[4]2020_01_13'!I17</f>
        <v>128.18181818181819</v>
      </c>
      <c r="W22" s="46">
        <f>'[4]2020_01_13'!J17</f>
        <v>113.79310344827586</v>
      </c>
      <c r="X22" s="46">
        <f t="shared" si="3"/>
        <v>218.18181818181819</v>
      </c>
      <c r="Y22" s="46"/>
      <c r="Z22" s="46">
        <v>1</v>
      </c>
    </row>
    <row r="23" spans="2:26">
      <c r="B23" s="46"/>
      <c r="C23" s="94" t="s">
        <v>17</v>
      </c>
      <c r="D23" s="94">
        <f>AVERAGE(D4:D21)</f>
        <v>2.3133949773546072</v>
      </c>
      <c r="E23" s="94">
        <f>AVERAGE(E4:E21)</f>
        <v>2.4131597570653067</v>
      </c>
      <c r="F23" s="94">
        <f>AVERAGE(F4:F21)</f>
        <v>2.5860041097541515</v>
      </c>
      <c r="G23" s="94">
        <f>AVERAGE(G4:G21)</f>
        <v>3.5450785630285981</v>
      </c>
      <c r="H23" s="94">
        <f>AVERAGE(H4:H21)</f>
        <v>138.80369864127647</v>
      </c>
      <c r="I23" s="94">
        <f>AVERAGE(I4:I21)</f>
        <v>144.7895854239184</v>
      </c>
      <c r="J23" s="94">
        <f>AVERAGE(J4:J21)</f>
        <v>155.16024658524913</v>
      </c>
      <c r="K23" s="94">
        <f>AVERAGE(K4:K21)</f>
        <v>212.70471378171595</v>
      </c>
      <c r="L23" s="94">
        <f>COUNT(L4:L21)</f>
        <v>13</v>
      </c>
      <c r="M23" s="94">
        <f>COUNT(M4:M21)</f>
        <v>5</v>
      </c>
      <c r="N23" s="55"/>
      <c r="O23" s="46"/>
      <c r="P23" s="94" t="s">
        <v>17</v>
      </c>
      <c r="Q23" s="94">
        <f t="shared" ref="Q23:X23" si="4">AVERAGE(Q4:Q22)</f>
        <v>2.3220063512582696</v>
      </c>
      <c r="R23" s="94">
        <f t="shared" si="4"/>
        <v>1.6340135947098211</v>
      </c>
      <c r="S23" s="94">
        <f t="shared" si="4"/>
        <v>1.8776178723765518</v>
      </c>
      <c r="T23" s="94">
        <f t="shared" si="4"/>
        <v>3.2886637884856982</v>
      </c>
      <c r="U23" s="94">
        <f t="shared" si="4"/>
        <v>139.50921464590868</v>
      </c>
      <c r="V23" s="94">
        <f t="shared" si="4"/>
        <v>98.040815682589269</v>
      </c>
      <c r="W23" s="94">
        <f t="shared" si="4"/>
        <v>112.6570723425931</v>
      </c>
      <c r="X23" s="94">
        <f t="shared" si="4"/>
        <v>197.31982730914189</v>
      </c>
      <c r="Y23" s="94">
        <f>COUNT(Y4:Y22)</f>
        <v>5</v>
      </c>
      <c r="Z23" s="94">
        <f>COUNT(Z4:Z22)</f>
        <v>14</v>
      </c>
    </row>
    <row r="24" spans="2:26">
      <c r="B24" s="46"/>
      <c r="C24" s="46"/>
      <c r="D24" s="46"/>
      <c r="E24" s="46"/>
      <c r="F24" s="46"/>
      <c r="G24" s="46"/>
      <c r="H24" s="46"/>
      <c r="I24" s="46"/>
      <c r="J24" s="46"/>
      <c r="K24" s="46" t="s">
        <v>222</v>
      </c>
      <c r="L24" s="46">
        <f>L23/L25</f>
        <v>0.72222222222222221</v>
      </c>
      <c r="M24" s="46">
        <f>M23/L25</f>
        <v>0.27777777777777779</v>
      </c>
      <c r="O24" s="46"/>
      <c r="P24" s="94"/>
      <c r="Q24" s="94"/>
      <c r="R24" s="94"/>
      <c r="S24" s="94"/>
      <c r="T24" s="94"/>
      <c r="U24" s="94"/>
      <c r="V24" s="94"/>
      <c r="W24" s="94"/>
      <c r="X24" s="46" t="s">
        <v>222</v>
      </c>
      <c r="Y24" s="46">
        <f>Y23/Y25</f>
        <v>0.26315789473684209</v>
      </c>
      <c r="Z24" s="46">
        <f>Z23/Y25</f>
        <v>0.73684210526315785</v>
      </c>
    </row>
    <row r="25" spans="2:26">
      <c r="B25" s="46"/>
      <c r="C25" s="46"/>
      <c r="D25" s="46"/>
      <c r="E25" s="46"/>
      <c r="F25" s="46"/>
      <c r="G25" s="46"/>
      <c r="H25" s="46"/>
      <c r="I25" s="46"/>
      <c r="J25" s="46"/>
      <c r="K25" s="46" t="s">
        <v>61</v>
      </c>
      <c r="L25" s="46">
        <f>SUM(L23+M23)</f>
        <v>18</v>
      </c>
      <c r="M25" s="46"/>
      <c r="O25" s="46"/>
      <c r="P25" s="46"/>
      <c r="Q25" s="46"/>
      <c r="R25" s="46"/>
      <c r="S25" s="46"/>
      <c r="T25" s="46"/>
      <c r="U25" s="46"/>
      <c r="V25" s="46"/>
      <c r="W25" s="46"/>
      <c r="X25" s="46" t="s">
        <v>61</v>
      </c>
      <c r="Y25" s="46">
        <f>SUM(Y23+Z23)</f>
        <v>19</v>
      </c>
      <c r="Z25" s="46"/>
    </row>
    <row r="27" spans="2:26">
      <c r="C27" s="7" t="s">
        <v>220</v>
      </c>
    </row>
    <row r="29" spans="2:26">
      <c r="C29" t="s">
        <v>221</v>
      </c>
    </row>
    <row r="31" spans="2:26">
      <c r="C31" s="46" t="s">
        <v>222</v>
      </c>
      <c r="D31" s="46" t="s">
        <v>223</v>
      </c>
      <c r="E31" s="46" t="s">
        <v>198</v>
      </c>
      <c r="F31" s="46" t="s">
        <v>202</v>
      </c>
      <c r="G31" s="46" t="s">
        <v>224</v>
      </c>
    </row>
    <row r="32" spans="2:26">
      <c r="C32" s="46" t="s">
        <v>225</v>
      </c>
      <c r="D32" s="46">
        <f>U23/H23</f>
        <v>1.0050828328894574</v>
      </c>
      <c r="E32" s="46">
        <f>V23/I23</f>
        <v>0.67712615790385089</v>
      </c>
      <c r="F32" s="46">
        <f>W23/J23</f>
        <v>0.72606917571954444</v>
      </c>
      <c r="G32" s="46">
        <f>T23/G23</f>
        <v>0.92767021379525028</v>
      </c>
    </row>
    <row r="34" spans="3:13">
      <c r="C34" s="46" t="s">
        <v>226</v>
      </c>
      <c r="D34" s="46" t="s">
        <v>223</v>
      </c>
      <c r="E34" s="46" t="s">
        <v>198</v>
      </c>
      <c r="F34" s="46" t="s">
        <v>202</v>
      </c>
      <c r="G34" s="46" t="s">
        <v>224</v>
      </c>
      <c r="I34" s="46"/>
      <c r="J34" s="46" t="s">
        <v>223</v>
      </c>
      <c r="K34" s="46" t="s">
        <v>198</v>
      </c>
      <c r="L34" s="46" t="s">
        <v>202</v>
      </c>
      <c r="M34" s="46" t="s">
        <v>224</v>
      </c>
    </row>
    <row r="35" spans="3:13">
      <c r="C35" s="46" t="s">
        <v>227</v>
      </c>
      <c r="D35" s="46">
        <f>D23</f>
        <v>2.3133949773546072</v>
      </c>
      <c r="E35" s="46">
        <f>E23</f>
        <v>2.4131597570653067</v>
      </c>
      <c r="F35" s="46">
        <f>F23</f>
        <v>2.5860041097541515</v>
      </c>
      <c r="G35" s="46">
        <f>G23</f>
        <v>3.5450785630285981</v>
      </c>
      <c r="I35" s="46" t="s">
        <v>227</v>
      </c>
      <c r="J35" s="46">
        <f>D35*60</f>
        <v>138.80369864127644</v>
      </c>
      <c r="K35" s="46">
        <f t="shared" ref="K35:M36" si="5">E35*60</f>
        <v>144.7895854239184</v>
      </c>
      <c r="L35" s="46">
        <f t="shared" si="5"/>
        <v>155.1602465852491</v>
      </c>
      <c r="M35" s="46">
        <f>G35*60</f>
        <v>212.7047137817159</v>
      </c>
    </row>
    <row r="36" spans="3:13">
      <c r="C36" s="46" t="s">
        <v>225</v>
      </c>
      <c r="D36" s="46">
        <f>Q23</f>
        <v>2.3220063512582696</v>
      </c>
      <c r="E36" s="46">
        <f>R23</f>
        <v>1.6340135947098211</v>
      </c>
      <c r="F36" s="46">
        <f>S23</f>
        <v>1.8776178723765518</v>
      </c>
      <c r="G36" s="46">
        <f>T23</f>
        <v>3.2886637884856982</v>
      </c>
      <c r="I36" s="46" t="s">
        <v>225</v>
      </c>
      <c r="J36" s="46">
        <f>D36*60</f>
        <v>139.32038107549619</v>
      </c>
      <c r="K36" s="46">
        <f t="shared" si="5"/>
        <v>98.040815682589269</v>
      </c>
      <c r="L36" s="46">
        <f t="shared" si="5"/>
        <v>112.65707234259311</v>
      </c>
      <c r="M36" s="46">
        <f t="shared" si="5"/>
        <v>197.31982730914189</v>
      </c>
    </row>
    <row r="37" spans="3:13">
      <c r="I37" s="46" t="s">
        <v>228</v>
      </c>
      <c r="J37" s="46">
        <f>STDEV(H4:H21)</f>
        <v>26.784276195031616</v>
      </c>
      <c r="K37" s="46">
        <f>STDEV(I4:I21)</f>
        <v>18.759060584154405</v>
      </c>
      <c r="L37" s="46">
        <f>STDEV(J4:J21)</f>
        <v>37.44723666488305</v>
      </c>
      <c r="M37" s="46">
        <f>STDEV(K4:K21)</f>
        <v>41.625667465495823</v>
      </c>
    </row>
    <row r="38" spans="3:13">
      <c r="I38" s="46" t="s">
        <v>229</v>
      </c>
      <c r="J38" s="46">
        <f>STDEV(U4:U22)</f>
        <v>31.91833697006604</v>
      </c>
      <c r="K38" s="46">
        <f>STDEV(V4:V22)</f>
        <v>31.155717524983995</v>
      </c>
      <c r="L38" s="46">
        <f>STDEV(W4:W22)</f>
        <v>26.902310064957579</v>
      </c>
      <c r="M38" s="46">
        <f>STDEV(X4:X22)</f>
        <v>40.055484447367867</v>
      </c>
    </row>
    <row r="39" spans="3:13">
      <c r="C39" s="46" t="s">
        <v>230</v>
      </c>
      <c r="D39" s="46" t="s">
        <v>223</v>
      </c>
      <c r="E39" s="46" t="s">
        <v>231</v>
      </c>
      <c r="F39" s="46" t="s">
        <v>202</v>
      </c>
      <c r="G39" s="46" t="s">
        <v>224</v>
      </c>
    </row>
    <row r="40" spans="3:13">
      <c r="C40" s="46" t="s">
        <v>225</v>
      </c>
      <c r="D40" s="46">
        <f>TTEST(H4:H21,U4:U22,2,2)</f>
        <v>0.94252108658811973</v>
      </c>
      <c r="E40" s="46">
        <f>TTEST(I4:I21,V4:V22,2,2)</f>
        <v>3.6286769878846431E-6</v>
      </c>
      <c r="F40" s="46">
        <f>TTEST(J4:J21,W4:W22,2,2)</f>
        <v>3.2929931007206537E-4</v>
      </c>
      <c r="G40" s="46">
        <f>TTEST(G4:G21,T4:T22,2,2)</f>
        <v>0.25969057062549455</v>
      </c>
    </row>
    <row r="43" spans="3:13">
      <c r="C43" s="46"/>
      <c r="D43" s="46" t="s">
        <v>232</v>
      </c>
      <c r="E43" s="46" t="s">
        <v>233</v>
      </c>
    </row>
    <row r="44" spans="3:13">
      <c r="C44" s="46" t="s">
        <v>227</v>
      </c>
      <c r="D44" s="46">
        <f>L23</f>
        <v>13</v>
      </c>
      <c r="E44" s="46">
        <f>M23</f>
        <v>5</v>
      </c>
    </row>
    <row r="45" spans="3:13">
      <c r="C45" s="46" t="s">
        <v>225</v>
      </c>
      <c r="D45" s="46">
        <f>Y23</f>
        <v>5</v>
      </c>
      <c r="E45" s="46">
        <f>Z23</f>
        <v>14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910AA-36C1-4E05-AE01-4002EDBF08E1}">
  <dimension ref="B1:T84"/>
  <sheetViews>
    <sheetView workbookViewId="0">
      <selection activeCell="I5" sqref="I5"/>
    </sheetView>
  </sheetViews>
  <sheetFormatPr defaultRowHeight="15"/>
  <cols>
    <col min="1" max="16384" width="9.140625" style="12"/>
  </cols>
  <sheetData>
    <row r="1" spans="2:20">
      <c r="C1" s="12" t="s">
        <v>267</v>
      </c>
      <c r="G1" s="12" t="s">
        <v>269</v>
      </c>
      <c r="L1" s="12" t="s">
        <v>282</v>
      </c>
      <c r="Q1" s="12" t="s">
        <v>297</v>
      </c>
    </row>
    <row r="3" spans="2:20" ht="45" customHeight="1">
      <c r="B3" s="16"/>
      <c r="C3" s="59" t="s">
        <v>268</v>
      </c>
      <c r="D3" s="59"/>
      <c r="G3" s="16"/>
      <c r="H3" s="65" t="s">
        <v>279</v>
      </c>
      <c r="I3" s="65" t="s">
        <v>280</v>
      </c>
      <c r="J3" s="70"/>
      <c r="L3" s="16"/>
      <c r="M3" s="59" t="s">
        <v>283</v>
      </c>
      <c r="N3" s="59"/>
      <c r="Q3" s="16"/>
      <c r="R3" s="59" t="s">
        <v>296</v>
      </c>
      <c r="S3" s="59"/>
      <c r="T3" s="59"/>
    </row>
    <row r="4" spans="2:20" ht="39">
      <c r="B4" s="16"/>
      <c r="C4" s="64" t="s">
        <v>265</v>
      </c>
      <c r="D4" s="64" t="s">
        <v>266</v>
      </c>
      <c r="G4" s="66" t="s">
        <v>275</v>
      </c>
      <c r="H4" s="67">
        <v>77.5</v>
      </c>
      <c r="I4" s="67">
        <v>22.5</v>
      </c>
      <c r="J4" s="71"/>
      <c r="L4" s="16"/>
      <c r="M4" s="68" t="s">
        <v>284</v>
      </c>
      <c r="N4" s="68" t="s">
        <v>281</v>
      </c>
      <c r="Q4" s="16"/>
      <c r="R4" s="65" t="s">
        <v>291</v>
      </c>
      <c r="S4" s="65" t="s">
        <v>292</v>
      </c>
      <c r="T4" s="65" t="s">
        <v>293</v>
      </c>
    </row>
    <row r="5" spans="2:20" ht="26.25">
      <c r="B5" s="16"/>
      <c r="C5" s="22">
        <v>8622</v>
      </c>
      <c r="D5" s="22">
        <v>6852</v>
      </c>
      <c r="G5" s="66" t="s">
        <v>276</v>
      </c>
      <c r="H5" s="67">
        <v>44</v>
      </c>
      <c r="I5" s="67">
        <v>56</v>
      </c>
      <c r="J5" s="71"/>
      <c r="L5" s="16"/>
      <c r="M5" s="67">
        <v>45</v>
      </c>
      <c r="N5" s="67">
        <v>37</v>
      </c>
      <c r="Q5" s="69" t="s">
        <v>294</v>
      </c>
      <c r="R5" s="67">
        <v>75</v>
      </c>
      <c r="S5" s="67">
        <v>25</v>
      </c>
      <c r="T5" s="67">
        <v>0</v>
      </c>
    </row>
    <row r="6" spans="2:20" ht="26.25">
      <c r="B6" s="16"/>
      <c r="C6" s="22">
        <v>6794</v>
      </c>
      <c r="D6" s="22">
        <v>10400</v>
      </c>
      <c r="L6" s="16"/>
      <c r="M6" s="67">
        <v>39</v>
      </c>
      <c r="N6" s="67">
        <v>34</v>
      </c>
      <c r="Q6" s="69" t="s">
        <v>295</v>
      </c>
      <c r="R6" s="67">
        <v>0</v>
      </c>
      <c r="S6" s="67">
        <v>59.259259999999998</v>
      </c>
      <c r="T6" s="67">
        <v>40.740740000000002</v>
      </c>
    </row>
    <row r="7" spans="2:20">
      <c r="B7" s="16"/>
      <c r="C7" s="22">
        <v>12400</v>
      </c>
      <c r="D7" s="22">
        <v>15600</v>
      </c>
      <c r="L7" s="16"/>
      <c r="M7" s="67">
        <v>53</v>
      </c>
      <c r="N7" s="67">
        <v>61</v>
      </c>
    </row>
    <row r="8" spans="2:20">
      <c r="B8" s="16"/>
      <c r="C8" s="22">
        <v>11500</v>
      </c>
      <c r="D8" s="22">
        <v>17300</v>
      </c>
      <c r="L8" s="16"/>
      <c r="M8" s="67">
        <v>60</v>
      </c>
      <c r="N8" s="67">
        <v>59</v>
      </c>
    </row>
    <row r="9" spans="2:20">
      <c r="B9" s="16"/>
      <c r="C9" s="22">
        <v>9292</v>
      </c>
      <c r="D9" s="22">
        <v>13200</v>
      </c>
      <c r="L9" s="16"/>
      <c r="M9" s="67">
        <v>53</v>
      </c>
      <c r="N9" s="67">
        <v>78</v>
      </c>
    </row>
    <row r="10" spans="2:20">
      <c r="B10" s="16"/>
      <c r="C10" s="22">
        <v>8662</v>
      </c>
      <c r="D10" s="22">
        <v>14700</v>
      </c>
      <c r="L10" s="16"/>
      <c r="M10" s="67">
        <v>42</v>
      </c>
      <c r="N10" s="67">
        <v>62</v>
      </c>
    </row>
    <row r="11" spans="2:20">
      <c r="B11" s="16"/>
      <c r="C11" s="22">
        <v>10500</v>
      </c>
      <c r="D11" s="22">
        <v>13900</v>
      </c>
      <c r="L11" s="16"/>
      <c r="M11" s="67">
        <v>46</v>
      </c>
      <c r="N11" s="67">
        <v>63</v>
      </c>
    </row>
    <row r="12" spans="2:20">
      <c r="B12" s="16"/>
      <c r="C12" s="22">
        <v>13800</v>
      </c>
      <c r="D12" s="22">
        <v>13000</v>
      </c>
      <c r="L12" s="16"/>
      <c r="M12" s="67">
        <v>57</v>
      </c>
      <c r="N12" s="67">
        <v>62</v>
      </c>
    </row>
    <row r="13" spans="2:20">
      <c r="B13" s="16"/>
      <c r="C13" s="22">
        <v>10800</v>
      </c>
      <c r="D13" s="22">
        <v>10700</v>
      </c>
      <c r="L13" s="16"/>
      <c r="M13" s="67">
        <v>44</v>
      </c>
      <c r="N13" s="67">
        <v>54</v>
      </c>
    </row>
    <row r="14" spans="2:20">
      <c r="B14" s="16"/>
      <c r="C14" s="22">
        <v>9082</v>
      </c>
      <c r="D14" s="22">
        <v>12000</v>
      </c>
      <c r="L14" s="16"/>
      <c r="M14" s="67">
        <v>53</v>
      </c>
      <c r="N14" s="67">
        <v>50</v>
      </c>
    </row>
    <row r="15" spans="2:20">
      <c r="B15" s="16"/>
      <c r="C15" s="22">
        <v>11500</v>
      </c>
      <c r="D15" s="22">
        <v>11700</v>
      </c>
      <c r="L15" s="16"/>
      <c r="M15" s="67">
        <v>52</v>
      </c>
      <c r="N15" s="67">
        <v>47</v>
      </c>
    </row>
    <row r="16" spans="2:20">
      <c r="B16" s="16"/>
      <c r="C16" s="22">
        <v>9209</v>
      </c>
      <c r="D16" s="22">
        <v>13700</v>
      </c>
      <c r="L16" s="16"/>
      <c r="M16" s="67">
        <v>43</v>
      </c>
      <c r="N16" s="67">
        <v>56</v>
      </c>
    </row>
    <row r="17" spans="2:14">
      <c r="B17" s="16"/>
      <c r="C17" s="22">
        <v>14200</v>
      </c>
      <c r="D17" s="22">
        <v>15700</v>
      </c>
      <c r="L17" s="16"/>
      <c r="M17" s="67">
        <v>45</v>
      </c>
      <c r="N17" s="67">
        <v>55</v>
      </c>
    </row>
    <row r="18" spans="2:14">
      <c r="B18" s="16"/>
      <c r="C18" s="22">
        <v>18000</v>
      </c>
      <c r="D18" s="22">
        <v>17600</v>
      </c>
      <c r="L18" s="16"/>
      <c r="M18" s="67">
        <v>63</v>
      </c>
      <c r="N18" s="67">
        <v>69</v>
      </c>
    </row>
    <row r="19" spans="2:14">
      <c r="B19" s="16"/>
      <c r="C19" s="22">
        <v>13900</v>
      </c>
      <c r="D19" s="22">
        <v>7056</v>
      </c>
      <c r="L19" s="16"/>
      <c r="M19" s="67">
        <v>51</v>
      </c>
      <c r="N19" s="67">
        <v>35</v>
      </c>
    </row>
    <row r="20" spans="2:14">
      <c r="B20" s="16"/>
      <c r="C20" s="22">
        <v>11500</v>
      </c>
      <c r="D20" s="22">
        <v>16200</v>
      </c>
      <c r="L20" s="16"/>
      <c r="M20" s="67">
        <v>56</v>
      </c>
      <c r="N20" s="67">
        <v>30</v>
      </c>
    </row>
    <row r="21" spans="2:14">
      <c r="B21" s="16"/>
      <c r="C21" s="22">
        <v>7213</v>
      </c>
      <c r="D21" s="22">
        <v>13600</v>
      </c>
      <c r="L21" s="16"/>
      <c r="M21" s="67">
        <v>43</v>
      </c>
      <c r="N21" s="67">
        <v>64</v>
      </c>
    </row>
    <row r="22" spans="2:14">
      <c r="B22" s="16"/>
      <c r="C22" s="22">
        <v>9251</v>
      </c>
      <c r="D22" s="22">
        <v>10700</v>
      </c>
      <c r="L22" s="16"/>
      <c r="M22" s="67">
        <v>44</v>
      </c>
      <c r="N22" s="67">
        <v>41</v>
      </c>
    </row>
    <row r="23" spans="2:14">
      <c r="B23" s="16" t="s">
        <v>17</v>
      </c>
      <c r="C23" s="22">
        <f>AVERAGE(C5:C22)</f>
        <v>10901.388888888889</v>
      </c>
      <c r="D23" s="22">
        <f>AVERAGE(D5:D22)</f>
        <v>12994.888888888889</v>
      </c>
      <c r="L23" s="16"/>
      <c r="M23" s="67">
        <v>54</v>
      </c>
      <c r="N23" s="67">
        <v>50</v>
      </c>
    </row>
    <row r="24" spans="2:14">
      <c r="L24" s="16"/>
      <c r="M24" s="67">
        <v>50</v>
      </c>
      <c r="N24" s="67">
        <v>42</v>
      </c>
    </row>
    <row r="25" spans="2:14" ht="26.25">
      <c r="C25" s="58" t="s">
        <v>107</v>
      </c>
      <c r="D25" s="22" t="s">
        <v>270</v>
      </c>
      <c r="L25" s="16"/>
      <c r="M25" s="67">
        <v>50</v>
      </c>
      <c r="N25" s="67">
        <v>57</v>
      </c>
    </row>
    <row r="26" spans="2:14">
      <c r="C26" s="58"/>
      <c r="D26" s="22"/>
      <c r="L26" s="16"/>
      <c r="M26" s="67">
        <v>43</v>
      </c>
      <c r="N26" s="67">
        <v>51</v>
      </c>
    </row>
    <row r="27" spans="2:14" ht="26.25">
      <c r="C27" s="58" t="s">
        <v>109</v>
      </c>
      <c r="D27" s="92" t="s">
        <v>266</v>
      </c>
      <c r="L27" s="16"/>
      <c r="M27" s="67">
        <v>46</v>
      </c>
      <c r="N27" s="67">
        <v>52</v>
      </c>
    </row>
    <row r="28" spans="2:14">
      <c r="C28" s="58" t="s">
        <v>110</v>
      </c>
      <c r="D28" s="22" t="s">
        <v>110</v>
      </c>
      <c r="L28" s="16"/>
      <c r="M28" s="67">
        <v>43</v>
      </c>
      <c r="N28" s="67">
        <v>62</v>
      </c>
    </row>
    <row r="29" spans="2:14" ht="39">
      <c r="C29" s="58" t="s">
        <v>111</v>
      </c>
      <c r="D29" s="92" t="s">
        <v>265</v>
      </c>
      <c r="L29" s="16"/>
      <c r="M29" s="67">
        <v>50</v>
      </c>
      <c r="N29" s="67">
        <v>49</v>
      </c>
    </row>
    <row r="30" spans="2:14">
      <c r="C30" s="58"/>
      <c r="D30" s="22"/>
      <c r="L30" s="16"/>
      <c r="M30" s="67">
        <v>47</v>
      </c>
      <c r="N30" s="67">
        <v>84</v>
      </c>
    </row>
    <row r="31" spans="2:14" ht="51.75">
      <c r="C31" s="58" t="s">
        <v>241</v>
      </c>
      <c r="D31" s="22"/>
      <c r="L31" s="16"/>
      <c r="M31" s="67">
        <v>50</v>
      </c>
      <c r="N31" s="67">
        <v>49</v>
      </c>
    </row>
    <row r="32" spans="2:14">
      <c r="C32" s="60" t="s">
        <v>113</v>
      </c>
      <c r="D32" s="61">
        <v>4.07E-2</v>
      </c>
      <c r="L32" s="16"/>
      <c r="M32" s="67">
        <v>48</v>
      </c>
      <c r="N32" s="67">
        <v>62</v>
      </c>
    </row>
    <row r="33" spans="3:14" ht="26.25">
      <c r="C33" s="58" t="s">
        <v>77</v>
      </c>
      <c r="D33" s="22" t="s">
        <v>87</v>
      </c>
      <c r="L33" s="16"/>
      <c r="M33" s="67">
        <v>49</v>
      </c>
      <c r="N33" s="67">
        <v>61</v>
      </c>
    </row>
    <row r="34" spans="3:14" ht="64.5">
      <c r="C34" s="58" t="s">
        <v>114</v>
      </c>
      <c r="D34" s="22" t="s">
        <v>80</v>
      </c>
      <c r="L34" s="16"/>
      <c r="M34" s="67">
        <v>65</v>
      </c>
      <c r="N34" s="67">
        <v>71</v>
      </c>
    </row>
    <row r="35" spans="3:14" ht="39">
      <c r="C35" s="58" t="s">
        <v>115</v>
      </c>
      <c r="D35" s="22" t="s">
        <v>116</v>
      </c>
      <c r="L35" s="16"/>
      <c r="M35" s="67">
        <v>70</v>
      </c>
      <c r="N35" s="67">
        <v>75</v>
      </c>
    </row>
    <row r="36" spans="3:14" ht="39">
      <c r="C36" s="58" t="s">
        <v>242</v>
      </c>
      <c r="D36" s="22" t="s">
        <v>271</v>
      </c>
      <c r="L36" s="16"/>
      <c r="M36" s="67">
        <v>65</v>
      </c>
      <c r="N36" s="67">
        <v>75</v>
      </c>
    </row>
    <row r="37" spans="3:14">
      <c r="C37" s="58"/>
      <c r="D37" s="22"/>
      <c r="L37" s="16"/>
      <c r="M37" s="67">
        <v>57</v>
      </c>
      <c r="N37" s="67">
        <v>57</v>
      </c>
    </row>
    <row r="38" spans="3:14" ht="51.75">
      <c r="C38" s="58" t="s">
        <v>119</v>
      </c>
      <c r="D38" s="22"/>
      <c r="L38" s="16"/>
      <c r="M38" s="67">
        <v>51</v>
      </c>
      <c r="N38" s="67">
        <v>57</v>
      </c>
    </row>
    <row r="39" spans="3:14" ht="26.25">
      <c r="C39" s="58" t="s">
        <v>120</v>
      </c>
      <c r="D39" s="22">
        <v>10901</v>
      </c>
      <c r="L39" s="16"/>
      <c r="M39" s="67">
        <v>61</v>
      </c>
      <c r="N39" s="67">
        <v>55</v>
      </c>
    </row>
    <row r="40" spans="3:14" ht="26.25">
      <c r="C40" s="58" t="s">
        <v>121</v>
      </c>
      <c r="D40" s="22">
        <v>12995</v>
      </c>
      <c r="L40" s="16"/>
      <c r="M40" s="67">
        <v>48</v>
      </c>
      <c r="N40" s="67">
        <v>60</v>
      </c>
    </row>
    <row r="41" spans="3:14" ht="64.5">
      <c r="C41" s="58" t="s">
        <v>122</v>
      </c>
      <c r="D41" s="22" t="s">
        <v>272</v>
      </c>
      <c r="L41" s="16"/>
      <c r="M41" s="67">
        <v>48</v>
      </c>
      <c r="N41" s="67">
        <v>57</v>
      </c>
    </row>
    <row r="42" spans="3:14" ht="39">
      <c r="C42" s="58" t="s">
        <v>83</v>
      </c>
      <c r="D42" s="22" t="s">
        <v>273</v>
      </c>
      <c r="L42" s="16"/>
      <c r="M42" s="67">
        <v>62</v>
      </c>
      <c r="N42" s="67">
        <v>51</v>
      </c>
    </row>
    <row r="43" spans="3:14" ht="51.75">
      <c r="C43" s="58" t="s">
        <v>125</v>
      </c>
      <c r="D43" s="22">
        <v>0.11849999999999999</v>
      </c>
      <c r="L43" s="16"/>
      <c r="M43" s="67">
        <v>49</v>
      </c>
      <c r="N43" s="67">
        <v>59</v>
      </c>
    </row>
    <row r="44" spans="3:14">
      <c r="C44" s="58"/>
      <c r="D44" s="22"/>
      <c r="L44" s="16"/>
      <c r="M44" s="67">
        <v>52</v>
      </c>
      <c r="N44" s="67">
        <v>60</v>
      </c>
    </row>
    <row r="45" spans="3:14" ht="39">
      <c r="C45" s="58" t="s">
        <v>126</v>
      </c>
      <c r="D45" s="22"/>
      <c r="L45" s="16"/>
      <c r="M45" s="67">
        <v>63</v>
      </c>
      <c r="N45" s="67">
        <v>71</v>
      </c>
    </row>
    <row r="46" spans="3:14" ht="26.25">
      <c r="C46" s="58" t="s">
        <v>127</v>
      </c>
      <c r="D46" s="22" t="s">
        <v>274</v>
      </c>
      <c r="L46" s="16"/>
      <c r="M46" s="67">
        <v>63</v>
      </c>
      <c r="N46" s="67">
        <v>74</v>
      </c>
    </row>
    <row r="47" spans="3:14">
      <c r="C47" s="58" t="s">
        <v>113</v>
      </c>
      <c r="D47" s="22">
        <v>0.70669999999999999</v>
      </c>
      <c r="L47" s="16"/>
      <c r="M47" s="67">
        <v>42</v>
      </c>
      <c r="N47" s="67">
        <v>60</v>
      </c>
    </row>
    <row r="48" spans="3:14" ht="26.25">
      <c r="C48" s="58" t="s">
        <v>77</v>
      </c>
      <c r="D48" s="22" t="s">
        <v>88</v>
      </c>
      <c r="L48" s="16"/>
      <c r="M48" s="67">
        <v>74</v>
      </c>
      <c r="N48" s="67">
        <v>45</v>
      </c>
    </row>
    <row r="49" spans="3:14" ht="64.5">
      <c r="C49" s="58" t="s">
        <v>114</v>
      </c>
      <c r="D49" s="22" t="s">
        <v>89</v>
      </c>
      <c r="L49" s="16"/>
      <c r="M49" s="67">
        <v>54</v>
      </c>
      <c r="N49" s="67">
        <v>74</v>
      </c>
    </row>
    <row r="50" spans="3:14">
      <c r="C50" s="58"/>
      <c r="D50" s="22"/>
      <c r="L50" s="16"/>
      <c r="M50" s="67">
        <v>44</v>
      </c>
      <c r="N50" s="16"/>
    </row>
    <row r="51" spans="3:14" ht="26.25">
      <c r="C51" s="58" t="s">
        <v>129</v>
      </c>
      <c r="D51" s="22"/>
      <c r="L51" s="16"/>
      <c r="M51" s="67">
        <v>69</v>
      </c>
      <c r="N51" s="16"/>
    </row>
    <row r="52" spans="3:14" ht="39">
      <c r="C52" s="58" t="s">
        <v>130</v>
      </c>
      <c r="D52" s="22">
        <v>18</v>
      </c>
      <c r="L52" s="16"/>
      <c r="M52" s="67">
        <v>59</v>
      </c>
      <c r="N52" s="16"/>
    </row>
    <row r="53" spans="3:14" ht="39">
      <c r="C53" s="58" t="s">
        <v>131</v>
      </c>
      <c r="D53" s="22">
        <v>18</v>
      </c>
      <c r="L53" s="16" t="s">
        <v>17</v>
      </c>
      <c r="M53" s="22">
        <f>AVERAGE(M5:M52)</f>
        <v>52.395833333333336</v>
      </c>
      <c r="N53" s="22">
        <f>AVERAGE(N5:N52)</f>
        <v>57.266666666666666</v>
      </c>
    </row>
    <row r="54" spans="3:14">
      <c r="L54" s="16" t="s">
        <v>61</v>
      </c>
      <c r="M54" s="67">
        <f>COUNT(M5:M52)</f>
        <v>48</v>
      </c>
      <c r="N54" s="67">
        <f>COUNT(N5:N52)</f>
        <v>45</v>
      </c>
    </row>
    <row r="56" spans="3:14" ht="39">
      <c r="L56" s="58" t="s">
        <v>107</v>
      </c>
      <c r="M56" s="22" t="s">
        <v>283</v>
      </c>
    </row>
    <row r="57" spans="3:14">
      <c r="L57" s="58"/>
      <c r="M57" s="22"/>
    </row>
    <row r="58" spans="3:14" ht="26.25">
      <c r="L58" s="58" t="s">
        <v>109</v>
      </c>
      <c r="M58" s="92" t="s">
        <v>285</v>
      </c>
    </row>
    <row r="59" spans="3:14">
      <c r="L59" s="58" t="s">
        <v>110</v>
      </c>
      <c r="M59" s="22" t="s">
        <v>110</v>
      </c>
    </row>
    <row r="60" spans="3:14" ht="39">
      <c r="L60" s="58" t="s">
        <v>111</v>
      </c>
      <c r="M60" s="92" t="s">
        <v>286</v>
      </c>
    </row>
    <row r="61" spans="3:14">
      <c r="L61" s="58"/>
      <c r="M61" s="22"/>
    </row>
    <row r="62" spans="3:14" ht="51.75">
      <c r="L62" s="58" t="s">
        <v>241</v>
      </c>
      <c r="M62" s="22"/>
    </row>
    <row r="63" spans="3:14">
      <c r="L63" s="60" t="s">
        <v>113</v>
      </c>
      <c r="M63" s="61">
        <v>2.75E-2</v>
      </c>
    </row>
    <row r="64" spans="3:14" ht="26.25">
      <c r="L64" s="58" t="s">
        <v>77</v>
      </c>
      <c r="M64" s="22" t="s">
        <v>87</v>
      </c>
      <c r="N64" s="63"/>
    </row>
    <row r="65" spans="12:14" ht="64.5">
      <c r="L65" s="58" t="s">
        <v>114</v>
      </c>
      <c r="M65" s="22" t="s">
        <v>80</v>
      </c>
      <c r="N65" s="63"/>
    </row>
    <row r="66" spans="12:14" ht="39">
      <c r="L66" s="58" t="s">
        <v>115</v>
      </c>
      <c r="M66" s="22" t="s">
        <v>116</v>
      </c>
      <c r="N66" s="63"/>
    </row>
    <row r="67" spans="12:14" ht="39">
      <c r="L67" s="58" t="s">
        <v>242</v>
      </c>
      <c r="M67" s="22" t="s">
        <v>287</v>
      </c>
      <c r="N67" s="63"/>
    </row>
    <row r="68" spans="12:14">
      <c r="L68" s="58"/>
      <c r="M68" s="22"/>
      <c r="N68" s="63"/>
    </row>
    <row r="69" spans="12:14" ht="51.75">
      <c r="L69" s="58" t="s">
        <v>119</v>
      </c>
      <c r="M69" s="22"/>
      <c r="N69" s="63"/>
    </row>
    <row r="70" spans="12:14" ht="26.25">
      <c r="L70" s="58" t="s">
        <v>120</v>
      </c>
      <c r="M70" s="22">
        <v>52.4</v>
      </c>
      <c r="N70" s="63"/>
    </row>
    <row r="71" spans="12:14" ht="26.25">
      <c r="L71" s="58" t="s">
        <v>121</v>
      </c>
      <c r="M71" s="22">
        <v>57.27</v>
      </c>
      <c r="N71" s="63"/>
    </row>
    <row r="72" spans="12:14" ht="64.5">
      <c r="L72" s="58" t="s">
        <v>122</v>
      </c>
      <c r="M72" s="22" t="s">
        <v>288</v>
      </c>
      <c r="N72" s="63"/>
    </row>
    <row r="73" spans="12:14" ht="39">
      <c r="L73" s="58" t="s">
        <v>83</v>
      </c>
      <c r="M73" s="22" t="s">
        <v>289</v>
      </c>
      <c r="N73" s="63"/>
    </row>
    <row r="74" spans="12:14" ht="51.75">
      <c r="L74" s="58" t="s">
        <v>125</v>
      </c>
      <c r="M74" s="22">
        <v>6.0690000000000001E-2</v>
      </c>
      <c r="N74" s="63"/>
    </row>
    <row r="75" spans="12:14">
      <c r="L75" s="58"/>
      <c r="M75" s="22"/>
      <c r="N75" s="63"/>
    </row>
    <row r="76" spans="12:14" ht="39">
      <c r="L76" s="58" t="s">
        <v>126</v>
      </c>
      <c r="M76" s="22"/>
      <c r="N76" s="63"/>
    </row>
    <row r="77" spans="12:14" ht="26.25">
      <c r="L77" s="58" t="s">
        <v>127</v>
      </c>
      <c r="M77" s="22" t="s">
        <v>290</v>
      </c>
      <c r="N77" s="63"/>
    </row>
    <row r="78" spans="12:14">
      <c r="L78" s="58" t="s">
        <v>113</v>
      </c>
      <c r="M78" s="22">
        <v>1.6500000000000001E-2</v>
      </c>
      <c r="N78" s="63"/>
    </row>
    <row r="79" spans="12:14" ht="26.25">
      <c r="L79" s="58" t="s">
        <v>77</v>
      </c>
      <c r="M79" s="22" t="s">
        <v>87</v>
      </c>
      <c r="N79" s="63"/>
    </row>
    <row r="80" spans="12:14" ht="64.5">
      <c r="L80" s="58" t="s">
        <v>114</v>
      </c>
      <c r="M80" s="22" t="s">
        <v>80</v>
      </c>
      <c r="N80" s="63"/>
    </row>
    <row r="81" spans="12:14">
      <c r="L81" s="58"/>
      <c r="M81" s="22"/>
      <c r="N81" s="63"/>
    </row>
    <row r="82" spans="12:14" ht="26.25">
      <c r="L82" s="58" t="s">
        <v>129</v>
      </c>
      <c r="M82" s="22"/>
      <c r="N82" s="63"/>
    </row>
    <row r="83" spans="12:14" ht="39">
      <c r="L83" s="58" t="s">
        <v>130</v>
      </c>
      <c r="M83" s="22">
        <v>48</v>
      </c>
      <c r="N83" s="63"/>
    </row>
    <row r="84" spans="12:14" ht="39">
      <c r="L84" s="58" t="s">
        <v>131</v>
      </c>
      <c r="M84" s="22">
        <v>45</v>
      </c>
    </row>
  </sheetData>
  <mergeCells count="3">
    <mergeCell ref="C3:D3"/>
    <mergeCell ref="M3:N3"/>
    <mergeCell ref="R3:T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C54A0-9663-4931-9594-6434AE8C6D42}">
  <dimension ref="B1:S54"/>
  <sheetViews>
    <sheetView workbookViewId="0">
      <selection activeCell="C27" sqref="C27"/>
    </sheetView>
  </sheetViews>
  <sheetFormatPr defaultRowHeight="15"/>
  <cols>
    <col min="1" max="1" width="24.7109375" customWidth="1"/>
    <col min="3" max="3" width="46.28515625" customWidth="1"/>
    <col min="9" max="9" width="2.42578125" customWidth="1"/>
    <col min="10" max="10" width="1.42578125" customWidth="1"/>
    <col min="11" max="11" width="2.28515625" customWidth="1"/>
    <col min="12" max="12" width="1.28515625" customWidth="1"/>
    <col min="13" max="13" width="2.140625" customWidth="1"/>
  </cols>
  <sheetData>
    <row r="1" spans="2:19">
      <c r="B1" s="72"/>
      <c r="F1" t="s">
        <v>298</v>
      </c>
      <c r="N1" t="s">
        <v>299</v>
      </c>
      <c r="O1" t="s">
        <v>300</v>
      </c>
    </row>
    <row r="2" spans="2:19">
      <c r="B2" s="72"/>
      <c r="D2" t="s">
        <v>301</v>
      </c>
      <c r="F2" t="s">
        <v>34</v>
      </c>
      <c r="G2" t="s">
        <v>45</v>
      </c>
      <c r="H2" t="s">
        <v>302</v>
      </c>
      <c r="N2" t="s">
        <v>303</v>
      </c>
      <c r="O2" t="s">
        <v>303</v>
      </c>
      <c r="P2" t="s">
        <v>34</v>
      </c>
      <c r="S2" t="s">
        <v>304</v>
      </c>
    </row>
    <row r="3" spans="2:19">
      <c r="B3" s="72"/>
    </row>
    <row r="4" spans="2:19">
      <c r="D4" s="72">
        <v>100</v>
      </c>
      <c r="E4" s="72"/>
      <c r="F4" s="72">
        <v>0.29499999999999998</v>
      </c>
      <c r="G4" s="72">
        <v>0.88399999999999901</v>
      </c>
      <c r="H4" s="72">
        <v>0</v>
      </c>
      <c r="I4" s="72"/>
      <c r="J4" s="72"/>
      <c r="K4" s="72"/>
      <c r="L4" s="72"/>
      <c r="N4" s="72">
        <v>3.84</v>
      </c>
      <c r="O4" s="72">
        <v>0</v>
      </c>
      <c r="P4" s="72">
        <f>(N4+O4)/2</f>
        <v>1.92</v>
      </c>
      <c r="R4" s="72"/>
      <c r="S4" s="72">
        <f>MIN(O4,L4,H4)</f>
        <v>0</v>
      </c>
    </row>
    <row r="5" spans="2:19">
      <c r="B5" s="72"/>
      <c r="D5" s="72">
        <v>101</v>
      </c>
      <c r="E5" s="72"/>
      <c r="F5" s="72">
        <v>0.50928249999999997</v>
      </c>
      <c r="G5" s="72">
        <v>0.91422060000000005</v>
      </c>
      <c r="H5" s="72">
        <v>0.30674079999999998</v>
      </c>
      <c r="I5" s="72"/>
      <c r="J5" s="72"/>
      <c r="K5" s="72"/>
      <c r="L5" s="72"/>
      <c r="N5" s="72">
        <v>5.1782219999999901</v>
      </c>
      <c r="O5" s="72">
        <v>0</v>
      </c>
      <c r="P5" s="72">
        <f t="shared" ref="P5:P54" si="0">(N5+O5)/2</f>
        <v>2.5891109999999951</v>
      </c>
      <c r="R5" s="72"/>
      <c r="S5" s="72">
        <f>MIN(O5,L5,H5)</f>
        <v>0</v>
      </c>
    </row>
    <row r="6" spans="2:19">
      <c r="B6" s="72"/>
      <c r="D6" s="72">
        <v>102</v>
      </c>
      <c r="E6" s="72"/>
      <c r="F6" s="72">
        <v>0.74016000000000004</v>
      </c>
      <c r="G6" s="72">
        <v>1.0127968000000001</v>
      </c>
      <c r="H6" s="72">
        <v>0.60034240000000005</v>
      </c>
      <c r="I6" s="72"/>
      <c r="J6" s="72"/>
      <c r="K6" s="72"/>
      <c r="L6" s="72"/>
      <c r="N6" s="72">
        <v>6.4364159999999897</v>
      </c>
      <c r="O6" s="72">
        <v>0</v>
      </c>
      <c r="P6" s="72">
        <f t="shared" si="0"/>
        <v>3.2182079999999949</v>
      </c>
      <c r="R6" s="72"/>
      <c r="S6" s="72">
        <f>MIN(O6,L6,H6)</f>
        <v>0</v>
      </c>
    </row>
    <row r="7" spans="2:19">
      <c r="D7" s="72">
        <v>103</v>
      </c>
      <c r="E7" s="72"/>
      <c r="F7" s="72">
        <v>0.98492749999999996</v>
      </c>
      <c r="G7" s="72">
        <v>1.1729601999999999</v>
      </c>
      <c r="H7" s="72">
        <v>0.88042026666666695</v>
      </c>
      <c r="I7" s="72"/>
      <c r="J7" s="72"/>
      <c r="K7" s="72"/>
      <c r="L7" s="72"/>
      <c r="N7" s="72">
        <v>7.6177406666666601</v>
      </c>
      <c r="O7" s="72">
        <v>0</v>
      </c>
      <c r="P7" s="72">
        <f t="shared" si="0"/>
        <v>3.80887033333333</v>
      </c>
      <c r="R7" s="72"/>
      <c r="S7" s="72">
        <f>MIN(O7,L7,H7)</f>
        <v>0</v>
      </c>
    </row>
    <row r="8" spans="2:19">
      <c r="D8" s="72">
        <v>104</v>
      </c>
      <c r="E8" s="72"/>
      <c r="F8" s="72">
        <v>1.24088</v>
      </c>
      <c r="G8" s="72">
        <v>1.3879424</v>
      </c>
      <c r="H8" s="72">
        <v>1.1465898666666601</v>
      </c>
      <c r="I8" s="72"/>
      <c r="J8" s="72"/>
      <c r="K8" s="72"/>
      <c r="L8" s="72"/>
      <c r="N8" s="72">
        <v>8.7253546666666608</v>
      </c>
      <c r="O8" s="72">
        <v>0.24209066666666701</v>
      </c>
      <c r="P8" s="72">
        <f t="shared" si="0"/>
        <v>4.4837226666666643</v>
      </c>
      <c r="R8" s="72"/>
      <c r="S8" s="72">
        <f>MIN(O8,L8,H8)</f>
        <v>0.24209066666666701</v>
      </c>
    </row>
    <row r="9" spans="2:19">
      <c r="D9" s="72">
        <v>105</v>
      </c>
      <c r="E9" s="72"/>
      <c r="F9" s="72">
        <v>1.5053125000000001</v>
      </c>
      <c r="G9" s="72">
        <v>1.6509750000000001</v>
      </c>
      <c r="H9" s="72">
        <v>1.3984666666666601</v>
      </c>
      <c r="I9" s="72"/>
      <c r="J9" s="72"/>
      <c r="K9" s="72"/>
      <c r="L9" s="72"/>
      <c r="N9" s="72">
        <v>9.7624166666666596</v>
      </c>
      <c r="O9" s="72">
        <v>0.63766666666666805</v>
      </c>
      <c r="P9" s="72">
        <f t="shared" si="0"/>
        <v>5.2000416666666638</v>
      </c>
      <c r="R9" s="72"/>
      <c r="S9" s="72">
        <f>MIN(O9,L9,H9)</f>
        <v>0.63766666666666805</v>
      </c>
    </row>
    <row r="10" spans="2:19">
      <c r="D10" s="72">
        <v>106</v>
      </c>
      <c r="E10" s="72"/>
      <c r="F10" s="72">
        <v>1.77552</v>
      </c>
      <c r="G10" s="72">
        <v>1.9552896</v>
      </c>
      <c r="H10" s="72">
        <v>1.63566613333333</v>
      </c>
      <c r="I10" s="72"/>
      <c r="J10" s="72"/>
      <c r="K10" s="72"/>
      <c r="L10" s="72"/>
      <c r="N10" s="72">
        <v>10.7320853333333</v>
      </c>
      <c r="O10" s="72">
        <v>1.1386293333333299</v>
      </c>
      <c r="P10" s="72">
        <f t="shared" si="0"/>
        <v>5.9353573333333154</v>
      </c>
      <c r="R10" s="72"/>
      <c r="S10" s="72">
        <f>MIN(O10,L10,H10)</f>
        <v>1.1386293333333299</v>
      </c>
    </row>
    <row r="11" spans="2:19">
      <c r="D11" s="72">
        <v>107</v>
      </c>
      <c r="E11" s="72"/>
      <c r="F11" s="72">
        <v>2.0487975</v>
      </c>
      <c r="G11" s="72">
        <v>2.2941178</v>
      </c>
      <c r="H11" s="72">
        <v>1.8578037333333299</v>
      </c>
      <c r="I11" s="72"/>
      <c r="J11" s="72"/>
      <c r="K11" s="72"/>
      <c r="L11" s="72"/>
      <c r="N11" s="72">
        <v>11.6375193333333</v>
      </c>
      <c r="O11" s="72">
        <v>1.7306613333333301</v>
      </c>
      <c r="P11" s="72">
        <f t="shared" si="0"/>
        <v>6.684090333333315</v>
      </c>
      <c r="R11" s="72"/>
      <c r="S11" s="72">
        <f>MIN(O11,L11,H11)</f>
        <v>1.7306613333333301</v>
      </c>
    </row>
    <row r="12" spans="2:19">
      <c r="D12" s="72">
        <v>108</v>
      </c>
      <c r="E12" s="72"/>
      <c r="F12" s="72">
        <v>2.3224399999999998</v>
      </c>
      <c r="G12" s="72">
        <v>2.6606912</v>
      </c>
      <c r="H12" s="72">
        <v>2.06449493333333</v>
      </c>
      <c r="I12" s="72"/>
      <c r="J12" s="72"/>
      <c r="K12" s="72"/>
      <c r="L12" s="72"/>
      <c r="N12" s="72">
        <v>12.4818773333333</v>
      </c>
      <c r="O12" s="72">
        <v>2.3994453333333299</v>
      </c>
      <c r="P12" s="72">
        <f t="shared" si="0"/>
        <v>7.4406613333333151</v>
      </c>
      <c r="R12" s="72"/>
      <c r="S12" s="72">
        <f>MIN(O12,L12,H12)</f>
        <v>2.06449493333333</v>
      </c>
    </row>
    <row r="13" spans="2:19">
      <c r="B13" s="72"/>
      <c r="D13" s="72">
        <v>109</v>
      </c>
      <c r="E13" s="72"/>
      <c r="F13" s="72">
        <v>2.5937424999999901</v>
      </c>
      <c r="G13" s="72">
        <v>3.0482414000000002</v>
      </c>
      <c r="H13" s="72">
        <v>2.2553551999999999</v>
      </c>
      <c r="I13" s="72"/>
      <c r="J13" s="72"/>
      <c r="K13" s="72"/>
      <c r="L13" s="72"/>
      <c r="N13" s="72">
        <v>13.268317999999899</v>
      </c>
      <c r="O13" s="72">
        <v>3.1306639999999999</v>
      </c>
      <c r="P13" s="72">
        <f t="shared" si="0"/>
        <v>8.1994909999999503</v>
      </c>
      <c r="R13" s="72"/>
      <c r="S13" s="72">
        <f>MIN(O13,L13,H13)</f>
        <v>2.2553551999999999</v>
      </c>
    </row>
    <row r="14" spans="2:19">
      <c r="D14" s="72">
        <v>110</v>
      </c>
      <c r="E14" s="72"/>
      <c r="F14" s="72">
        <v>2.86</v>
      </c>
      <c r="G14" s="72">
        <v>3.45</v>
      </c>
      <c r="H14" s="72">
        <v>2.4300000000000002</v>
      </c>
      <c r="I14" s="72"/>
      <c r="J14" s="72"/>
      <c r="K14" s="72"/>
      <c r="L14" s="72"/>
      <c r="N14" s="72">
        <v>13.999999999999901</v>
      </c>
      <c r="O14" s="72">
        <v>3.91</v>
      </c>
      <c r="P14" s="72">
        <f t="shared" si="0"/>
        <v>8.9549999999999503</v>
      </c>
      <c r="R14" s="72"/>
      <c r="S14" s="72">
        <f>MIN(O14,L14,H14)</f>
        <v>2.4300000000000002</v>
      </c>
    </row>
    <row r="15" spans="2:19">
      <c r="D15" s="72">
        <v>111</v>
      </c>
      <c r="E15" s="72"/>
      <c r="F15" s="72">
        <v>3.11850749999999</v>
      </c>
      <c r="G15" s="72">
        <v>3.8591986</v>
      </c>
      <c r="H15" s="72">
        <v>2.5880448</v>
      </c>
      <c r="I15" s="72"/>
      <c r="J15" s="72"/>
      <c r="K15" s="72"/>
      <c r="L15" s="72"/>
      <c r="N15" s="72">
        <v>14.680081999999899</v>
      </c>
      <c r="O15" s="72">
        <v>4.7231360000000002</v>
      </c>
      <c r="P15" s="72">
        <f t="shared" si="0"/>
        <v>9.7016089999999497</v>
      </c>
      <c r="R15" s="72"/>
      <c r="S15" s="72">
        <f>MIN(O15,L15,H15)</f>
        <v>2.5880448</v>
      </c>
    </row>
    <row r="16" spans="2:19">
      <c r="D16" s="72">
        <v>112</v>
      </c>
      <c r="E16" s="72"/>
      <c r="F16" s="72">
        <v>3.3665600000000002</v>
      </c>
      <c r="G16" s="72">
        <v>4.2690688000000003</v>
      </c>
      <c r="H16" s="72">
        <v>2.7291050666666599</v>
      </c>
      <c r="I16" s="72"/>
      <c r="J16" s="72"/>
      <c r="K16" s="72"/>
      <c r="L16" s="72"/>
      <c r="N16" s="72">
        <v>15.311722666666601</v>
      </c>
      <c r="O16" s="72">
        <v>5.55575466666666</v>
      </c>
      <c r="P16" s="72">
        <f t="shared" si="0"/>
        <v>10.433738666666631</v>
      </c>
      <c r="R16" s="72"/>
      <c r="S16" s="72">
        <f>MIN(O16,L16,H16)</f>
        <v>2.7291050666666599</v>
      </c>
    </row>
    <row r="17" spans="4:19">
      <c r="D17" s="72">
        <v>113</v>
      </c>
      <c r="E17" s="72"/>
      <c r="F17" s="72">
        <v>3.6014525000000002</v>
      </c>
      <c r="G17" s="72">
        <v>4.6728421999999998</v>
      </c>
      <c r="H17" s="72">
        <v>2.85279626666666</v>
      </c>
      <c r="I17" s="72"/>
      <c r="J17" s="72"/>
      <c r="K17" s="72"/>
      <c r="L17" s="72"/>
      <c r="N17" s="72">
        <v>15.898080666666599</v>
      </c>
      <c r="O17" s="72">
        <v>6.39353866666666</v>
      </c>
      <c r="P17" s="72">
        <f t="shared" si="0"/>
        <v>11.145809666666629</v>
      </c>
      <c r="R17" s="72"/>
      <c r="S17" s="72">
        <f>MIN(O17,L17,H17)</f>
        <v>2.85279626666666</v>
      </c>
    </row>
    <row r="18" spans="4:19">
      <c r="D18" s="72">
        <v>114</v>
      </c>
      <c r="E18" s="72"/>
      <c r="F18" s="72">
        <v>3.8204799999999901</v>
      </c>
      <c r="G18" s="72">
        <v>5.0637504</v>
      </c>
      <c r="H18" s="72">
        <v>2.9587338666666598</v>
      </c>
      <c r="I18" s="72"/>
      <c r="J18" s="72"/>
      <c r="K18" s="72"/>
      <c r="L18" s="72"/>
      <c r="N18" s="72">
        <v>16.442314666666601</v>
      </c>
      <c r="O18" s="72">
        <v>7.2221706666666599</v>
      </c>
      <c r="P18" s="72">
        <f t="shared" si="0"/>
        <v>11.83224266666663</v>
      </c>
      <c r="R18" s="72"/>
      <c r="S18" s="72">
        <f>MIN(O18,L18,H18)</f>
        <v>2.9587338666666598</v>
      </c>
    </row>
    <row r="19" spans="4:19">
      <c r="D19" s="72">
        <v>115</v>
      </c>
      <c r="E19" s="72"/>
      <c r="F19" s="72">
        <v>4.0209374999999898</v>
      </c>
      <c r="G19" s="72">
        <v>5.4350250000000004</v>
      </c>
      <c r="H19" s="72">
        <v>3.04653333333333</v>
      </c>
      <c r="I19" s="72"/>
      <c r="J19" s="72"/>
      <c r="K19" s="72"/>
      <c r="L19" s="72"/>
      <c r="N19" s="72">
        <v>16.947583333333299</v>
      </c>
      <c r="O19" s="72">
        <v>8.0273333333333294</v>
      </c>
      <c r="P19" s="72">
        <f t="shared" si="0"/>
        <v>12.487458333333315</v>
      </c>
      <c r="R19" s="72"/>
      <c r="S19" s="72">
        <f>MIN(O19,L19,H19)</f>
        <v>3.04653333333333</v>
      </c>
    </row>
    <row r="20" spans="4:19">
      <c r="D20" s="72">
        <v>116</v>
      </c>
      <c r="E20" s="72"/>
      <c r="F20" s="72">
        <v>4.2001200000000001</v>
      </c>
      <c r="G20" s="72">
        <v>5.7798976</v>
      </c>
      <c r="H20" s="72">
        <v>3.1158101333333299</v>
      </c>
      <c r="I20" s="72"/>
      <c r="J20" s="72"/>
      <c r="K20" s="72"/>
      <c r="L20" s="72"/>
      <c r="N20" s="72">
        <v>17.417045333333299</v>
      </c>
      <c r="O20" s="72">
        <v>8.7947093333333299</v>
      </c>
      <c r="P20" s="72">
        <f t="shared" si="0"/>
        <v>13.105877333333314</v>
      </c>
      <c r="R20" s="72"/>
      <c r="S20" s="72">
        <f>MIN(O20,L20,H20)</f>
        <v>3.1158101333333299</v>
      </c>
    </row>
    <row r="21" spans="4:19">
      <c r="D21" s="72">
        <v>117</v>
      </c>
      <c r="E21" s="72"/>
      <c r="F21" s="72">
        <v>4.35532249999999</v>
      </c>
      <c r="G21" s="72">
        <v>6.0915997999999902</v>
      </c>
      <c r="H21" s="72">
        <v>3.1661797333333301</v>
      </c>
      <c r="I21" s="72"/>
      <c r="J21" s="72"/>
      <c r="K21" s="72"/>
      <c r="L21" s="72"/>
      <c r="N21" s="72">
        <v>17.8538593333333</v>
      </c>
      <c r="O21" s="72">
        <v>9.5099813333333305</v>
      </c>
      <c r="P21" s="72">
        <f t="shared" si="0"/>
        <v>13.681920333333316</v>
      </c>
      <c r="R21" s="72"/>
      <c r="S21" s="72">
        <f>MIN(O21,L21,H21)</f>
        <v>3.1661797333333301</v>
      </c>
    </row>
    <row r="22" spans="4:19">
      <c r="D22" s="72">
        <v>118</v>
      </c>
      <c r="E22" s="72"/>
      <c r="F22" s="72">
        <v>4.4838399999999998</v>
      </c>
      <c r="G22" s="72">
        <v>6.3633632000000002</v>
      </c>
      <c r="H22" s="72">
        <v>3.1972575999999999</v>
      </c>
      <c r="I22" s="72"/>
      <c r="J22" s="72"/>
      <c r="K22" s="72"/>
      <c r="L22" s="72"/>
      <c r="N22" s="72">
        <v>18.261184</v>
      </c>
      <c r="O22" s="72">
        <v>10.158832</v>
      </c>
      <c r="P22" s="72">
        <f t="shared" si="0"/>
        <v>14.210008</v>
      </c>
      <c r="R22" s="72"/>
      <c r="S22" s="72">
        <f>MIN(O22,L22,H22)</f>
        <v>3.1972575999999999</v>
      </c>
    </row>
    <row r="23" spans="4:19">
      <c r="D23" s="72">
        <v>119</v>
      </c>
      <c r="E23" s="72"/>
      <c r="F23" s="72">
        <v>4.5829674999999996</v>
      </c>
      <c r="G23" s="72">
        <v>6.5884194000000003</v>
      </c>
      <c r="H23" s="72">
        <v>3.2086592</v>
      </c>
      <c r="I23" s="72"/>
      <c r="J23" s="72"/>
      <c r="K23" s="72"/>
      <c r="L23" s="72"/>
      <c r="N23" s="72">
        <v>18.642178000000001</v>
      </c>
      <c r="O23" s="72">
        <v>10.726944</v>
      </c>
      <c r="P23" s="72">
        <f t="shared" si="0"/>
        <v>14.684561</v>
      </c>
      <c r="R23" s="72"/>
      <c r="S23" s="72">
        <f>MIN(O23,L23,H23)</f>
        <v>3.2086592</v>
      </c>
    </row>
    <row r="24" spans="4:19">
      <c r="D24" s="72">
        <v>120</v>
      </c>
      <c r="E24" s="72"/>
      <c r="F24" s="72">
        <v>4.6499999999999897</v>
      </c>
      <c r="G24" s="72">
        <v>6.75999999999999</v>
      </c>
      <c r="H24" s="72">
        <v>3.2</v>
      </c>
      <c r="I24" s="72"/>
      <c r="J24" s="72"/>
      <c r="K24" s="72"/>
      <c r="L24" s="72"/>
      <c r="N24" s="72">
        <v>19</v>
      </c>
      <c r="O24" s="72">
        <v>11.1999999999999</v>
      </c>
      <c r="P24" s="72">
        <f t="shared" si="0"/>
        <v>15.09999999999995</v>
      </c>
      <c r="R24" s="72"/>
      <c r="S24" s="72">
        <f>MIN(O24,L24,H24)</f>
        <v>3.2</v>
      </c>
    </row>
    <row r="25" spans="4:19">
      <c r="D25" s="72">
        <v>121</v>
      </c>
      <c r="E25" s="72"/>
      <c r="F25" s="72">
        <v>4.6832025000000002</v>
      </c>
      <c r="G25" s="72">
        <v>6.8734109999999902</v>
      </c>
      <c r="H25" s="72">
        <v>3.1712600000000002</v>
      </c>
      <c r="I25" s="72"/>
      <c r="J25" s="72"/>
      <c r="K25" s="72"/>
      <c r="L25" s="72"/>
      <c r="N25" s="72">
        <v>19.33671</v>
      </c>
      <c r="O25" s="72">
        <v>11.566229999999999</v>
      </c>
      <c r="P25" s="72">
        <f t="shared" si="0"/>
        <v>15.45147</v>
      </c>
      <c r="R25" s="72"/>
      <c r="S25" s="72">
        <f>MIN(O25,L25,H25)</f>
        <v>3.1712600000000002</v>
      </c>
    </row>
    <row r="26" spans="4:19">
      <c r="D26" s="72">
        <v>122</v>
      </c>
      <c r="E26" s="72"/>
      <c r="F26" s="72">
        <v>4.6847199999999898</v>
      </c>
      <c r="G26" s="72">
        <v>6.93225599999999</v>
      </c>
      <c r="H26" s="72">
        <v>3.1238773333333301</v>
      </c>
      <c r="I26" s="72"/>
      <c r="J26" s="72"/>
      <c r="K26" s="72"/>
      <c r="L26" s="72"/>
      <c r="N26" s="72">
        <v>19.6499733333333</v>
      </c>
      <c r="O26" s="72">
        <v>11.8240533333333</v>
      </c>
      <c r="P26" s="72">
        <f t="shared" si="0"/>
        <v>15.7370133333333</v>
      </c>
      <c r="R26" s="72"/>
      <c r="S26" s="72">
        <f>MIN(O26,L26,H26)</f>
        <v>3.1238773333333301</v>
      </c>
    </row>
    <row r="27" spans="4:19">
      <c r="D27" s="72">
        <v>123</v>
      </c>
      <c r="E27" s="72"/>
      <c r="F27" s="72">
        <v>4.6576674999999996</v>
      </c>
      <c r="G27" s="72">
        <v>6.94221299999999</v>
      </c>
      <c r="H27" s="72">
        <v>3.0596546666666602</v>
      </c>
      <c r="I27" s="72"/>
      <c r="J27" s="72"/>
      <c r="K27" s="72"/>
      <c r="L27" s="72"/>
      <c r="N27" s="72">
        <v>19.936356666666601</v>
      </c>
      <c r="O27" s="72">
        <v>11.9744366666666</v>
      </c>
      <c r="P27" s="72">
        <f t="shared" si="0"/>
        <v>15.955396666666601</v>
      </c>
      <c r="R27" s="72"/>
      <c r="S27" s="72">
        <f>MIN(O27,L27,H27)</f>
        <v>3.0596546666666602</v>
      </c>
    </row>
    <row r="28" spans="4:19">
      <c r="D28" s="72">
        <v>124</v>
      </c>
      <c r="E28" s="72"/>
      <c r="F28" s="72">
        <v>4.6051599999999899</v>
      </c>
      <c r="G28" s="72">
        <v>6.9089599999999898</v>
      </c>
      <c r="H28" s="72">
        <v>2.9803946666666601</v>
      </c>
      <c r="I28" s="72"/>
      <c r="J28" s="72"/>
      <c r="K28" s="72"/>
      <c r="L28" s="72"/>
      <c r="N28" s="72">
        <v>20.192426666666599</v>
      </c>
      <c r="O28" s="72">
        <v>12.0183466666666</v>
      </c>
      <c r="P28" s="72">
        <f t="shared" si="0"/>
        <v>16.1053866666666</v>
      </c>
      <c r="R28" s="72"/>
      <c r="S28" s="72">
        <f>MIN(O28,L28,H28)</f>
        <v>2.9803946666666601</v>
      </c>
    </row>
    <row r="29" spans="4:19">
      <c r="D29" s="72">
        <v>125</v>
      </c>
      <c r="E29" s="72"/>
      <c r="F29" s="72">
        <v>4.5303124999999902</v>
      </c>
      <c r="G29" s="72">
        <v>6.8381749999999899</v>
      </c>
      <c r="H29" s="72">
        <v>2.8879000000000001</v>
      </c>
      <c r="I29" s="72"/>
      <c r="J29" s="72"/>
      <c r="K29" s="72"/>
      <c r="L29" s="72"/>
      <c r="N29" s="72">
        <v>20.414749999999898</v>
      </c>
      <c r="O29" s="72">
        <v>11.9567499999999</v>
      </c>
      <c r="P29" s="72">
        <f t="shared" si="0"/>
        <v>16.185749999999899</v>
      </c>
      <c r="R29" s="72"/>
      <c r="S29" s="72">
        <f>MIN(O29,L29,H29)</f>
        <v>2.8879000000000001</v>
      </c>
    </row>
    <row r="30" spans="4:19">
      <c r="D30" s="72">
        <v>126</v>
      </c>
      <c r="E30" s="72"/>
      <c r="F30" s="72">
        <v>4.4362399999999997</v>
      </c>
      <c r="G30" s="72">
        <v>6.73553599999999</v>
      </c>
      <c r="H30" s="72">
        <v>2.7839733333333299</v>
      </c>
      <c r="I30" s="72"/>
      <c r="J30" s="72"/>
      <c r="K30" s="72"/>
      <c r="L30" s="72"/>
      <c r="N30" s="72">
        <v>20.599893333333299</v>
      </c>
      <c r="O30" s="72">
        <v>11.790613333333299</v>
      </c>
      <c r="P30" s="72">
        <f t="shared" si="0"/>
        <v>16.195253333333298</v>
      </c>
      <c r="R30" s="72"/>
      <c r="S30" s="72">
        <f>MIN(O30,L30,H30)</f>
        <v>2.7839733333333299</v>
      </c>
    </row>
    <row r="31" spans="4:19">
      <c r="D31" s="72">
        <v>127</v>
      </c>
      <c r="E31" s="72"/>
      <c r="F31" s="72">
        <v>4.3260574999999903</v>
      </c>
      <c r="G31" s="72">
        <v>6.6067210000000003</v>
      </c>
      <c r="H31" s="72">
        <v>2.6704173333333299</v>
      </c>
      <c r="I31" s="72"/>
      <c r="J31" s="72"/>
      <c r="K31" s="72"/>
      <c r="L31" s="72"/>
      <c r="N31" s="72">
        <v>20.744423333333302</v>
      </c>
      <c r="O31" s="72">
        <v>11.520903333333299</v>
      </c>
      <c r="P31" s="72">
        <f t="shared" si="0"/>
        <v>16.132663333333301</v>
      </c>
      <c r="R31" s="72"/>
      <c r="S31" s="72">
        <f>MIN(O31,L31,H31)</f>
        <v>2.6704173333333299</v>
      </c>
    </row>
    <row r="32" spans="4:19">
      <c r="D32" s="72">
        <v>128</v>
      </c>
      <c r="E32" s="72"/>
      <c r="F32" s="72">
        <v>4.2028799999999897</v>
      </c>
      <c r="G32" s="72">
        <v>6.4574079999999903</v>
      </c>
      <c r="H32" s="72">
        <v>2.5490346666666599</v>
      </c>
      <c r="I32" s="72"/>
      <c r="J32" s="72"/>
      <c r="K32" s="72"/>
      <c r="L32" s="72"/>
      <c r="N32" s="72">
        <v>20.844906666666599</v>
      </c>
      <c r="O32" s="72">
        <v>11.148586666666599</v>
      </c>
      <c r="P32" s="72">
        <f t="shared" si="0"/>
        <v>15.996746666666599</v>
      </c>
      <c r="R32" s="72"/>
      <c r="S32" s="72">
        <f>MIN(O32,L32,H32)</f>
        <v>2.5490346666666599</v>
      </c>
    </row>
    <row r="33" spans="4:19">
      <c r="D33" s="72">
        <v>129</v>
      </c>
      <c r="E33" s="72"/>
      <c r="F33" s="72">
        <v>4.0698224999999901</v>
      </c>
      <c r="G33" s="72">
        <v>6.2932750000000004</v>
      </c>
      <c r="H33" s="72">
        <v>2.4216279999999899</v>
      </c>
      <c r="I33" s="72"/>
      <c r="J33" s="72"/>
      <c r="K33" s="72"/>
      <c r="L33" s="72"/>
      <c r="N33" s="72">
        <v>20.8979099999999</v>
      </c>
      <c r="O33" s="72">
        <v>10.674629999999899</v>
      </c>
      <c r="P33" s="72">
        <f t="shared" si="0"/>
        <v>15.786269999999899</v>
      </c>
      <c r="R33" s="72"/>
      <c r="S33" s="72">
        <f>MIN(O33,L33,H33)</f>
        <v>2.4216279999999899</v>
      </c>
    </row>
    <row r="34" spans="4:19">
      <c r="D34" s="72">
        <v>130</v>
      </c>
      <c r="E34" s="72"/>
      <c r="F34" s="72">
        <v>3.9299999999999899</v>
      </c>
      <c r="G34" s="72">
        <v>6.1199999999999903</v>
      </c>
      <c r="H34" s="72">
        <v>2.29</v>
      </c>
      <c r="I34" s="72"/>
      <c r="J34" s="72"/>
      <c r="K34" s="72"/>
      <c r="L34" s="72"/>
      <c r="N34" s="72">
        <v>20.899999999999899</v>
      </c>
      <c r="O34" s="72">
        <v>10.0999999999999</v>
      </c>
      <c r="P34" s="72">
        <f t="shared" si="0"/>
        <v>15.499999999999901</v>
      </c>
      <c r="R34" s="72"/>
      <c r="S34" s="72">
        <f>MIN(O34,L34,H34)</f>
        <v>2.29</v>
      </c>
    </row>
    <row r="35" spans="4:19">
      <c r="D35" s="72">
        <v>131</v>
      </c>
      <c r="E35" s="72"/>
      <c r="F35" s="72">
        <v>3.7861424999999902</v>
      </c>
      <c r="G35" s="72">
        <v>5.9423874000000003</v>
      </c>
      <c r="H35" s="72">
        <v>2.1558351999999901</v>
      </c>
      <c r="I35" s="72"/>
      <c r="J35" s="72"/>
      <c r="K35" s="72"/>
      <c r="L35" s="72"/>
      <c r="N35" s="72">
        <v>20.847677999999899</v>
      </c>
      <c r="O35" s="72">
        <v>9.4282939999999993</v>
      </c>
      <c r="P35" s="72">
        <f t="shared" si="0"/>
        <v>15.137985999999948</v>
      </c>
      <c r="R35" s="72"/>
      <c r="S35" s="72">
        <f>MIN(O35,L35,H35)</f>
        <v>2.1558351999999901</v>
      </c>
    </row>
    <row r="36" spans="4:19">
      <c r="D36" s="72">
        <v>132</v>
      </c>
      <c r="E36" s="72"/>
      <c r="F36" s="72">
        <v>3.63944</v>
      </c>
      <c r="G36" s="72">
        <v>5.7617472000000003</v>
      </c>
      <c r="H36" s="72">
        <v>2.0203456000000002</v>
      </c>
      <c r="I36" s="72"/>
      <c r="J36" s="72"/>
      <c r="K36" s="72"/>
      <c r="L36" s="72"/>
      <c r="N36" s="72">
        <v>20.7371839999999</v>
      </c>
      <c r="O36" s="72">
        <v>8.6736319999999907</v>
      </c>
      <c r="P36" s="72">
        <f t="shared" si="0"/>
        <v>14.705407999999945</v>
      </c>
      <c r="R36" s="72"/>
      <c r="S36" s="72">
        <f>MIN(O36,L36,H36)</f>
        <v>2.0203456000000002</v>
      </c>
    </row>
    <row r="37" spans="4:19">
      <c r="D37" s="72">
        <v>133</v>
      </c>
      <c r="E37" s="72"/>
      <c r="F37" s="72">
        <v>3.4906974999999898</v>
      </c>
      <c r="G37" s="72">
        <v>5.5785157999999901</v>
      </c>
      <c r="H37" s="72">
        <v>1.88462506666666</v>
      </c>
      <c r="I37" s="72"/>
      <c r="J37" s="72"/>
      <c r="K37" s="72"/>
      <c r="L37" s="72"/>
      <c r="N37" s="72">
        <v>20.564692666666598</v>
      </c>
      <c r="O37" s="72">
        <v>7.8527646666666602</v>
      </c>
      <c r="P37" s="72">
        <f t="shared" si="0"/>
        <v>14.20872866666663</v>
      </c>
      <c r="R37" s="72"/>
      <c r="S37" s="72">
        <f>MIN(O37,L37,H37)</f>
        <v>1.88462506666666</v>
      </c>
    </row>
    <row r="38" spans="4:19">
      <c r="D38" s="72">
        <v>134</v>
      </c>
      <c r="E38" s="72"/>
      <c r="F38" s="72">
        <v>3.3407199999999899</v>
      </c>
      <c r="G38" s="72">
        <v>5.3931295999999902</v>
      </c>
      <c r="H38" s="72">
        <v>1.7497674666666601</v>
      </c>
      <c r="I38" s="72"/>
      <c r="J38" s="72"/>
      <c r="K38" s="72"/>
      <c r="L38" s="72"/>
      <c r="N38" s="72">
        <v>20.326378666666599</v>
      </c>
      <c r="O38" s="72">
        <v>6.9824426666666604</v>
      </c>
      <c r="P38" s="72">
        <f t="shared" si="0"/>
        <v>13.65441066666663</v>
      </c>
      <c r="R38" s="72"/>
      <c r="S38" s="72">
        <f>MIN(O38,L38,H38)</f>
        <v>1.7497674666666601</v>
      </c>
    </row>
    <row r="39" spans="4:19">
      <c r="D39" s="72">
        <v>135</v>
      </c>
      <c r="E39" s="72"/>
      <c r="F39" s="72">
        <v>3.1903124999999899</v>
      </c>
      <c r="G39" s="72">
        <v>5.2060249999999897</v>
      </c>
      <c r="H39" s="72">
        <v>1.61686666666666</v>
      </c>
      <c r="I39" s="72"/>
      <c r="J39" s="72"/>
      <c r="K39" s="72"/>
      <c r="L39" s="72"/>
      <c r="N39" s="72">
        <v>20.018416666666599</v>
      </c>
      <c r="O39" s="72">
        <v>6.0794166666666598</v>
      </c>
      <c r="P39" s="72">
        <f t="shared" si="0"/>
        <v>13.04891666666663</v>
      </c>
      <c r="R39" s="72"/>
      <c r="S39" s="72">
        <f>MIN(O39,L39,H39)</f>
        <v>1.61686666666666</v>
      </c>
    </row>
    <row r="40" spans="4:19">
      <c r="D40" s="72">
        <v>136</v>
      </c>
      <c r="E40" s="72"/>
      <c r="F40" s="72">
        <v>3.0402799999999899</v>
      </c>
      <c r="G40" s="72">
        <v>5.0176384000000001</v>
      </c>
      <c r="H40" s="72">
        <v>1.4870165333333301</v>
      </c>
      <c r="I40" s="72"/>
      <c r="J40" s="72"/>
      <c r="K40" s="72"/>
      <c r="L40" s="72"/>
      <c r="N40" s="72">
        <v>19.636981333333299</v>
      </c>
      <c r="O40" s="72">
        <v>5.1604373333333298</v>
      </c>
      <c r="P40" s="72">
        <f t="shared" si="0"/>
        <v>12.398709333333315</v>
      </c>
      <c r="R40" s="72"/>
      <c r="S40" s="72">
        <f>MIN(O40,L40,H40)</f>
        <v>1.4870165333333301</v>
      </c>
    </row>
    <row r="41" spans="4:19">
      <c r="D41" s="72">
        <v>137</v>
      </c>
      <c r="E41" s="72"/>
      <c r="F41" s="72">
        <v>2.8914274999999998</v>
      </c>
      <c r="G41" s="72">
        <v>4.8284061999999901</v>
      </c>
      <c r="H41" s="72">
        <v>1.36131093333333</v>
      </c>
      <c r="I41" s="72"/>
      <c r="J41" s="72"/>
      <c r="K41" s="72"/>
      <c r="L41" s="72"/>
      <c r="N41" s="72">
        <v>19.178247333333299</v>
      </c>
      <c r="O41" s="72">
        <v>4.2422553333333299</v>
      </c>
      <c r="P41" s="72">
        <f t="shared" si="0"/>
        <v>11.710251333333314</v>
      </c>
      <c r="R41" s="72"/>
      <c r="S41" s="72">
        <f>MIN(O41,L41,H41)</f>
        <v>1.36131093333333</v>
      </c>
    </row>
    <row r="42" spans="4:19">
      <c r="D42" s="72">
        <v>138</v>
      </c>
      <c r="E42" s="72"/>
      <c r="F42" s="72">
        <v>2.7445599999999999</v>
      </c>
      <c r="G42" s="72">
        <v>4.6387647999999997</v>
      </c>
      <c r="H42" s="72">
        <v>1.24084373333333</v>
      </c>
      <c r="I42" s="72"/>
      <c r="J42" s="72"/>
      <c r="K42" s="72"/>
      <c r="L42" s="72"/>
      <c r="N42" s="72">
        <v>18.638389333333301</v>
      </c>
      <c r="O42" s="72">
        <v>3.3416213333333298</v>
      </c>
      <c r="P42" s="72">
        <f t="shared" si="0"/>
        <v>10.990005333333315</v>
      </c>
      <c r="R42" s="72"/>
      <c r="S42" s="72">
        <f>MIN(O42,L42,H42)</f>
        <v>1.24084373333333</v>
      </c>
    </row>
    <row r="43" spans="4:19">
      <c r="D43" s="72">
        <v>139</v>
      </c>
      <c r="E43" s="72"/>
      <c r="F43" s="72">
        <v>2.6004825</v>
      </c>
      <c r="G43" s="72">
        <v>4.4491505999999896</v>
      </c>
      <c r="H43" s="72">
        <v>1.1267087999999901</v>
      </c>
      <c r="I43" s="72"/>
      <c r="J43" s="72"/>
      <c r="K43" s="72"/>
      <c r="L43" s="72"/>
      <c r="N43" s="72">
        <v>18.0135819999999</v>
      </c>
      <c r="O43" s="72">
        <v>2.4752859999999899</v>
      </c>
      <c r="P43" s="72">
        <f t="shared" si="0"/>
        <v>10.244433999999945</v>
      </c>
      <c r="R43" s="72"/>
      <c r="S43" s="72">
        <f>MIN(O43,L43,H43)</f>
        <v>1.1267087999999901</v>
      </c>
    </row>
    <row r="44" spans="4:19">
      <c r="D44" s="72">
        <v>140</v>
      </c>
      <c r="E44" s="72"/>
      <c r="F44" s="72">
        <v>2.4599999999999902</v>
      </c>
      <c r="G44" s="72">
        <v>4.25999999999999</v>
      </c>
      <c r="H44" s="72">
        <v>1.01999999999999</v>
      </c>
      <c r="J44" s="72"/>
      <c r="K44" s="72"/>
      <c r="L44" s="72"/>
      <c r="N44" s="72">
        <v>17.299999999999901</v>
      </c>
      <c r="O44" s="72">
        <v>1.6599999999999899</v>
      </c>
      <c r="P44" s="72">
        <f t="shared" si="0"/>
        <v>9.4799999999999454</v>
      </c>
      <c r="R44" s="72"/>
      <c r="S44" s="72">
        <f>MIN(O44,L44,H44)</f>
        <v>1.01999999999999</v>
      </c>
    </row>
    <row r="45" spans="4:19">
      <c r="D45" s="72">
        <v>141</v>
      </c>
      <c r="E45" s="72"/>
      <c r="F45" s="72">
        <v>2.3239174999999901</v>
      </c>
      <c r="G45" s="72">
        <v>4.0717493999999901</v>
      </c>
      <c r="H45" s="72">
        <v>0.92181119999999905</v>
      </c>
      <c r="J45" s="72"/>
      <c r="K45" s="72"/>
      <c r="L45" s="72"/>
      <c r="N45" s="72">
        <v>16.493817999999902</v>
      </c>
      <c r="O45" s="72">
        <v>0.91251399999999805</v>
      </c>
      <c r="P45" s="72">
        <f t="shared" si="0"/>
        <v>8.7031659999999498</v>
      </c>
      <c r="R45" s="72"/>
      <c r="S45" s="72">
        <f>MIN(O45,L45,H45)</f>
        <v>0.91251399999999805</v>
      </c>
    </row>
    <row r="46" spans="4:19">
      <c r="D46" s="72">
        <v>142</v>
      </c>
      <c r="E46" s="72"/>
      <c r="F46" s="72">
        <v>2.1930399999999999</v>
      </c>
      <c r="G46" s="72">
        <v>3.8848351999999902</v>
      </c>
      <c r="H46" s="72">
        <v>0.83323626666666595</v>
      </c>
      <c r="J46" s="72"/>
      <c r="K46" s="72"/>
      <c r="L46" s="72"/>
      <c r="N46" s="72">
        <v>15.591210666666599</v>
      </c>
      <c r="O46" s="72">
        <v>0.249578666666666</v>
      </c>
      <c r="P46" s="72">
        <f t="shared" si="0"/>
        <v>7.9203946666666329</v>
      </c>
      <c r="R46" s="72"/>
      <c r="S46" s="72">
        <f>MIN(O46,L46,H46)</f>
        <v>0.249578666666666</v>
      </c>
    </row>
    <row r="47" spans="4:19">
      <c r="D47" s="72">
        <v>143</v>
      </c>
      <c r="E47" s="72"/>
      <c r="F47" s="72">
        <v>2.06817249999999</v>
      </c>
      <c r="G47" s="72">
        <v>3.6996937999999902</v>
      </c>
      <c r="H47" s="72">
        <v>0.75536906666666603</v>
      </c>
      <c r="J47" s="72"/>
      <c r="K47" s="72"/>
      <c r="L47" s="72"/>
      <c r="N47" s="72">
        <v>14.5883526666666</v>
      </c>
      <c r="O47" s="72">
        <v>0</v>
      </c>
      <c r="P47" s="72">
        <f t="shared" si="0"/>
        <v>7.2941763333332998</v>
      </c>
      <c r="R47" s="72"/>
      <c r="S47" s="72">
        <f>MIN(O47,L47,H47)</f>
        <v>0</v>
      </c>
    </row>
    <row r="48" spans="4:19">
      <c r="D48" s="72">
        <v>144</v>
      </c>
      <c r="E48" s="72"/>
      <c r="F48" s="72">
        <v>1.9501200000000001</v>
      </c>
      <c r="G48" s="72">
        <v>3.5167615999999899</v>
      </c>
      <c r="H48" s="72">
        <v>0.68930346666666598</v>
      </c>
      <c r="J48" s="72"/>
      <c r="K48" s="72"/>
      <c r="L48" s="72"/>
      <c r="N48" s="72">
        <v>13.481418666666601</v>
      </c>
      <c r="O48" s="72">
        <v>0</v>
      </c>
      <c r="P48" s="72">
        <f t="shared" si="0"/>
        <v>6.7407093333333004</v>
      </c>
      <c r="R48" s="72"/>
      <c r="S48" s="72">
        <f>MIN(O48,L48,H48)</f>
        <v>0</v>
      </c>
    </row>
    <row r="49" spans="4:19">
      <c r="D49" s="72">
        <v>145</v>
      </c>
      <c r="E49" s="72"/>
      <c r="F49" s="72">
        <v>1.8396874999999899</v>
      </c>
      <c r="G49" s="72">
        <v>3.3364749999999899</v>
      </c>
      <c r="H49" s="72">
        <v>0.636133333333333</v>
      </c>
      <c r="J49" s="72"/>
      <c r="K49" s="72"/>
      <c r="L49" s="72"/>
      <c r="N49" s="72">
        <v>12.266583333333299</v>
      </c>
      <c r="O49" s="72">
        <v>0</v>
      </c>
      <c r="P49" s="72">
        <f t="shared" si="0"/>
        <v>6.1332916666666497</v>
      </c>
      <c r="R49" s="72"/>
      <c r="S49" s="72">
        <f>MIN(O49,L49,H49)</f>
        <v>0</v>
      </c>
    </row>
    <row r="50" spans="4:19">
      <c r="D50" s="72">
        <v>146</v>
      </c>
      <c r="E50" s="72"/>
      <c r="F50" s="72">
        <v>1.7376799999999999</v>
      </c>
      <c r="G50" s="72">
        <v>3.1592703999999898</v>
      </c>
      <c r="H50" s="72">
        <v>0.59695253333333298</v>
      </c>
      <c r="J50" s="72"/>
      <c r="K50" s="72"/>
      <c r="L50" s="72"/>
      <c r="N50" s="72">
        <v>10.9400213333333</v>
      </c>
      <c r="O50" s="72">
        <v>0</v>
      </c>
      <c r="P50" s="72">
        <f t="shared" si="0"/>
        <v>5.4700106666666501</v>
      </c>
      <c r="R50" s="72"/>
      <c r="S50" s="72">
        <f>MIN(O50,L50,H50)</f>
        <v>0</v>
      </c>
    </row>
    <row r="51" spans="4:19">
      <c r="D51" s="72">
        <v>147</v>
      </c>
      <c r="E51" s="72"/>
      <c r="F51" s="72">
        <v>1.6449024999999999</v>
      </c>
      <c r="G51" s="72">
        <v>2.9855841999999901</v>
      </c>
      <c r="H51" s="72">
        <v>0.57285493333333304</v>
      </c>
      <c r="J51" s="72"/>
      <c r="K51" s="72"/>
      <c r="L51" s="72"/>
      <c r="N51" s="72">
        <v>9.4979073333333304</v>
      </c>
      <c r="O51" s="72">
        <v>0</v>
      </c>
      <c r="P51" s="72">
        <f t="shared" si="0"/>
        <v>4.7489536666666652</v>
      </c>
      <c r="R51" s="72"/>
      <c r="S51" s="72">
        <f>MIN(O51,L51,H51)</f>
        <v>0</v>
      </c>
    </row>
    <row r="52" spans="4:19">
      <c r="D52" s="72">
        <v>148</v>
      </c>
      <c r="E52" s="72"/>
      <c r="F52" s="72">
        <v>1.56215999999999</v>
      </c>
      <c r="G52" s="72">
        <v>2.8158527999999898</v>
      </c>
      <c r="H52" s="72">
        <v>0.56493439999999895</v>
      </c>
      <c r="J52" s="72"/>
      <c r="K52" s="72"/>
      <c r="L52" s="72"/>
      <c r="N52" s="72">
        <v>7.9364160000000004</v>
      </c>
      <c r="O52" s="72">
        <v>0</v>
      </c>
      <c r="P52" s="72">
        <f t="shared" si="0"/>
        <v>3.9682080000000002</v>
      </c>
      <c r="R52" s="72"/>
      <c r="S52" s="72">
        <f>MIN(O52,L52,H52)</f>
        <v>0</v>
      </c>
    </row>
    <row r="53" spans="4:19">
      <c r="D53" s="72">
        <v>149</v>
      </c>
      <c r="E53" s="72"/>
      <c r="F53" s="72">
        <v>1.4902575</v>
      </c>
      <c r="G53" s="72">
        <v>2.6505125999999901</v>
      </c>
      <c r="H53" s="72">
        <v>0.57428480000000004</v>
      </c>
      <c r="J53" s="72"/>
      <c r="K53" s="72"/>
      <c r="L53" s="72"/>
      <c r="N53" s="72">
        <v>6.251722</v>
      </c>
      <c r="O53" s="72">
        <v>0</v>
      </c>
      <c r="P53" s="72">
        <f t="shared" si="0"/>
        <v>3.125861</v>
      </c>
      <c r="R53" s="72"/>
      <c r="S53" s="72">
        <f>MIN(O53,L53,H53)</f>
        <v>0</v>
      </c>
    </row>
    <row r="54" spans="4:19">
      <c r="D54" s="72">
        <v>150</v>
      </c>
      <c r="E54" s="72"/>
      <c r="F54" s="72">
        <v>1.4299999999999899</v>
      </c>
      <c r="G54" s="72">
        <v>2.4900000000000002</v>
      </c>
      <c r="H54" s="72">
        <v>0.60199999999999898</v>
      </c>
      <c r="J54" s="72"/>
      <c r="K54" s="72"/>
      <c r="L54" s="72"/>
      <c r="N54" s="72">
        <v>4.4400000000000004</v>
      </c>
      <c r="O54" s="72">
        <v>0</v>
      </c>
      <c r="P54" s="72">
        <f t="shared" si="0"/>
        <v>2.2200000000000002</v>
      </c>
      <c r="R54" s="72"/>
      <c r="S54" s="72">
        <f>MIN(O54,L54,H54)</f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D54E-B4A4-4EE4-87A5-FE7BB936280A}">
  <dimension ref="B2:N50"/>
  <sheetViews>
    <sheetView workbookViewId="0">
      <selection activeCell="E12" sqref="E12"/>
    </sheetView>
  </sheetViews>
  <sheetFormatPr defaultRowHeight="15"/>
  <cols>
    <col min="3" max="3" width="16" customWidth="1"/>
    <col min="4" max="5" width="15.85546875" customWidth="1"/>
    <col min="8" max="8" width="9.7109375" customWidth="1"/>
    <col min="9" max="9" width="9.85546875" customWidth="1"/>
    <col min="13" max="13" width="15" customWidth="1"/>
    <col min="14" max="14" width="15.42578125" customWidth="1"/>
  </cols>
  <sheetData>
    <row r="2" spans="2:14">
      <c r="B2" t="s">
        <v>305</v>
      </c>
      <c r="G2" t="s">
        <v>306</v>
      </c>
      <c r="L2" t="s">
        <v>307</v>
      </c>
    </row>
    <row r="4" spans="2:14">
      <c r="B4" s="46"/>
      <c r="C4" s="80" t="s">
        <v>336</v>
      </c>
      <c r="D4" s="81"/>
      <c r="E4" s="82"/>
      <c r="G4" s="46"/>
      <c r="H4" s="46" t="s">
        <v>344</v>
      </c>
      <c r="I4" s="46"/>
      <c r="L4" s="46"/>
      <c r="M4" s="46" t="s">
        <v>353</v>
      </c>
      <c r="N4" s="46"/>
    </row>
    <row r="5" spans="2:14" ht="26.25">
      <c r="B5" s="46" t="s">
        <v>195</v>
      </c>
      <c r="C5" s="68" t="s">
        <v>334</v>
      </c>
      <c r="D5" s="68" t="s">
        <v>335</v>
      </c>
      <c r="E5" s="83"/>
      <c r="G5" s="46" t="s">
        <v>195</v>
      </c>
      <c r="H5" s="65" t="s">
        <v>345</v>
      </c>
      <c r="I5" s="68" t="s">
        <v>343</v>
      </c>
      <c r="L5" s="46" t="s">
        <v>195</v>
      </c>
      <c r="M5" s="68" t="s">
        <v>351</v>
      </c>
      <c r="N5" s="68" t="s">
        <v>352</v>
      </c>
    </row>
    <row r="6" spans="2:14">
      <c r="B6" s="46">
        <v>1</v>
      </c>
      <c r="C6" s="79">
        <v>47</v>
      </c>
      <c r="D6" s="79">
        <v>45</v>
      </c>
      <c r="E6" s="84"/>
      <c r="G6" s="46">
        <v>1</v>
      </c>
      <c r="H6" s="79">
        <v>14</v>
      </c>
      <c r="I6" s="79">
        <v>10</v>
      </c>
      <c r="L6" s="46">
        <v>1</v>
      </c>
      <c r="M6" s="79">
        <v>181.81819999999999</v>
      </c>
      <c r="N6" s="79">
        <v>230.76920000000001</v>
      </c>
    </row>
    <row r="7" spans="2:14">
      <c r="B7" s="46">
        <v>2</v>
      </c>
      <c r="C7" s="79">
        <v>43</v>
      </c>
      <c r="D7" s="79">
        <v>35</v>
      </c>
      <c r="E7" s="84"/>
      <c r="G7" s="46">
        <v>2</v>
      </c>
      <c r="H7" s="79">
        <v>16</v>
      </c>
      <c r="I7" s="79">
        <v>12</v>
      </c>
      <c r="L7" s="46">
        <v>2</v>
      </c>
      <c r="M7" s="79">
        <v>222.22219999999999</v>
      </c>
      <c r="N7" s="79">
        <v>230.76920000000001</v>
      </c>
    </row>
    <row r="8" spans="2:14">
      <c r="B8" s="46">
        <v>3</v>
      </c>
      <c r="C8" s="79">
        <v>34</v>
      </c>
      <c r="D8" s="79">
        <v>40</v>
      </c>
      <c r="E8" s="84"/>
      <c r="G8" s="46">
        <v>3</v>
      </c>
      <c r="H8" s="79">
        <v>14</v>
      </c>
      <c r="I8" s="79">
        <v>18</v>
      </c>
      <c r="L8" s="46">
        <v>3</v>
      </c>
      <c r="M8" s="79">
        <v>240</v>
      </c>
      <c r="N8" s="79">
        <v>200</v>
      </c>
    </row>
    <row r="9" spans="2:14">
      <c r="B9" s="46">
        <v>4</v>
      </c>
      <c r="C9" s="79">
        <v>33</v>
      </c>
      <c r="D9" s="79">
        <v>42</v>
      </c>
      <c r="E9" s="84"/>
      <c r="G9" s="46">
        <v>4</v>
      </c>
      <c r="H9" s="79">
        <v>10</v>
      </c>
      <c r="I9" s="79">
        <v>17</v>
      </c>
      <c r="L9" s="46">
        <v>4</v>
      </c>
      <c r="M9" s="79">
        <v>250</v>
      </c>
      <c r="N9" s="79">
        <v>187.5</v>
      </c>
    </row>
    <row r="10" spans="2:14">
      <c r="B10" s="46">
        <v>5</v>
      </c>
      <c r="C10" s="79">
        <v>53</v>
      </c>
      <c r="D10" s="79">
        <v>42</v>
      </c>
      <c r="E10" s="84"/>
      <c r="G10" s="46">
        <v>5</v>
      </c>
      <c r="H10" s="79">
        <v>11</v>
      </c>
      <c r="I10" s="79">
        <v>6</v>
      </c>
      <c r="L10" s="46">
        <v>5</v>
      </c>
      <c r="M10" s="79">
        <v>222.22219999999999</v>
      </c>
      <c r="N10" s="79">
        <v>214.28569999999999</v>
      </c>
    </row>
    <row r="11" spans="2:14">
      <c r="B11" s="46">
        <v>6</v>
      </c>
      <c r="C11" s="79">
        <v>46</v>
      </c>
      <c r="D11" s="79">
        <v>49</v>
      </c>
      <c r="E11" s="84"/>
      <c r="G11" s="46">
        <v>6</v>
      </c>
      <c r="H11" s="79">
        <v>7</v>
      </c>
      <c r="I11" s="79">
        <v>11</v>
      </c>
      <c r="L11" s="46">
        <v>6</v>
      </c>
      <c r="M11" s="79">
        <v>222.22219999999999</v>
      </c>
      <c r="N11" s="79">
        <v>230.76920000000001</v>
      </c>
    </row>
    <row r="12" spans="2:14">
      <c r="B12" s="46">
        <v>7</v>
      </c>
      <c r="C12" s="79">
        <v>39</v>
      </c>
      <c r="D12" s="79">
        <v>45</v>
      </c>
      <c r="E12" s="84"/>
      <c r="G12" s="46">
        <v>7</v>
      </c>
      <c r="H12" s="79">
        <v>8</v>
      </c>
      <c r="I12" s="79">
        <v>9</v>
      </c>
      <c r="L12" s="46">
        <v>7</v>
      </c>
      <c r="M12" s="79">
        <v>250</v>
      </c>
      <c r="N12" s="79">
        <v>222.22219999999999</v>
      </c>
    </row>
    <row r="13" spans="2:14">
      <c r="B13" s="46">
        <v>8</v>
      </c>
      <c r="C13" s="79">
        <v>56</v>
      </c>
      <c r="D13" s="79">
        <v>42</v>
      </c>
      <c r="E13" s="84"/>
      <c r="G13" s="46">
        <v>8</v>
      </c>
      <c r="H13" s="79">
        <v>11</v>
      </c>
      <c r="I13" s="79">
        <v>11</v>
      </c>
      <c r="L13" s="46">
        <v>8</v>
      </c>
      <c r="M13" s="79">
        <v>250</v>
      </c>
      <c r="N13" s="79">
        <v>240</v>
      </c>
    </row>
    <row r="14" spans="2:14">
      <c r="B14" s="46">
        <v>9</v>
      </c>
      <c r="C14" s="79">
        <v>55</v>
      </c>
      <c r="D14" s="79">
        <v>38</v>
      </c>
      <c r="E14" s="84"/>
      <c r="G14" s="46">
        <v>9</v>
      </c>
      <c r="H14" s="79">
        <v>9</v>
      </c>
      <c r="I14" s="79">
        <v>11</v>
      </c>
    </row>
    <row r="15" spans="2:14">
      <c r="B15" s="46">
        <v>10</v>
      </c>
      <c r="C15" s="79">
        <v>67</v>
      </c>
      <c r="D15" s="79">
        <v>40</v>
      </c>
      <c r="E15" s="84"/>
      <c r="G15" s="46">
        <v>10</v>
      </c>
      <c r="H15" s="79">
        <v>12</v>
      </c>
      <c r="I15" s="79"/>
    </row>
    <row r="16" spans="2:14">
      <c r="B16" s="46">
        <v>11</v>
      </c>
      <c r="C16" s="79">
        <v>47</v>
      </c>
      <c r="D16" s="79">
        <v>55</v>
      </c>
      <c r="E16" s="84"/>
    </row>
    <row r="17" spans="2:13">
      <c r="B17" s="46">
        <v>12</v>
      </c>
      <c r="C17" s="79">
        <v>64</v>
      </c>
      <c r="D17" s="79">
        <v>48</v>
      </c>
      <c r="E17" s="84"/>
    </row>
    <row r="18" spans="2:13">
      <c r="B18" s="46">
        <v>13</v>
      </c>
      <c r="C18" s="79"/>
      <c r="D18" s="79">
        <v>41</v>
      </c>
      <c r="E18" s="84"/>
    </row>
    <row r="22" spans="2:13" ht="39">
      <c r="B22" s="69" t="s">
        <v>107</v>
      </c>
      <c r="C22" s="67" t="s">
        <v>337</v>
      </c>
      <c r="G22" s="69" t="s">
        <v>107</v>
      </c>
      <c r="H22" s="67" t="s">
        <v>346</v>
      </c>
      <c r="L22" s="69" t="s">
        <v>107</v>
      </c>
      <c r="M22" s="67" t="s">
        <v>358</v>
      </c>
    </row>
    <row r="23" spans="2:13">
      <c r="B23" s="69"/>
      <c r="C23" s="67"/>
      <c r="G23" s="69"/>
      <c r="H23" s="67"/>
      <c r="L23" s="69"/>
      <c r="M23" s="67"/>
    </row>
    <row r="24" spans="2:13" ht="26.25">
      <c r="B24" s="69" t="s">
        <v>109</v>
      </c>
      <c r="C24" s="93" t="s">
        <v>335</v>
      </c>
      <c r="G24" s="69" t="s">
        <v>109</v>
      </c>
      <c r="H24" s="93" t="s">
        <v>343</v>
      </c>
      <c r="L24" s="69" t="s">
        <v>109</v>
      </c>
      <c r="M24" s="93" t="s">
        <v>352</v>
      </c>
    </row>
    <row r="25" spans="2:13">
      <c r="B25" s="69" t="s">
        <v>110</v>
      </c>
      <c r="C25" s="67" t="s">
        <v>110</v>
      </c>
      <c r="G25" s="69" t="s">
        <v>110</v>
      </c>
      <c r="H25" s="67" t="s">
        <v>110</v>
      </c>
      <c r="L25" s="69" t="s">
        <v>110</v>
      </c>
      <c r="M25" s="67" t="s">
        <v>110</v>
      </c>
    </row>
    <row r="26" spans="2:13" ht="26.25">
      <c r="B26" s="69" t="s">
        <v>111</v>
      </c>
      <c r="C26" s="93" t="s">
        <v>334</v>
      </c>
      <c r="G26" s="69" t="s">
        <v>111</v>
      </c>
      <c r="H26" s="67" t="s">
        <v>342</v>
      </c>
      <c r="L26" s="69" t="s">
        <v>111</v>
      </c>
      <c r="M26" s="93" t="s">
        <v>351</v>
      </c>
    </row>
    <row r="27" spans="2:13">
      <c r="B27" s="69"/>
      <c r="C27" s="67"/>
      <c r="G27" s="69"/>
      <c r="H27" s="67"/>
      <c r="L27" s="69"/>
      <c r="M27" s="67"/>
    </row>
    <row r="28" spans="2:13" ht="26.25">
      <c r="B28" s="69" t="s">
        <v>112</v>
      </c>
      <c r="C28" s="67"/>
      <c r="G28" s="69" t="s">
        <v>112</v>
      </c>
      <c r="H28" s="67"/>
      <c r="L28" s="69" t="s">
        <v>112</v>
      </c>
      <c r="M28" s="67"/>
    </row>
    <row r="29" spans="2:13">
      <c r="B29" s="60" t="s">
        <v>113</v>
      </c>
      <c r="C29" s="61">
        <v>0.1181</v>
      </c>
      <c r="G29" s="60" t="s">
        <v>113</v>
      </c>
      <c r="H29" s="61">
        <v>0.76229999999999998</v>
      </c>
      <c r="L29" s="60" t="s">
        <v>113</v>
      </c>
      <c r="M29" s="61">
        <v>0.33960000000000001</v>
      </c>
    </row>
    <row r="30" spans="2:13" ht="26.25">
      <c r="B30" s="69" t="s">
        <v>77</v>
      </c>
      <c r="C30" s="67" t="s">
        <v>88</v>
      </c>
      <c r="G30" s="69" t="s">
        <v>77</v>
      </c>
      <c r="H30" s="67" t="s">
        <v>88</v>
      </c>
      <c r="L30" s="69" t="s">
        <v>77</v>
      </c>
      <c r="M30" s="67" t="s">
        <v>88</v>
      </c>
    </row>
    <row r="31" spans="2:13" ht="64.5">
      <c r="B31" s="69" t="s">
        <v>114</v>
      </c>
      <c r="C31" s="67" t="s">
        <v>89</v>
      </c>
      <c r="G31" s="69" t="s">
        <v>114</v>
      </c>
      <c r="H31" s="67" t="s">
        <v>89</v>
      </c>
      <c r="L31" s="69" t="s">
        <v>114</v>
      </c>
      <c r="M31" s="67" t="s">
        <v>89</v>
      </c>
    </row>
    <row r="32" spans="2:13" ht="39">
      <c r="B32" s="69" t="s">
        <v>115</v>
      </c>
      <c r="C32" s="67" t="s">
        <v>116</v>
      </c>
      <c r="G32" s="69" t="s">
        <v>115</v>
      </c>
      <c r="H32" s="67" t="s">
        <v>116</v>
      </c>
      <c r="L32" s="69" t="s">
        <v>115</v>
      </c>
      <c r="M32" s="67" t="s">
        <v>116</v>
      </c>
    </row>
    <row r="33" spans="2:13" ht="26.25">
      <c r="B33" s="69" t="s">
        <v>117</v>
      </c>
      <c r="C33" s="67" t="s">
        <v>338</v>
      </c>
      <c r="G33" s="69" t="s">
        <v>117</v>
      </c>
      <c r="H33" s="67" t="s">
        <v>347</v>
      </c>
      <c r="L33" s="69" t="s">
        <v>117</v>
      </c>
      <c r="M33" s="67" t="s">
        <v>354</v>
      </c>
    </row>
    <row r="34" spans="2:13">
      <c r="B34" s="69"/>
      <c r="C34" s="67"/>
      <c r="G34" s="69"/>
      <c r="H34" s="67"/>
      <c r="L34" s="69"/>
      <c r="M34" s="67"/>
    </row>
    <row r="35" spans="2:13" ht="51.75">
      <c r="B35" s="69" t="s">
        <v>119</v>
      </c>
      <c r="C35" s="67"/>
      <c r="G35" s="69" t="s">
        <v>119</v>
      </c>
      <c r="H35" s="67"/>
      <c r="L35" s="69" t="s">
        <v>119</v>
      </c>
      <c r="M35" s="67"/>
    </row>
    <row r="36" spans="2:13" ht="26.25">
      <c r="B36" s="69" t="s">
        <v>120</v>
      </c>
      <c r="C36" s="67">
        <v>48.67</v>
      </c>
      <c r="G36" s="69" t="s">
        <v>120</v>
      </c>
      <c r="H36" s="67">
        <v>11.2</v>
      </c>
      <c r="L36" s="69" t="s">
        <v>120</v>
      </c>
      <c r="M36" s="67">
        <v>229.8</v>
      </c>
    </row>
    <row r="37" spans="2:13" ht="26.25">
      <c r="B37" s="69" t="s">
        <v>121</v>
      </c>
      <c r="C37" s="67">
        <v>43.23</v>
      </c>
      <c r="G37" s="69" t="s">
        <v>121</v>
      </c>
      <c r="H37" s="67">
        <v>11.67</v>
      </c>
      <c r="L37" s="69" t="s">
        <v>121</v>
      </c>
      <c r="M37" s="67">
        <v>219.5</v>
      </c>
    </row>
    <row r="38" spans="2:13" ht="64.5">
      <c r="B38" s="69" t="s">
        <v>122</v>
      </c>
      <c r="C38" s="67" t="s">
        <v>339</v>
      </c>
      <c r="G38" s="69" t="s">
        <v>122</v>
      </c>
      <c r="H38" s="67" t="s">
        <v>348</v>
      </c>
      <c r="L38" s="69" t="s">
        <v>122</v>
      </c>
      <c r="M38" s="67" t="s">
        <v>355</v>
      </c>
    </row>
    <row r="39" spans="2:13" ht="39">
      <c r="B39" s="69" t="s">
        <v>83</v>
      </c>
      <c r="C39" s="67" t="s">
        <v>340</v>
      </c>
      <c r="G39" s="69" t="s">
        <v>83</v>
      </c>
      <c r="H39" s="67" t="s">
        <v>349</v>
      </c>
      <c r="L39" s="69" t="s">
        <v>83</v>
      </c>
      <c r="M39" s="67" t="s">
        <v>356</v>
      </c>
    </row>
    <row r="40" spans="2:13" ht="51.75">
      <c r="B40" s="69" t="s">
        <v>125</v>
      </c>
      <c r="C40" s="67">
        <v>0.1028</v>
      </c>
      <c r="G40" s="69" t="s">
        <v>125</v>
      </c>
      <c r="H40" s="67">
        <v>5.5269999999999998E-3</v>
      </c>
      <c r="L40" s="69" t="s">
        <v>125</v>
      </c>
      <c r="M40" s="67">
        <v>6.5280000000000005E-2</v>
      </c>
    </row>
    <row r="41" spans="2:13">
      <c r="B41" s="69"/>
      <c r="C41" s="67"/>
      <c r="G41" s="69"/>
      <c r="H41" s="67"/>
      <c r="L41" s="69"/>
      <c r="M41" s="67"/>
    </row>
    <row r="42" spans="2:13" ht="39">
      <c r="B42" s="69" t="s">
        <v>126</v>
      </c>
      <c r="C42" s="67"/>
      <c r="G42" s="69" t="s">
        <v>126</v>
      </c>
      <c r="H42" s="67"/>
      <c r="L42" s="69" t="s">
        <v>126</v>
      </c>
      <c r="M42" s="67"/>
    </row>
    <row r="43" spans="2:13" ht="26.25">
      <c r="B43" s="69" t="s">
        <v>127</v>
      </c>
      <c r="C43" s="67" t="s">
        <v>341</v>
      </c>
      <c r="G43" s="69" t="s">
        <v>127</v>
      </c>
      <c r="H43" s="67" t="s">
        <v>350</v>
      </c>
      <c r="L43" s="69" t="s">
        <v>127</v>
      </c>
      <c r="M43" s="67" t="s">
        <v>357</v>
      </c>
    </row>
    <row r="44" spans="2:13">
      <c r="B44" s="69" t="s">
        <v>113</v>
      </c>
      <c r="C44" s="67">
        <v>1.8700000000000001E-2</v>
      </c>
      <c r="G44" s="69" t="s">
        <v>113</v>
      </c>
      <c r="H44" s="67">
        <v>0.43959999999999999</v>
      </c>
      <c r="L44" s="69" t="s">
        <v>113</v>
      </c>
      <c r="M44" s="67">
        <v>0.50170000000000003</v>
      </c>
    </row>
    <row r="45" spans="2:13" ht="26.25">
      <c r="B45" s="69" t="s">
        <v>77</v>
      </c>
      <c r="C45" s="67" t="s">
        <v>87</v>
      </c>
      <c r="G45" s="69" t="s">
        <v>77</v>
      </c>
      <c r="H45" s="67" t="s">
        <v>88</v>
      </c>
      <c r="L45" s="69" t="s">
        <v>77</v>
      </c>
      <c r="M45" s="67" t="s">
        <v>88</v>
      </c>
    </row>
    <row r="46" spans="2:13" ht="64.5">
      <c r="B46" s="69" t="s">
        <v>114</v>
      </c>
      <c r="C46" s="67" t="s">
        <v>80</v>
      </c>
      <c r="G46" s="69" t="s">
        <v>114</v>
      </c>
      <c r="H46" s="67" t="s">
        <v>89</v>
      </c>
      <c r="L46" s="69" t="s">
        <v>114</v>
      </c>
      <c r="M46" s="67" t="s">
        <v>89</v>
      </c>
    </row>
    <row r="47" spans="2:13">
      <c r="B47" s="69"/>
      <c r="C47" s="67"/>
      <c r="G47" s="69"/>
      <c r="H47" s="67"/>
      <c r="L47" s="69"/>
      <c r="M47" s="67"/>
    </row>
    <row r="48" spans="2:13" ht="26.25">
      <c r="B48" s="69" t="s">
        <v>129</v>
      </c>
      <c r="C48" s="67"/>
      <c r="G48" s="69" t="s">
        <v>129</v>
      </c>
      <c r="H48" s="67"/>
      <c r="L48" s="69" t="s">
        <v>129</v>
      </c>
      <c r="M48" s="67"/>
    </row>
    <row r="49" spans="2:13" ht="39">
      <c r="B49" s="69" t="s">
        <v>130</v>
      </c>
      <c r="C49" s="67">
        <v>12</v>
      </c>
      <c r="G49" s="69" t="s">
        <v>130</v>
      </c>
      <c r="H49" s="67">
        <v>10</v>
      </c>
      <c r="L49" s="69" t="s">
        <v>130</v>
      </c>
      <c r="M49" s="67">
        <v>8</v>
      </c>
    </row>
    <row r="50" spans="2:13" ht="39">
      <c r="B50" s="69" t="s">
        <v>131</v>
      </c>
      <c r="C50" s="67">
        <v>13</v>
      </c>
      <c r="G50" s="69" t="s">
        <v>131</v>
      </c>
      <c r="H50" s="67">
        <v>9</v>
      </c>
      <c r="L50" s="69" t="s">
        <v>131</v>
      </c>
      <c r="M50" s="67">
        <v>8</v>
      </c>
    </row>
  </sheetData>
  <mergeCells count="1">
    <mergeCell ref="C4:D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78CA3-1A26-4239-B2FE-DC4E5DFB5F5D}">
  <dimension ref="B2:E13"/>
  <sheetViews>
    <sheetView workbookViewId="0">
      <selection activeCell="C11" sqref="C11"/>
    </sheetView>
  </sheetViews>
  <sheetFormatPr defaultRowHeight="15"/>
  <cols>
    <col min="2" max="2" width="27.42578125" customWidth="1"/>
  </cols>
  <sheetData>
    <row r="2" spans="2:5" ht="51.75">
      <c r="B2" s="65"/>
      <c r="C2" s="65" t="s">
        <v>396</v>
      </c>
      <c r="D2" s="65" t="s">
        <v>397</v>
      </c>
      <c r="E2" s="65" t="s">
        <v>398</v>
      </c>
    </row>
    <row r="3" spans="2:5" ht="39">
      <c r="B3" s="66" t="s">
        <v>399</v>
      </c>
      <c r="C3" s="67">
        <v>92.307689999999994</v>
      </c>
      <c r="D3" s="67">
        <v>0</v>
      </c>
      <c r="E3" s="67">
        <v>7.6923079999999997</v>
      </c>
    </row>
    <row r="4" spans="2:5" ht="26.25">
      <c r="B4" s="66" t="s">
        <v>400</v>
      </c>
      <c r="C4" s="67">
        <v>16.66667</v>
      </c>
      <c r="D4" s="67">
        <v>66.666669999999996</v>
      </c>
      <c r="E4" s="67">
        <v>16.66667</v>
      </c>
    </row>
    <row r="7" spans="2:5" ht="45">
      <c r="B7" s="16"/>
      <c r="C7" s="16" t="s">
        <v>654</v>
      </c>
      <c r="D7" s="16" t="s">
        <v>655</v>
      </c>
    </row>
    <row r="8" spans="2:5">
      <c r="B8" s="16" t="s">
        <v>396</v>
      </c>
      <c r="C8" s="16">
        <v>12</v>
      </c>
      <c r="D8" s="16">
        <v>3</v>
      </c>
    </row>
    <row r="9" spans="2:5" ht="30">
      <c r="B9" s="16" t="s">
        <v>651</v>
      </c>
      <c r="C9" s="16">
        <v>0</v>
      </c>
      <c r="D9" s="16">
        <v>12</v>
      </c>
    </row>
    <row r="10" spans="2:5" ht="30">
      <c r="B10" s="16" t="s">
        <v>652</v>
      </c>
      <c r="C10" s="16">
        <v>1</v>
      </c>
      <c r="D10" s="16">
        <v>3</v>
      </c>
    </row>
    <row r="11" spans="2:5">
      <c r="B11" s="16" t="s">
        <v>189</v>
      </c>
      <c r="C11" s="16">
        <v>13</v>
      </c>
      <c r="D11" s="16">
        <v>18</v>
      </c>
    </row>
    <row r="12" spans="2:5">
      <c r="B12" s="54"/>
    </row>
    <row r="13" spans="2:5">
      <c r="B13" s="7" t="s">
        <v>653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BEECA-0E1B-415A-A278-245E16F73DC6}">
  <dimension ref="B2:EH30"/>
  <sheetViews>
    <sheetView workbookViewId="0">
      <selection activeCell="F17" sqref="F17"/>
    </sheetView>
  </sheetViews>
  <sheetFormatPr defaultRowHeight="15"/>
  <sheetData>
    <row r="2" spans="2:138" ht="30.75" customHeight="1">
      <c r="B2" s="26"/>
      <c r="C2" s="88" t="s">
        <v>311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88" t="s">
        <v>312</v>
      </c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</row>
    <row r="3" spans="2:138">
      <c r="B3" s="75" t="s">
        <v>308</v>
      </c>
      <c r="C3" s="31">
        <v>9</v>
      </c>
      <c r="D3" s="31">
        <v>5</v>
      </c>
      <c r="E3" s="31">
        <v>13</v>
      </c>
      <c r="F3" s="31">
        <v>17</v>
      </c>
      <c r="G3" s="31">
        <v>14</v>
      </c>
      <c r="H3" s="31">
        <v>8</v>
      </c>
      <c r="I3" s="31">
        <v>10</v>
      </c>
      <c r="J3" s="31">
        <v>10</v>
      </c>
      <c r="K3" s="31">
        <v>11</v>
      </c>
      <c r="L3" s="31">
        <v>10</v>
      </c>
      <c r="M3" s="31">
        <v>8</v>
      </c>
      <c r="N3" s="31">
        <v>13</v>
      </c>
      <c r="O3" s="31">
        <v>8</v>
      </c>
      <c r="P3" s="31">
        <v>20</v>
      </c>
      <c r="Q3" s="31">
        <v>9</v>
      </c>
      <c r="R3" s="31">
        <v>12</v>
      </c>
      <c r="S3" s="31">
        <v>6</v>
      </c>
      <c r="T3" s="31">
        <v>10</v>
      </c>
      <c r="U3" s="31">
        <v>21</v>
      </c>
      <c r="V3" s="31">
        <v>10</v>
      </c>
      <c r="W3" s="31">
        <v>15</v>
      </c>
      <c r="X3" s="31">
        <v>10</v>
      </c>
      <c r="Y3" s="31">
        <v>14</v>
      </c>
      <c r="Z3" s="31">
        <v>10</v>
      </c>
      <c r="AA3" s="31">
        <v>14</v>
      </c>
      <c r="AB3" s="31">
        <v>24</v>
      </c>
      <c r="AC3" s="31">
        <v>9</v>
      </c>
      <c r="AD3" s="31">
        <v>7</v>
      </c>
      <c r="AE3" s="31">
        <v>12</v>
      </c>
      <c r="AF3" s="31">
        <v>10</v>
      </c>
      <c r="AG3" s="31">
        <v>10</v>
      </c>
      <c r="AH3" s="31">
        <v>12</v>
      </c>
      <c r="AI3" s="31">
        <v>12</v>
      </c>
      <c r="AJ3" s="31">
        <v>7</v>
      </c>
      <c r="AK3" s="31">
        <v>11</v>
      </c>
      <c r="AL3" s="31">
        <v>18</v>
      </c>
      <c r="AM3" s="31">
        <v>12</v>
      </c>
      <c r="AN3" s="31">
        <v>10</v>
      </c>
      <c r="AO3" s="31">
        <v>17</v>
      </c>
      <c r="AP3" s="31">
        <v>9</v>
      </c>
      <c r="AQ3" s="31">
        <v>10</v>
      </c>
      <c r="AR3" s="31">
        <v>19</v>
      </c>
      <c r="AS3" s="31">
        <v>11</v>
      </c>
      <c r="AT3" s="31">
        <v>10</v>
      </c>
      <c r="AU3" s="31">
        <v>10</v>
      </c>
      <c r="AV3" s="31">
        <v>21</v>
      </c>
      <c r="AW3" s="31">
        <v>24</v>
      </c>
      <c r="AX3" s="31">
        <v>24</v>
      </c>
      <c r="AY3" s="31">
        <v>17</v>
      </c>
      <c r="AZ3" s="31">
        <v>20</v>
      </c>
      <c r="BA3" s="31">
        <v>16</v>
      </c>
      <c r="BB3" s="31">
        <v>16</v>
      </c>
      <c r="BC3" s="31">
        <v>14</v>
      </c>
      <c r="BD3" s="31">
        <v>15</v>
      </c>
      <c r="BE3" s="31">
        <v>22</v>
      </c>
      <c r="BF3" s="31">
        <v>24</v>
      </c>
      <c r="BG3" s="31">
        <v>29</v>
      </c>
      <c r="BH3" s="31">
        <v>15</v>
      </c>
      <c r="BI3" s="31">
        <v>10</v>
      </c>
      <c r="BJ3" s="31">
        <v>24</v>
      </c>
      <c r="BK3" s="31">
        <v>16</v>
      </c>
      <c r="BL3" s="31">
        <v>18</v>
      </c>
      <c r="BM3" s="31">
        <v>10</v>
      </c>
      <c r="BN3" s="31">
        <v>22</v>
      </c>
      <c r="BO3" s="31">
        <v>22</v>
      </c>
      <c r="BP3" s="31">
        <v>18</v>
      </c>
      <c r="BQ3" s="31">
        <v>19</v>
      </c>
      <c r="BR3" s="31">
        <v>6</v>
      </c>
      <c r="BS3" s="31">
        <v>34</v>
      </c>
      <c r="BT3" s="31">
        <v>14</v>
      </c>
      <c r="BU3" s="31">
        <v>21</v>
      </c>
      <c r="BV3" s="31">
        <v>22</v>
      </c>
      <c r="BW3" s="31">
        <v>28</v>
      </c>
      <c r="BX3" s="31">
        <v>29</v>
      </c>
      <c r="BY3" s="31">
        <v>31</v>
      </c>
      <c r="BZ3" s="31">
        <v>14</v>
      </c>
      <c r="CA3" s="31">
        <v>25</v>
      </c>
      <c r="CB3" s="31">
        <v>19</v>
      </c>
      <c r="CC3" s="31">
        <v>19</v>
      </c>
      <c r="CD3" s="31">
        <v>13</v>
      </c>
      <c r="CE3" s="31">
        <v>9</v>
      </c>
      <c r="CF3" s="31">
        <v>23</v>
      </c>
      <c r="CG3" s="31">
        <v>8</v>
      </c>
      <c r="CH3" s="31">
        <v>29</v>
      </c>
      <c r="CI3" s="31">
        <v>22</v>
      </c>
      <c r="CJ3" s="31">
        <v>19</v>
      </c>
      <c r="CK3" s="31">
        <v>16</v>
      </c>
      <c r="CL3" s="31">
        <v>30</v>
      </c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</row>
    <row r="4" spans="2:138">
      <c r="B4" s="75" t="s">
        <v>104</v>
      </c>
      <c r="C4" s="31">
        <v>19</v>
      </c>
      <c r="D4" s="31">
        <v>19</v>
      </c>
      <c r="E4" s="31">
        <v>19</v>
      </c>
      <c r="F4" s="31">
        <v>24</v>
      </c>
      <c r="G4" s="31">
        <v>18</v>
      </c>
      <c r="H4" s="31">
        <v>13</v>
      </c>
      <c r="I4" s="31">
        <v>16</v>
      </c>
      <c r="J4" s="31">
        <v>23</v>
      </c>
      <c r="K4" s="31">
        <v>15</v>
      </c>
      <c r="L4" s="31">
        <v>21</v>
      </c>
      <c r="M4" s="31">
        <v>20</v>
      </c>
      <c r="N4" s="31">
        <v>10</v>
      </c>
      <c r="O4" s="31">
        <v>20</v>
      </c>
      <c r="P4" s="31">
        <v>23</v>
      </c>
      <c r="Q4" s="31">
        <v>17</v>
      </c>
      <c r="R4" s="31">
        <v>21</v>
      </c>
      <c r="S4" s="31">
        <v>15</v>
      </c>
      <c r="T4" s="31">
        <v>23</v>
      </c>
      <c r="U4" s="31">
        <v>15</v>
      </c>
      <c r="V4" s="31">
        <v>19</v>
      </c>
      <c r="W4" s="31">
        <v>19</v>
      </c>
      <c r="X4" s="31">
        <v>16</v>
      </c>
      <c r="Y4" s="31">
        <v>17</v>
      </c>
      <c r="Z4" s="31">
        <v>18</v>
      </c>
      <c r="AA4" s="31">
        <v>23</v>
      </c>
      <c r="AB4" s="31">
        <v>23</v>
      </c>
      <c r="AC4" s="31">
        <v>24</v>
      </c>
      <c r="AD4" s="31">
        <v>25</v>
      </c>
      <c r="AE4" s="31">
        <v>17</v>
      </c>
      <c r="AF4" s="31">
        <v>21</v>
      </c>
      <c r="AG4" s="31">
        <v>16</v>
      </c>
      <c r="AH4" s="31">
        <v>15</v>
      </c>
      <c r="AI4" s="31">
        <v>16</v>
      </c>
      <c r="AJ4" s="31">
        <v>22</v>
      </c>
      <c r="AK4" s="31">
        <v>23</v>
      </c>
      <c r="AL4" s="31">
        <v>23</v>
      </c>
      <c r="AM4" s="31">
        <v>22</v>
      </c>
      <c r="AN4" s="31">
        <v>15</v>
      </c>
      <c r="AO4" s="31">
        <v>21</v>
      </c>
      <c r="AP4" s="31">
        <v>21</v>
      </c>
      <c r="AQ4" s="31">
        <v>15</v>
      </c>
      <c r="AR4" s="31">
        <v>22</v>
      </c>
      <c r="AS4" s="31">
        <v>22</v>
      </c>
      <c r="AT4" s="31">
        <v>14</v>
      </c>
      <c r="AU4" s="31">
        <v>14</v>
      </c>
      <c r="AV4" s="31">
        <v>22</v>
      </c>
      <c r="AW4" s="31">
        <v>19</v>
      </c>
      <c r="AX4" s="31">
        <v>28</v>
      </c>
      <c r="AY4" s="31">
        <v>25</v>
      </c>
      <c r="AZ4" s="31">
        <v>22</v>
      </c>
      <c r="BA4" s="31">
        <v>26</v>
      </c>
      <c r="BB4" s="31">
        <v>20</v>
      </c>
      <c r="BC4" s="31">
        <v>23</v>
      </c>
      <c r="BD4" s="31">
        <v>17</v>
      </c>
      <c r="BE4" s="31">
        <v>24</v>
      </c>
      <c r="BF4" s="31">
        <v>19</v>
      </c>
      <c r="BG4" s="31">
        <v>24</v>
      </c>
      <c r="BH4" s="31">
        <v>9</v>
      </c>
      <c r="BI4" s="31">
        <v>13</v>
      </c>
      <c r="BJ4" s="31">
        <v>22</v>
      </c>
      <c r="BK4" s="31">
        <v>17</v>
      </c>
      <c r="BL4" s="31">
        <v>23</v>
      </c>
      <c r="BM4" s="31">
        <v>17</v>
      </c>
      <c r="BN4" s="31">
        <v>21</v>
      </c>
      <c r="BO4" s="31">
        <v>15</v>
      </c>
      <c r="BP4" s="31">
        <v>18</v>
      </c>
      <c r="BQ4" s="31">
        <v>24</v>
      </c>
      <c r="BR4" s="31">
        <v>19</v>
      </c>
      <c r="BS4" s="31">
        <v>24</v>
      </c>
      <c r="BT4" s="31">
        <v>21</v>
      </c>
      <c r="BU4" s="31">
        <v>19</v>
      </c>
      <c r="BV4" s="31">
        <v>16</v>
      </c>
      <c r="BW4" s="31">
        <v>23</v>
      </c>
      <c r="BX4" s="31">
        <v>22</v>
      </c>
      <c r="BY4" s="31">
        <v>18</v>
      </c>
      <c r="BZ4" s="31">
        <v>16</v>
      </c>
      <c r="CA4" s="31">
        <v>18</v>
      </c>
      <c r="CB4" s="31">
        <v>19</v>
      </c>
      <c r="CC4" s="31">
        <v>20</v>
      </c>
      <c r="CD4" s="31">
        <v>22</v>
      </c>
      <c r="CE4" s="31">
        <v>20</v>
      </c>
      <c r="CF4" s="31">
        <v>17</v>
      </c>
      <c r="CG4" s="31">
        <v>24</v>
      </c>
      <c r="CH4" s="31">
        <v>26</v>
      </c>
      <c r="CI4" s="31">
        <v>30</v>
      </c>
      <c r="CJ4" s="31">
        <v>26</v>
      </c>
      <c r="CK4" s="31">
        <v>18</v>
      </c>
      <c r="CL4" s="31">
        <v>21</v>
      </c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</row>
    <row r="5" spans="2:138">
      <c r="B5" s="75" t="s">
        <v>309</v>
      </c>
      <c r="C5" s="31">
        <v>13</v>
      </c>
      <c r="D5" s="31">
        <v>12</v>
      </c>
      <c r="E5" s="31">
        <v>16</v>
      </c>
      <c r="F5" s="31">
        <v>11</v>
      </c>
      <c r="G5" s="31">
        <v>15</v>
      </c>
      <c r="H5" s="31">
        <v>14</v>
      </c>
      <c r="I5" s="31">
        <v>14</v>
      </c>
      <c r="J5" s="31">
        <v>15</v>
      </c>
      <c r="K5" s="31">
        <v>13</v>
      </c>
      <c r="L5" s="31">
        <v>15</v>
      </c>
      <c r="M5" s="31">
        <v>17</v>
      </c>
      <c r="N5" s="31">
        <v>8</v>
      </c>
      <c r="O5" s="31">
        <v>10</v>
      </c>
      <c r="P5" s="31">
        <v>14</v>
      </c>
      <c r="Q5" s="31">
        <v>18</v>
      </c>
      <c r="R5" s="31">
        <v>16</v>
      </c>
      <c r="S5" s="31">
        <v>15</v>
      </c>
      <c r="T5" s="31">
        <v>9</v>
      </c>
      <c r="U5" s="31">
        <v>14</v>
      </c>
      <c r="V5" s="31">
        <v>14</v>
      </c>
      <c r="W5" s="31">
        <v>11</v>
      </c>
      <c r="X5" s="31">
        <v>11</v>
      </c>
      <c r="Y5" s="31">
        <v>10</v>
      </c>
      <c r="Z5" s="31">
        <v>13</v>
      </c>
      <c r="AA5" s="31">
        <v>17</v>
      </c>
      <c r="AB5" s="31">
        <v>16</v>
      </c>
      <c r="AC5" s="31">
        <v>23</v>
      </c>
      <c r="AD5" s="31">
        <v>19</v>
      </c>
      <c r="AE5" s="31">
        <v>14</v>
      </c>
      <c r="AF5" s="31">
        <v>22</v>
      </c>
      <c r="AG5" s="31">
        <v>17</v>
      </c>
      <c r="AH5" s="31">
        <v>15</v>
      </c>
      <c r="AI5" s="31">
        <v>23</v>
      </c>
      <c r="AJ5" s="31">
        <v>17</v>
      </c>
      <c r="AK5" s="31">
        <v>12</v>
      </c>
      <c r="AL5" s="31">
        <v>16</v>
      </c>
      <c r="AM5" s="31">
        <v>17</v>
      </c>
      <c r="AN5" s="31">
        <v>10</v>
      </c>
      <c r="AO5" s="31">
        <v>22</v>
      </c>
      <c r="AP5" s="31">
        <v>16</v>
      </c>
      <c r="AQ5" s="31">
        <v>13</v>
      </c>
      <c r="AR5" s="31">
        <v>21</v>
      </c>
      <c r="AS5" s="31">
        <v>19</v>
      </c>
      <c r="AT5" s="31">
        <v>8</v>
      </c>
      <c r="AU5" s="31">
        <v>7</v>
      </c>
      <c r="AV5" s="31">
        <v>13</v>
      </c>
      <c r="AW5" s="31">
        <v>11</v>
      </c>
      <c r="AX5" s="31">
        <v>19</v>
      </c>
      <c r="AY5" s="31">
        <v>13</v>
      </c>
      <c r="AZ5" s="31">
        <v>16</v>
      </c>
      <c r="BA5" s="31">
        <v>17</v>
      </c>
      <c r="BB5" s="31">
        <v>13</v>
      </c>
      <c r="BC5" s="31">
        <v>7</v>
      </c>
      <c r="BD5" s="31">
        <v>9</v>
      </c>
      <c r="BE5" s="31">
        <v>5</v>
      </c>
      <c r="BF5" s="31">
        <v>8</v>
      </c>
      <c r="BG5" s="31">
        <v>9</v>
      </c>
      <c r="BH5" s="31">
        <v>8</v>
      </c>
      <c r="BI5" s="31">
        <v>4</v>
      </c>
      <c r="BJ5" s="31">
        <v>12</v>
      </c>
      <c r="BK5" s="31">
        <v>7</v>
      </c>
      <c r="BL5" s="31">
        <v>6</v>
      </c>
      <c r="BM5" s="31">
        <v>10</v>
      </c>
      <c r="BN5" s="31">
        <v>9</v>
      </c>
      <c r="BO5" s="31">
        <v>11</v>
      </c>
      <c r="BP5" s="31">
        <v>11</v>
      </c>
      <c r="BQ5" s="31">
        <v>13</v>
      </c>
      <c r="BR5" s="31">
        <v>16</v>
      </c>
      <c r="BS5" s="31">
        <v>18</v>
      </c>
      <c r="BT5" s="31">
        <v>12</v>
      </c>
      <c r="BU5" s="31">
        <v>13</v>
      </c>
      <c r="BV5" s="31">
        <v>11</v>
      </c>
      <c r="BW5" s="31">
        <v>16</v>
      </c>
      <c r="BX5" s="31">
        <v>19</v>
      </c>
      <c r="BY5" s="31">
        <v>20</v>
      </c>
      <c r="BZ5" s="31">
        <v>15</v>
      </c>
      <c r="CA5" s="31">
        <v>10</v>
      </c>
      <c r="CB5" s="31">
        <v>13</v>
      </c>
      <c r="CC5" s="31">
        <v>13</v>
      </c>
      <c r="CD5" s="31">
        <v>15</v>
      </c>
      <c r="CE5" s="31">
        <v>15</v>
      </c>
      <c r="CF5" s="31">
        <v>13</v>
      </c>
      <c r="CG5" s="31">
        <v>21</v>
      </c>
      <c r="CH5" s="31">
        <v>12</v>
      </c>
      <c r="CI5" s="31">
        <v>19</v>
      </c>
      <c r="CJ5" s="31">
        <v>10</v>
      </c>
      <c r="CK5" s="31">
        <v>7</v>
      </c>
      <c r="CL5" s="31">
        <v>17</v>
      </c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</row>
    <row r="6" spans="2:138">
      <c r="B6" s="75" t="s">
        <v>310</v>
      </c>
      <c r="C6" s="31">
        <v>4</v>
      </c>
      <c r="D6" s="31">
        <v>3</v>
      </c>
      <c r="E6" s="31">
        <v>5</v>
      </c>
      <c r="F6" s="31">
        <v>8</v>
      </c>
      <c r="G6" s="31">
        <v>6</v>
      </c>
      <c r="H6" s="31">
        <v>7</v>
      </c>
      <c r="I6" s="31">
        <v>6</v>
      </c>
      <c r="J6" s="31">
        <v>9</v>
      </c>
      <c r="K6" s="31">
        <v>5</v>
      </c>
      <c r="L6" s="31">
        <v>7</v>
      </c>
      <c r="M6" s="31">
        <v>7</v>
      </c>
      <c r="N6" s="31">
        <v>12</v>
      </c>
      <c r="O6" s="31">
        <v>7</v>
      </c>
      <c r="P6" s="31">
        <v>6</v>
      </c>
      <c r="Q6" s="31">
        <v>7</v>
      </c>
      <c r="R6" s="31">
        <v>7</v>
      </c>
      <c r="S6" s="31">
        <v>7</v>
      </c>
      <c r="T6" s="31">
        <v>2</v>
      </c>
      <c r="U6" s="31">
        <v>4</v>
      </c>
      <c r="V6" s="31">
        <v>7</v>
      </c>
      <c r="W6" s="31">
        <v>5</v>
      </c>
      <c r="X6" s="31">
        <v>6</v>
      </c>
      <c r="Y6" s="31">
        <v>5</v>
      </c>
      <c r="Z6" s="31">
        <v>8</v>
      </c>
      <c r="AA6" s="31">
        <v>11</v>
      </c>
      <c r="AB6" s="31">
        <v>7</v>
      </c>
      <c r="AC6" s="31">
        <v>9</v>
      </c>
      <c r="AD6" s="31">
        <v>6</v>
      </c>
      <c r="AE6" s="31">
        <v>8</v>
      </c>
      <c r="AF6" s="31">
        <v>8</v>
      </c>
      <c r="AG6" s="31">
        <v>5</v>
      </c>
      <c r="AH6" s="31">
        <v>6</v>
      </c>
      <c r="AI6" s="31">
        <v>11</v>
      </c>
      <c r="AJ6" s="31">
        <v>3</v>
      </c>
      <c r="AK6" s="31">
        <v>6</v>
      </c>
      <c r="AL6" s="31">
        <v>6</v>
      </c>
      <c r="AM6" s="31">
        <v>12</v>
      </c>
      <c r="AN6" s="31">
        <v>7</v>
      </c>
      <c r="AO6" s="31">
        <v>14</v>
      </c>
      <c r="AP6" s="31">
        <v>8</v>
      </c>
      <c r="AQ6" s="31">
        <v>6</v>
      </c>
      <c r="AR6" s="31">
        <v>7</v>
      </c>
      <c r="AS6" s="31">
        <v>7</v>
      </c>
      <c r="AT6" s="31">
        <v>5</v>
      </c>
      <c r="AU6" s="31">
        <v>3</v>
      </c>
      <c r="AV6" s="31">
        <v>5</v>
      </c>
      <c r="AW6" s="31">
        <v>5</v>
      </c>
      <c r="AX6" s="31">
        <v>7</v>
      </c>
      <c r="AY6" s="31">
        <v>7</v>
      </c>
      <c r="AZ6" s="31">
        <v>5</v>
      </c>
      <c r="BA6" s="31">
        <v>3</v>
      </c>
      <c r="BB6" s="31">
        <v>5</v>
      </c>
      <c r="BC6" s="31">
        <v>6</v>
      </c>
      <c r="BD6" s="31">
        <v>6</v>
      </c>
      <c r="BE6" s="31">
        <v>5</v>
      </c>
      <c r="BF6" s="31">
        <v>4</v>
      </c>
      <c r="BG6" s="31">
        <v>7</v>
      </c>
      <c r="BH6" s="31">
        <v>3</v>
      </c>
      <c r="BI6" s="31">
        <v>3</v>
      </c>
      <c r="BJ6" s="31">
        <v>6</v>
      </c>
      <c r="BK6" s="31">
        <v>1</v>
      </c>
      <c r="BL6" s="31">
        <v>3</v>
      </c>
      <c r="BM6" s="31">
        <v>5</v>
      </c>
      <c r="BN6" s="31">
        <v>5</v>
      </c>
      <c r="BO6" s="31">
        <v>3</v>
      </c>
      <c r="BP6" s="31">
        <v>5</v>
      </c>
      <c r="BQ6" s="31">
        <v>6</v>
      </c>
      <c r="BR6" s="31">
        <v>8</v>
      </c>
      <c r="BS6" s="31">
        <v>8</v>
      </c>
      <c r="BT6" s="31">
        <v>2</v>
      </c>
      <c r="BU6" s="31">
        <v>9</v>
      </c>
      <c r="BV6" s="31">
        <v>12</v>
      </c>
      <c r="BW6" s="31">
        <v>4</v>
      </c>
      <c r="BX6" s="31">
        <v>5</v>
      </c>
      <c r="BY6" s="31">
        <v>6</v>
      </c>
      <c r="BZ6" s="31">
        <v>12</v>
      </c>
      <c r="CA6" s="31">
        <v>4</v>
      </c>
      <c r="CB6" s="31">
        <v>4</v>
      </c>
      <c r="CC6" s="31">
        <v>8</v>
      </c>
      <c r="CD6" s="31">
        <v>7</v>
      </c>
      <c r="CE6" s="31">
        <v>7</v>
      </c>
      <c r="CF6" s="31">
        <v>6</v>
      </c>
      <c r="CG6" s="31">
        <v>7</v>
      </c>
      <c r="CH6" s="31">
        <v>4</v>
      </c>
      <c r="CI6" s="31">
        <v>3</v>
      </c>
      <c r="CJ6" s="31">
        <v>5</v>
      </c>
      <c r="CK6" s="31">
        <v>4</v>
      </c>
      <c r="CL6" s="31">
        <v>6</v>
      </c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</row>
    <row r="9" spans="2:138">
      <c r="B9" s="26"/>
      <c r="C9" s="26" t="s">
        <v>313</v>
      </c>
      <c r="D9" s="76" t="s">
        <v>113</v>
      </c>
      <c r="E9" s="26" t="s">
        <v>314</v>
      </c>
      <c r="F9" s="26" t="s">
        <v>315</v>
      </c>
      <c r="G9" s="26" t="s">
        <v>316</v>
      </c>
      <c r="H9" s="26" t="s">
        <v>317</v>
      </c>
      <c r="I9" s="26" t="s">
        <v>318</v>
      </c>
      <c r="J9" s="26" t="s">
        <v>319</v>
      </c>
      <c r="K9" s="26" t="s">
        <v>320</v>
      </c>
    </row>
    <row r="10" spans="2:138">
      <c r="B10" s="75" t="s">
        <v>308</v>
      </c>
      <c r="C10" s="31" t="s">
        <v>80</v>
      </c>
      <c r="D10" s="77" t="s">
        <v>321</v>
      </c>
      <c r="E10" s="31">
        <v>11.79</v>
      </c>
      <c r="F10" s="31">
        <v>19.27</v>
      </c>
      <c r="G10" s="31">
        <v>-7.476</v>
      </c>
      <c r="H10" s="31">
        <v>1.1910000000000001</v>
      </c>
      <c r="I10" s="31">
        <v>6.2750000000000004</v>
      </c>
      <c r="J10" s="31">
        <v>86</v>
      </c>
      <c r="K10" s="31" t="s">
        <v>321</v>
      </c>
    </row>
    <row r="11" spans="2:138">
      <c r="B11" s="75" t="s">
        <v>104</v>
      </c>
      <c r="C11" s="31" t="s">
        <v>89</v>
      </c>
      <c r="D11" s="77">
        <v>0.17794399999999999</v>
      </c>
      <c r="E11" s="31">
        <v>19.21</v>
      </c>
      <c r="F11" s="31">
        <v>20.329999999999998</v>
      </c>
      <c r="G11" s="31">
        <v>-1.1240000000000001</v>
      </c>
      <c r="H11" s="31">
        <v>0.8276</v>
      </c>
      <c r="I11" s="31">
        <v>1.3580000000000001</v>
      </c>
      <c r="J11" s="31">
        <v>86</v>
      </c>
      <c r="K11" s="31">
        <v>4.4930999999999999E-2</v>
      </c>
    </row>
    <row r="12" spans="2:138">
      <c r="B12" s="75" t="s">
        <v>309</v>
      </c>
      <c r="C12" s="31" t="s">
        <v>80</v>
      </c>
      <c r="D12" s="77">
        <v>1.467E-3</v>
      </c>
      <c r="E12" s="31">
        <v>15.05</v>
      </c>
      <c r="F12" s="31">
        <v>12.24</v>
      </c>
      <c r="G12" s="31">
        <v>2.802</v>
      </c>
      <c r="H12" s="31">
        <v>0.85250000000000004</v>
      </c>
      <c r="I12" s="31">
        <v>3.2869999999999999</v>
      </c>
      <c r="J12" s="31">
        <v>86</v>
      </c>
      <c r="K12" s="31">
        <v>7.4100000000000001E-4</v>
      </c>
    </row>
    <row r="13" spans="2:138">
      <c r="B13" s="75" t="s">
        <v>310</v>
      </c>
      <c r="C13" s="31" t="s">
        <v>80</v>
      </c>
      <c r="D13" s="77">
        <v>3.7880000000000001E-3</v>
      </c>
      <c r="E13" s="31">
        <v>6.907</v>
      </c>
      <c r="F13" s="31">
        <v>5.4219999999999997</v>
      </c>
      <c r="G13" s="31">
        <v>1.4850000000000001</v>
      </c>
      <c r="H13" s="31">
        <v>0.49890000000000001</v>
      </c>
      <c r="I13" s="31">
        <v>2.976</v>
      </c>
      <c r="J13" s="31">
        <v>86</v>
      </c>
      <c r="K13" s="31">
        <v>1.2750000000000001E-3</v>
      </c>
    </row>
    <row r="16" spans="2:138" ht="51.75">
      <c r="B16" s="58" t="s">
        <v>107</v>
      </c>
      <c r="C16" s="22" t="s">
        <v>322</v>
      </c>
    </row>
    <row r="17" spans="2:3">
      <c r="B17" s="58"/>
      <c r="C17" s="22"/>
    </row>
    <row r="18" spans="2:3" ht="26.25">
      <c r="B18" s="58" t="s">
        <v>111</v>
      </c>
      <c r="C18" s="92" t="s">
        <v>311</v>
      </c>
    </row>
    <row r="19" spans="2:3">
      <c r="B19" s="58" t="s">
        <v>110</v>
      </c>
      <c r="C19" s="22" t="s">
        <v>110</v>
      </c>
    </row>
    <row r="20" spans="2:3" ht="26.25">
      <c r="B20" s="58" t="s">
        <v>109</v>
      </c>
      <c r="C20" s="92" t="s">
        <v>312</v>
      </c>
    </row>
    <row r="21" spans="2:3">
      <c r="B21" s="58"/>
      <c r="C21" s="22"/>
    </row>
    <row r="22" spans="2:3" ht="26.25">
      <c r="B22" s="58" t="s">
        <v>155</v>
      </c>
      <c r="C22" s="22"/>
    </row>
    <row r="23" spans="2:3" ht="26.25">
      <c r="B23" s="58" t="s">
        <v>323</v>
      </c>
      <c r="C23" s="22" t="s">
        <v>112</v>
      </c>
    </row>
    <row r="24" spans="2:3" ht="51.75">
      <c r="B24" s="58" t="s">
        <v>324</v>
      </c>
      <c r="C24" s="22" t="s">
        <v>325</v>
      </c>
    </row>
    <row r="25" spans="2:3" ht="51.75">
      <c r="B25" s="58" t="s">
        <v>326</v>
      </c>
      <c r="C25" s="22" t="s">
        <v>327</v>
      </c>
    </row>
    <row r="26" spans="2:3" ht="102.75">
      <c r="B26" s="58" t="s">
        <v>328</v>
      </c>
      <c r="C26" s="22" t="s">
        <v>329</v>
      </c>
    </row>
    <row r="27" spans="2:3" ht="26.25">
      <c r="B27" s="58" t="s">
        <v>330</v>
      </c>
      <c r="C27" s="22" t="s">
        <v>331</v>
      </c>
    </row>
    <row r="28" spans="2:3">
      <c r="B28" s="58"/>
      <c r="C28" s="22"/>
    </row>
    <row r="29" spans="2:3" ht="39">
      <c r="B29" s="58" t="s">
        <v>332</v>
      </c>
      <c r="C29" s="22">
        <v>4</v>
      </c>
    </row>
    <row r="30" spans="2:3" ht="39">
      <c r="B30" s="58" t="s">
        <v>333</v>
      </c>
      <c r="C30" s="22">
        <v>0</v>
      </c>
    </row>
  </sheetData>
  <mergeCells count="3">
    <mergeCell ref="C2:AS2"/>
    <mergeCell ref="AT2:CL2"/>
    <mergeCell ref="CM2:EH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C9D2B-CD28-4C6A-BD8B-08CA4D0E41F4}">
  <dimension ref="B2:BD26"/>
  <sheetViews>
    <sheetView workbookViewId="0">
      <selection activeCell="H16" sqref="H16"/>
    </sheetView>
  </sheetViews>
  <sheetFormatPr defaultRowHeight="15"/>
  <cols>
    <col min="1" max="16384" width="9.140625" style="56"/>
  </cols>
  <sheetData>
    <row r="2" spans="2:56" ht="30" customHeight="1">
      <c r="B2" s="85"/>
      <c r="C2" s="88" t="s">
        <v>359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8" t="s">
        <v>360</v>
      </c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</row>
    <row r="3" spans="2:56">
      <c r="B3" s="87" t="s">
        <v>103</v>
      </c>
      <c r="C3" s="89">
        <v>0</v>
      </c>
      <c r="D3" s="89">
        <v>2</v>
      </c>
      <c r="E3" s="89">
        <v>1</v>
      </c>
      <c r="F3" s="89">
        <v>0</v>
      </c>
      <c r="G3" s="89">
        <v>1</v>
      </c>
      <c r="H3" s="89">
        <v>1</v>
      </c>
      <c r="I3" s="89">
        <v>2</v>
      </c>
      <c r="J3" s="89">
        <v>4</v>
      </c>
      <c r="K3" s="89">
        <v>4</v>
      </c>
      <c r="L3" s="89">
        <v>3</v>
      </c>
      <c r="M3" s="89">
        <v>1</v>
      </c>
      <c r="N3" s="89">
        <v>2</v>
      </c>
      <c r="O3" s="89">
        <v>2</v>
      </c>
      <c r="P3" s="89">
        <v>8</v>
      </c>
      <c r="Q3" s="89">
        <v>1</v>
      </c>
      <c r="R3" s="89">
        <v>1</v>
      </c>
      <c r="S3" s="89">
        <v>1</v>
      </c>
      <c r="T3" s="89">
        <v>1</v>
      </c>
      <c r="U3" s="89">
        <v>0</v>
      </c>
      <c r="V3" s="89">
        <v>6</v>
      </c>
      <c r="W3" s="89">
        <v>6</v>
      </c>
      <c r="X3" s="89">
        <v>1</v>
      </c>
      <c r="Y3" s="89">
        <v>0</v>
      </c>
      <c r="Z3" s="89">
        <v>3</v>
      </c>
      <c r="AA3" s="89">
        <v>0</v>
      </c>
      <c r="AB3" s="89">
        <v>0</v>
      </c>
      <c r="AC3" s="89">
        <v>1</v>
      </c>
      <c r="AD3" s="89">
        <v>4</v>
      </c>
      <c r="AE3" s="89">
        <v>4</v>
      </c>
      <c r="AF3" s="89">
        <v>0</v>
      </c>
      <c r="AG3" s="89">
        <v>1</v>
      </c>
      <c r="AH3" s="89">
        <v>0</v>
      </c>
      <c r="AI3" s="89">
        <v>6</v>
      </c>
      <c r="AJ3" s="89">
        <v>2</v>
      </c>
      <c r="AK3" s="89">
        <v>8</v>
      </c>
      <c r="AL3" s="89">
        <v>2</v>
      </c>
      <c r="AM3" s="89">
        <v>7</v>
      </c>
      <c r="AN3" s="89">
        <v>5</v>
      </c>
      <c r="AO3" s="89">
        <v>3</v>
      </c>
      <c r="AP3" s="89">
        <v>2</v>
      </c>
      <c r="AQ3" s="89">
        <v>5</v>
      </c>
      <c r="AR3" s="89">
        <v>6</v>
      </c>
      <c r="AS3" s="89">
        <v>6</v>
      </c>
      <c r="AT3" s="89">
        <v>9</v>
      </c>
      <c r="AU3" s="89">
        <v>4</v>
      </c>
      <c r="AV3" s="89">
        <v>2</v>
      </c>
      <c r="AW3" s="89">
        <v>4</v>
      </c>
      <c r="AX3" s="89">
        <v>3</v>
      </c>
      <c r="AY3" s="89">
        <v>3</v>
      </c>
      <c r="AZ3" s="89">
        <v>6</v>
      </c>
      <c r="BA3" s="89">
        <v>8</v>
      </c>
      <c r="BB3" s="89">
        <v>4</v>
      </c>
      <c r="BC3" s="89">
        <v>5</v>
      </c>
      <c r="BD3" s="89">
        <v>8</v>
      </c>
    </row>
    <row r="4" spans="2:56">
      <c r="B4" s="87" t="s">
        <v>102</v>
      </c>
      <c r="C4" s="89">
        <v>0</v>
      </c>
      <c r="D4" s="89">
        <v>6</v>
      </c>
      <c r="E4" s="89">
        <v>3</v>
      </c>
      <c r="F4" s="89">
        <v>1</v>
      </c>
      <c r="G4" s="89">
        <v>2</v>
      </c>
      <c r="H4" s="89">
        <v>3</v>
      </c>
      <c r="I4" s="89">
        <v>3</v>
      </c>
      <c r="J4" s="89">
        <v>3</v>
      </c>
      <c r="K4" s="89">
        <v>2</v>
      </c>
      <c r="L4" s="89">
        <v>5</v>
      </c>
      <c r="M4" s="89">
        <v>4</v>
      </c>
      <c r="N4" s="89">
        <v>9</v>
      </c>
      <c r="O4" s="89">
        <v>10</v>
      </c>
      <c r="P4" s="89">
        <v>4</v>
      </c>
      <c r="Q4" s="89">
        <v>5</v>
      </c>
      <c r="R4" s="89">
        <v>5</v>
      </c>
      <c r="S4" s="89">
        <v>2</v>
      </c>
      <c r="T4" s="89">
        <v>0</v>
      </c>
      <c r="U4" s="89">
        <v>2</v>
      </c>
      <c r="V4" s="89">
        <v>6</v>
      </c>
      <c r="W4" s="89">
        <v>6</v>
      </c>
      <c r="X4" s="89">
        <v>0</v>
      </c>
      <c r="Y4" s="89">
        <v>0</v>
      </c>
      <c r="Z4" s="89">
        <v>1</v>
      </c>
      <c r="AA4" s="89">
        <v>0</v>
      </c>
      <c r="AB4" s="89">
        <v>0</v>
      </c>
      <c r="AC4" s="89">
        <v>0</v>
      </c>
      <c r="AD4" s="89">
        <v>9</v>
      </c>
      <c r="AE4" s="89">
        <v>6</v>
      </c>
      <c r="AF4" s="89">
        <v>1</v>
      </c>
      <c r="AG4" s="89">
        <v>2</v>
      </c>
      <c r="AH4" s="89">
        <v>2</v>
      </c>
      <c r="AI4" s="89">
        <v>1</v>
      </c>
      <c r="AJ4" s="89">
        <v>4</v>
      </c>
      <c r="AK4" s="89">
        <v>5</v>
      </c>
      <c r="AL4" s="89">
        <v>1</v>
      </c>
      <c r="AM4" s="89">
        <v>7</v>
      </c>
      <c r="AN4" s="89">
        <v>3</v>
      </c>
      <c r="AO4" s="89">
        <v>2</v>
      </c>
      <c r="AP4" s="89">
        <v>5</v>
      </c>
      <c r="AQ4" s="89">
        <v>1</v>
      </c>
      <c r="AR4" s="89">
        <v>1</v>
      </c>
      <c r="AS4" s="89">
        <v>0</v>
      </c>
      <c r="AT4" s="89">
        <v>2</v>
      </c>
      <c r="AU4" s="89">
        <v>3</v>
      </c>
      <c r="AV4" s="89">
        <v>6</v>
      </c>
      <c r="AW4" s="89">
        <v>5</v>
      </c>
      <c r="AX4" s="89">
        <v>5</v>
      </c>
      <c r="AY4" s="89">
        <v>8</v>
      </c>
      <c r="AZ4" s="89">
        <v>0</v>
      </c>
      <c r="BA4" s="89">
        <v>6</v>
      </c>
      <c r="BB4" s="89">
        <v>0</v>
      </c>
      <c r="BC4" s="89">
        <v>0</v>
      </c>
      <c r="BD4" s="89">
        <v>9</v>
      </c>
    </row>
    <row r="5" spans="2:56">
      <c r="B5" s="87" t="s">
        <v>361</v>
      </c>
      <c r="C5" s="89">
        <v>0</v>
      </c>
      <c r="D5" s="89">
        <v>8</v>
      </c>
      <c r="E5" s="89">
        <v>4</v>
      </c>
      <c r="F5" s="89">
        <v>1</v>
      </c>
      <c r="G5" s="89">
        <v>3</v>
      </c>
      <c r="H5" s="89">
        <v>4</v>
      </c>
      <c r="I5" s="89">
        <v>5</v>
      </c>
      <c r="J5" s="89">
        <v>7</v>
      </c>
      <c r="K5" s="89">
        <v>6</v>
      </c>
      <c r="L5" s="89">
        <v>8</v>
      </c>
      <c r="M5" s="89">
        <v>5</v>
      </c>
      <c r="N5" s="89">
        <v>11</v>
      </c>
      <c r="O5" s="89">
        <v>12</v>
      </c>
      <c r="P5" s="89">
        <v>12</v>
      </c>
      <c r="Q5" s="89">
        <v>6</v>
      </c>
      <c r="R5" s="89">
        <v>6</v>
      </c>
      <c r="S5" s="89">
        <v>3</v>
      </c>
      <c r="T5" s="89">
        <v>1</v>
      </c>
      <c r="U5" s="89">
        <v>2</v>
      </c>
      <c r="V5" s="89">
        <v>12</v>
      </c>
      <c r="W5" s="89">
        <v>12</v>
      </c>
      <c r="X5" s="89">
        <v>1</v>
      </c>
      <c r="Y5" s="89">
        <v>0</v>
      </c>
      <c r="Z5" s="89">
        <v>4</v>
      </c>
      <c r="AA5" s="89">
        <v>0</v>
      </c>
      <c r="AB5" s="89">
        <v>0</v>
      </c>
      <c r="AC5" s="89">
        <v>1</v>
      </c>
      <c r="AD5" s="89">
        <v>13</v>
      </c>
      <c r="AE5" s="89">
        <v>10</v>
      </c>
      <c r="AF5" s="89">
        <v>1</v>
      </c>
      <c r="AG5" s="89">
        <v>3</v>
      </c>
      <c r="AH5" s="89">
        <v>2</v>
      </c>
      <c r="AI5" s="89">
        <v>7</v>
      </c>
      <c r="AJ5" s="89">
        <v>6</v>
      </c>
      <c r="AK5" s="89">
        <v>13</v>
      </c>
      <c r="AL5" s="89">
        <v>3</v>
      </c>
      <c r="AM5" s="89">
        <v>14</v>
      </c>
      <c r="AN5" s="89">
        <v>8</v>
      </c>
      <c r="AO5" s="89">
        <v>5</v>
      </c>
      <c r="AP5" s="89">
        <v>7</v>
      </c>
      <c r="AQ5" s="89">
        <v>6</v>
      </c>
      <c r="AR5" s="89">
        <v>7</v>
      </c>
      <c r="AS5" s="89">
        <v>6</v>
      </c>
      <c r="AT5" s="89">
        <v>11</v>
      </c>
      <c r="AU5" s="89">
        <v>9</v>
      </c>
      <c r="AV5" s="89">
        <v>8</v>
      </c>
      <c r="AW5" s="89">
        <v>9</v>
      </c>
      <c r="AX5" s="89">
        <v>8</v>
      </c>
      <c r="AY5" s="89">
        <v>11</v>
      </c>
      <c r="AZ5" s="89">
        <v>6</v>
      </c>
      <c r="BA5" s="89">
        <v>14</v>
      </c>
      <c r="BB5" s="89">
        <v>4</v>
      </c>
      <c r="BC5" s="89">
        <v>5</v>
      </c>
      <c r="BD5" s="89">
        <v>17</v>
      </c>
    </row>
    <row r="7" spans="2:56" ht="26.25">
      <c r="B7" s="58" t="s">
        <v>107</v>
      </c>
      <c r="C7" s="22" t="s">
        <v>364</v>
      </c>
      <c r="D7" s="12"/>
      <c r="E7" s="12"/>
      <c r="F7" s="12"/>
      <c r="G7" s="12"/>
      <c r="H7" s="12"/>
      <c r="I7" s="12"/>
      <c r="J7" s="12"/>
      <c r="K7" s="12"/>
    </row>
    <row r="8" spans="2:56">
      <c r="B8" s="58"/>
      <c r="C8" s="22"/>
      <c r="D8" s="12"/>
      <c r="E8" s="12"/>
      <c r="F8" s="12"/>
      <c r="G8" s="12"/>
      <c r="H8" s="12"/>
      <c r="I8" s="12"/>
      <c r="J8" s="12"/>
      <c r="K8" s="12"/>
    </row>
    <row r="9" spans="2:56" ht="39">
      <c r="B9" s="58" t="s">
        <v>111</v>
      </c>
      <c r="C9" s="92" t="s">
        <v>365</v>
      </c>
      <c r="D9" s="12"/>
      <c r="E9" s="12"/>
      <c r="F9" s="12"/>
      <c r="G9" s="12"/>
      <c r="H9" s="12"/>
      <c r="I9" s="12"/>
      <c r="J9" s="12"/>
      <c r="K9" s="12"/>
    </row>
    <row r="10" spans="2:56">
      <c r="B10" s="58" t="s">
        <v>110</v>
      </c>
      <c r="C10" s="22" t="s">
        <v>110</v>
      </c>
      <c r="D10" s="12"/>
      <c r="E10" s="12"/>
      <c r="F10" s="12"/>
      <c r="G10" s="12"/>
      <c r="H10" s="12"/>
      <c r="I10" s="12"/>
      <c r="J10" s="12"/>
      <c r="K10" s="12"/>
    </row>
    <row r="11" spans="2:56" ht="27.75">
      <c r="B11" s="58" t="s">
        <v>109</v>
      </c>
      <c r="C11" s="92" t="s">
        <v>366</v>
      </c>
      <c r="D11" s="63"/>
      <c r="E11" s="63"/>
      <c r="F11" s="63"/>
      <c r="G11" s="63"/>
      <c r="H11" s="63"/>
      <c r="I11" s="63"/>
      <c r="J11" s="63"/>
      <c r="K11" s="63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</row>
    <row r="12" spans="2:56">
      <c r="B12" s="58"/>
      <c r="C12" s="22"/>
      <c r="D12" s="63"/>
      <c r="E12" s="63"/>
      <c r="F12" s="63"/>
      <c r="G12" s="63"/>
      <c r="H12" s="63"/>
      <c r="I12" s="63"/>
      <c r="J12" s="63"/>
      <c r="K12" s="63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</row>
    <row r="13" spans="2:56" ht="26.25">
      <c r="B13" s="58" t="s">
        <v>155</v>
      </c>
      <c r="C13" s="22"/>
      <c r="D13" s="63"/>
      <c r="E13" s="63"/>
      <c r="F13" s="63"/>
      <c r="G13" s="63"/>
      <c r="H13" s="63"/>
      <c r="I13" s="63"/>
      <c r="J13" s="63"/>
      <c r="K13" s="63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</row>
    <row r="14" spans="2:56" ht="51.75">
      <c r="B14" s="58" t="s">
        <v>323</v>
      </c>
      <c r="C14" s="22" t="s">
        <v>367</v>
      </c>
      <c r="D14" s="12"/>
      <c r="E14" s="12"/>
      <c r="F14" s="12"/>
      <c r="G14" s="12"/>
      <c r="H14" s="12"/>
      <c r="I14" s="12"/>
      <c r="J14" s="12"/>
      <c r="K14" s="12"/>
    </row>
    <row r="15" spans="2:56" ht="51.75">
      <c r="B15" s="58" t="s">
        <v>324</v>
      </c>
      <c r="C15" s="22" t="s">
        <v>368</v>
      </c>
      <c r="D15" s="12"/>
      <c r="E15" s="12"/>
      <c r="F15" s="12"/>
      <c r="G15" s="12"/>
      <c r="H15" s="12"/>
      <c r="I15" s="12"/>
      <c r="J15" s="12"/>
      <c r="K15" s="12"/>
    </row>
    <row r="16" spans="2:56" ht="51.75">
      <c r="B16" s="58" t="s">
        <v>326</v>
      </c>
      <c r="C16" s="22" t="s">
        <v>327</v>
      </c>
      <c r="D16" s="12"/>
      <c r="E16" s="12"/>
      <c r="F16" s="12"/>
      <c r="G16" s="12"/>
      <c r="H16" s="12"/>
      <c r="I16" s="12"/>
      <c r="J16" s="12"/>
      <c r="K16" s="12"/>
    </row>
    <row r="17" spans="2:11" ht="102.75">
      <c r="B17" s="58" t="s">
        <v>328</v>
      </c>
      <c r="C17" s="22" t="s">
        <v>329</v>
      </c>
      <c r="D17" s="12"/>
      <c r="E17" s="12"/>
      <c r="F17" s="12"/>
      <c r="G17" s="12"/>
      <c r="H17" s="12"/>
      <c r="I17" s="12"/>
      <c r="J17" s="12"/>
      <c r="K17" s="12"/>
    </row>
    <row r="18" spans="2:11" ht="26.25">
      <c r="B18" s="58" t="s">
        <v>330</v>
      </c>
      <c r="C18" s="22" t="s">
        <v>331</v>
      </c>
      <c r="D18" s="12"/>
      <c r="E18" s="12"/>
      <c r="F18" s="12"/>
      <c r="G18" s="12"/>
      <c r="H18" s="12"/>
      <c r="I18" s="12"/>
      <c r="J18" s="12"/>
      <c r="K18" s="12"/>
    </row>
    <row r="19" spans="2:11">
      <c r="B19" s="58"/>
      <c r="C19" s="22"/>
      <c r="D19" s="12"/>
      <c r="E19" s="12"/>
      <c r="F19" s="12"/>
      <c r="G19" s="12"/>
      <c r="H19" s="12"/>
      <c r="I19" s="12"/>
      <c r="J19" s="12"/>
      <c r="K19" s="12"/>
    </row>
    <row r="20" spans="2:11" ht="39">
      <c r="B20" s="58" t="s">
        <v>332</v>
      </c>
      <c r="C20" s="22">
        <v>3</v>
      </c>
      <c r="D20" s="12"/>
      <c r="E20" s="12"/>
      <c r="F20" s="12"/>
      <c r="G20" s="12"/>
      <c r="H20" s="12"/>
      <c r="I20" s="12"/>
      <c r="J20" s="12"/>
      <c r="K20" s="12"/>
    </row>
    <row r="21" spans="2:11" ht="39">
      <c r="B21" s="58" t="s">
        <v>333</v>
      </c>
      <c r="C21" s="22">
        <v>0</v>
      </c>
      <c r="D21" s="12"/>
      <c r="E21" s="12"/>
      <c r="F21" s="12"/>
      <c r="G21" s="12"/>
      <c r="H21" s="12"/>
      <c r="I21" s="12"/>
      <c r="J21" s="12"/>
      <c r="K21" s="12"/>
    </row>
    <row r="22" spans="2:11">
      <c r="B22" s="57"/>
      <c r="C22" s="13"/>
      <c r="D22" s="12"/>
      <c r="E22" s="12"/>
      <c r="F22" s="12"/>
      <c r="G22" s="12"/>
      <c r="H22" s="12"/>
      <c r="I22" s="12"/>
      <c r="J22" s="12"/>
      <c r="K22" s="12"/>
    </row>
    <row r="23" spans="2:11" ht="51.75">
      <c r="B23" s="19"/>
      <c r="C23" s="19" t="s">
        <v>313</v>
      </c>
      <c r="D23" s="91" t="s">
        <v>113</v>
      </c>
      <c r="E23" s="19" t="s">
        <v>362</v>
      </c>
      <c r="F23" s="19" t="s">
        <v>363</v>
      </c>
      <c r="G23" s="19" t="s">
        <v>316</v>
      </c>
      <c r="H23" s="19" t="s">
        <v>317</v>
      </c>
      <c r="I23" s="19" t="s">
        <v>318</v>
      </c>
      <c r="J23" s="19" t="s">
        <v>319</v>
      </c>
      <c r="K23" s="19" t="s">
        <v>320</v>
      </c>
    </row>
    <row r="24" spans="2:11">
      <c r="B24" s="58" t="s">
        <v>103</v>
      </c>
      <c r="C24" s="22" t="s">
        <v>80</v>
      </c>
      <c r="D24" s="61">
        <v>1.95E-4</v>
      </c>
      <c r="E24" s="22">
        <v>2</v>
      </c>
      <c r="F24" s="22">
        <v>4.5419999999999998</v>
      </c>
      <c r="G24" s="22">
        <v>-2.5419999999999998</v>
      </c>
      <c r="H24" s="22">
        <v>0.62649999999999995</v>
      </c>
      <c r="I24" s="22">
        <v>4.0570000000000004</v>
      </c>
      <c r="J24" s="22">
        <v>45.08</v>
      </c>
      <c r="K24" s="22">
        <v>3.9300000000000001E-4</v>
      </c>
    </row>
    <row r="25" spans="2:11">
      <c r="B25" s="58" t="s">
        <v>102</v>
      </c>
      <c r="C25" s="22" t="s">
        <v>89</v>
      </c>
      <c r="D25" s="61">
        <v>0.98272300000000001</v>
      </c>
      <c r="E25" s="22">
        <v>3.2669999999999999</v>
      </c>
      <c r="F25" s="22">
        <v>3.25</v>
      </c>
      <c r="G25" s="22">
        <v>1.6670000000000001E-2</v>
      </c>
      <c r="H25" s="22">
        <v>0.76590000000000003</v>
      </c>
      <c r="I25" s="22">
        <v>2.1760000000000002E-2</v>
      </c>
      <c r="J25" s="22">
        <v>50.93</v>
      </c>
      <c r="K25" s="22">
        <v>0.66169999999999995</v>
      </c>
    </row>
    <row r="26" spans="2:11">
      <c r="B26" s="58" t="s">
        <v>361</v>
      </c>
      <c r="C26" s="22" t="s">
        <v>89</v>
      </c>
      <c r="D26" s="61">
        <v>2.2804000000000001E-2</v>
      </c>
      <c r="E26" s="22">
        <v>5.2670000000000003</v>
      </c>
      <c r="F26" s="22">
        <v>7.875</v>
      </c>
      <c r="G26" s="22">
        <v>-2.6080000000000001</v>
      </c>
      <c r="H26" s="22">
        <v>1.111</v>
      </c>
      <c r="I26" s="22">
        <v>2.347</v>
      </c>
      <c r="J26" s="22">
        <v>51.45</v>
      </c>
      <c r="K26" s="22">
        <v>2.3032E-2</v>
      </c>
    </row>
  </sheetData>
  <mergeCells count="2">
    <mergeCell ref="C2:AF2"/>
    <mergeCell ref="AG2:BD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7A68A-8001-4787-A82C-26C5A639B2E0}">
  <dimension ref="B2:D58"/>
  <sheetViews>
    <sheetView topLeftCell="A13" workbookViewId="0">
      <selection activeCell="G10" sqref="G10"/>
    </sheetView>
  </sheetViews>
  <sheetFormatPr defaultRowHeight="15"/>
  <cols>
    <col min="1" max="16384" width="9.140625" style="12"/>
  </cols>
  <sheetData>
    <row r="2" spans="2:4" ht="39">
      <c r="B2" s="16" t="s">
        <v>195</v>
      </c>
      <c r="C2" s="68" t="s">
        <v>372</v>
      </c>
      <c r="D2" s="68" t="s">
        <v>370</v>
      </c>
    </row>
    <row r="3" spans="2:4">
      <c r="B3" s="16">
        <v>1</v>
      </c>
      <c r="C3" s="79">
        <v>0</v>
      </c>
      <c r="D3" s="79">
        <v>6.1224000000000001E-2</v>
      </c>
    </row>
    <row r="4" spans="2:4">
      <c r="B4" s="16">
        <v>2</v>
      </c>
      <c r="C4" s="79">
        <v>0.16</v>
      </c>
      <c r="D4" s="79">
        <v>2.3810000000000001E-2</v>
      </c>
    </row>
    <row r="5" spans="2:4">
      <c r="B5" s="16">
        <v>3</v>
      </c>
      <c r="C5" s="79">
        <v>8.5106000000000001E-2</v>
      </c>
      <c r="D5" s="79">
        <v>0.14285700000000001</v>
      </c>
    </row>
    <row r="6" spans="2:4">
      <c r="B6" s="16">
        <v>4</v>
      </c>
      <c r="C6" s="79">
        <v>0.02</v>
      </c>
      <c r="D6" s="79">
        <v>9.6773999999999999E-2</v>
      </c>
    </row>
    <row r="7" spans="2:4">
      <c r="B7" s="16">
        <v>5</v>
      </c>
      <c r="C7" s="79">
        <v>6.25E-2</v>
      </c>
      <c r="D7" s="79">
        <v>0.213115</v>
      </c>
    </row>
    <row r="8" spans="2:4">
      <c r="B8" s="16">
        <v>6</v>
      </c>
      <c r="C8" s="79">
        <v>8.1632999999999997E-2</v>
      </c>
      <c r="D8" s="79">
        <v>0.197183</v>
      </c>
    </row>
    <row r="9" spans="2:4">
      <c r="B9" s="16">
        <v>7</v>
      </c>
      <c r="C9" s="79">
        <v>7.6923000000000005E-2</v>
      </c>
      <c r="D9" s="79">
        <v>0.106667</v>
      </c>
    </row>
    <row r="10" spans="2:4">
      <c r="B10" s="16">
        <v>8</v>
      </c>
      <c r="C10" s="79">
        <v>0.1</v>
      </c>
      <c r="D10" s="79">
        <v>6.6667000000000004E-2</v>
      </c>
    </row>
    <row r="11" spans="2:4">
      <c r="B11" s="16">
        <v>9</v>
      </c>
      <c r="C11" s="79">
        <v>0.140351</v>
      </c>
      <c r="D11" s="79">
        <v>0.122807</v>
      </c>
    </row>
    <row r="12" spans="2:4">
      <c r="B12" s="16">
        <v>10</v>
      </c>
      <c r="C12" s="79">
        <v>9.8039000000000001E-2</v>
      </c>
      <c r="D12" s="79">
        <v>0.122807</v>
      </c>
    </row>
    <row r="13" spans="2:4">
      <c r="B13" s="16">
        <v>11</v>
      </c>
      <c r="C13" s="79">
        <v>0.18032799999999999</v>
      </c>
      <c r="D13" s="79">
        <v>0.10909099999999999</v>
      </c>
    </row>
    <row r="14" spans="2:4">
      <c r="B14" s="16">
        <v>12</v>
      </c>
      <c r="C14" s="79">
        <v>0.1875</v>
      </c>
      <c r="D14" s="79">
        <v>0.183333</v>
      </c>
    </row>
    <row r="15" spans="2:4">
      <c r="B15" s="16">
        <v>13</v>
      </c>
      <c r="C15" s="79">
        <v>0.125</v>
      </c>
      <c r="D15" s="79">
        <v>0.15789500000000001</v>
      </c>
    </row>
    <row r="16" spans="2:4">
      <c r="B16" s="16">
        <v>14</v>
      </c>
      <c r="C16" s="79">
        <v>9.6773999999999999E-2</v>
      </c>
      <c r="D16" s="79">
        <v>0.156863</v>
      </c>
    </row>
    <row r="17" spans="2:4">
      <c r="B17" s="16">
        <v>15</v>
      </c>
      <c r="C17" s="79">
        <v>6.1224000000000001E-2</v>
      </c>
      <c r="D17" s="79">
        <v>0.15254200000000001</v>
      </c>
    </row>
    <row r="18" spans="2:4">
      <c r="B18" s="16">
        <v>16</v>
      </c>
      <c r="C18" s="79">
        <v>1.9231000000000002E-2</v>
      </c>
      <c r="D18" s="79">
        <v>0.183333</v>
      </c>
    </row>
    <row r="19" spans="2:4">
      <c r="B19" s="16">
        <v>17</v>
      </c>
      <c r="C19" s="79">
        <v>3.1746000000000003E-2</v>
      </c>
      <c r="D19" s="79">
        <v>8.4506999999999999E-2</v>
      </c>
    </row>
    <row r="20" spans="2:4">
      <c r="B20" s="16">
        <v>18</v>
      </c>
      <c r="C20" s="79">
        <v>0.19047600000000001</v>
      </c>
      <c r="D20" s="79">
        <v>0.189189</v>
      </c>
    </row>
    <row r="21" spans="2:4">
      <c r="B21" s="16">
        <v>19</v>
      </c>
      <c r="C21" s="79">
        <v>0.28571400000000002</v>
      </c>
      <c r="D21" s="79">
        <v>6.6667000000000004E-2</v>
      </c>
    </row>
    <row r="22" spans="2:4">
      <c r="B22" s="16">
        <v>20</v>
      </c>
      <c r="C22" s="79">
        <v>1.3514E-2</v>
      </c>
      <c r="D22" s="79">
        <v>0.111111</v>
      </c>
    </row>
    <row r="23" spans="2:4">
      <c r="B23" s="16">
        <v>21</v>
      </c>
      <c r="C23" s="79">
        <v>0</v>
      </c>
      <c r="D23" s="79">
        <v>0.22972999999999999</v>
      </c>
    </row>
    <row r="24" spans="2:4">
      <c r="B24" s="16">
        <v>22</v>
      </c>
      <c r="C24" s="79">
        <v>9.0909000000000004E-2</v>
      </c>
      <c r="D24" s="16"/>
    </row>
    <row r="25" spans="2:4">
      <c r="B25" s="16">
        <v>23</v>
      </c>
      <c r="C25" s="79">
        <v>0</v>
      </c>
      <c r="D25" s="16"/>
    </row>
    <row r="26" spans="2:4">
      <c r="B26" s="16">
        <v>24</v>
      </c>
      <c r="C26" s="79">
        <v>0</v>
      </c>
      <c r="D26" s="16"/>
    </row>
    <row r="29" spans="2:4">
      <c r="B29" s="3"/>
      <c r="C29" s="3"/>
    </row>
    <row r="30" spans="2:4" ht="26.25">
      <c r="B30" s="69" t="s">
        <v>107</v>
      </c>
      <c r="C30" s="67" t="s">
        <v>373</v>
      </c>
    </row>
    <row r="31" spans="2:4">
      <c r="B31" s="69"/>
      <c r="C31" s="67"/>
    </row>
    <row r="32" spans="2:4" ht="27.75">
      <c r="B32" s="69" t="s">
        <v>109</v>
      </c>
      <c r="C32" s="93" t="s">
        <v>370</v>
      </c>
    </row>
    <row r="33" spans="2:4">
      <c r="B33" s="69" t="s">
        <v>110</v>
      </c>
      <c r="C33" s="67" t="s">
        <v>110</v>
      </c>
    </row>
    <row r="34" spans="2:4" ht="39">
      <c r="B34" s="69" t="s">
        <v>111</v>
      </c>
      <c r="C34" s="93" t="s">
        <v>369</v>
      </c>
    </row>
    <row r="35" spans="2:4">
      <c r="B35" s="69"/>
      <c r="C35" s="67"/>
    </row>
    <row r="36" spans="2:4" ht="51.75">
      <c r="B36" s="69" t="s">
        <v>241</v>
      </c>
      <c r="C36" s="67"/>
    </row>
    <row r="37" spans="2:4">
      <c r="B37" s="60" t="s">
        <v>113</v>
      </c>
      <c r="C37" s="61">
        <v>2.7199999999999998E-2</v>
      </c>
      <c r="D37" s="1"/>
    </row>
    <row r="38" spans="2:4" ht="26.25">
      <c r="B38" s="69" t="s">
        <v>77</v>
      </c>
      <c r="C38" s="67" t="s">
        <v>87</v>
      </c>
      <c r="D38" s="1"/>
    </row>
    <row r="39" spans="2:4" ht="64.5">
      <c r="B39" s="69" t="s">
        <v>114</v>
      </c>
      <c r="C39" s="67" t="s">
        <v>80</v>
      </c>
      <c r="D39" s="1"/>
    </row>
    <row r="40" spans="2:4" ht="39">
      <c r="B40" s="69" t="s">
        <v>115</v>
      </c>
      <c r="C40" s="67" t="s">
        <v>116</v>
      </c>
      <c r="D40" s="1"/>
    </row>
    <row r="41" spans="2:4" ht="39">
      <c r="B41" s="69" t="s">
        <v>242</v>
      </c>
      <c r="C41" s="67" t="s">
        <v>374</v>
      </c>
      <c r="D41" s="1"/>
    </row>
    <row r="42" spans="2:4">
      <c r="B42" s="69"/>
      <c r="C42" s="67"/>
      <c r="D42" s="1"/>
    </row>
    <row r="43" spans="2:4" ht="51.75">
      <c r="B43" s="69" t="s">
        <v>119</v>
      </c>
      <c r="C43" s="67"/>
      <c r="D43" s="1"/>
    </row>
    <row r="44" spans="2:4" ht="26.25">
      <c r="B44" s="69" t="s">
        <v>120</v>
      </c>
      <c r="C44" s="67">
        <v>8.7790000000000007E-2</v>
      </c>
      <c r="D44" s="1"/>
    </row>
    <row r="45" spans="2:4" ht="26.25">
      <c r="B45" s="69" t="s">
        <v>121</v>
      </c>
      <c r="C45" s="67">
        <v>0.1323</v>
      </c>
      <c r="D45" s="1"/>
    </row>
    <row r="46" spans="2:4" ht="64.5">
      <c r="B46" s="69" t="s">
        <v>122</v>
      </c>
      <c r="C46" s="67" t="s">
        <v>375</v>
      </c>
    </row>
    <row r="47" spans="2:4" ht="39">
      <c r="B47" s="69" t="s">
        <v>83</v>
      </c>
      <c r="C47" s="67" t="s">
        <v>376</v>
      </c>
    </row>
    <row r="48" spans="2:4" ht="51.75">
      <c r="B48" s="69" t="s">
        <v>125</v>
      </c>
      <c r="C48" s="67">
        <v>0.111</v>
      </c>
    </row>
    <row r="49" spans="2:3">
      <c r="B49" s="69"/>
      <c r="C49" s="67"/>
    </row>
    <row r="50" spans="2:3" ht="39">
      <c r="B50" s="69" t="s">
        <v>126</v>
      </c>
      <c r="C50" s="67"/>
    </row>
    <row r="51" spans="2:3" ht="26.25">
      <c r="B51" s="69" t="s">
        <v>127</v>
      </c>
      <c r="C51" s="67" t="s">
        <v>377</v>
      </c>
    </row>
    <row r="52" spans="2:3">
      <c r="B52" s="69" t="s">
        <v>113</v>
      </c>
      <c r="C52" s="67">
        <v>0.1804</v>
      </c>
    </row>
    <row r="53" spans="2:3" ht="26.25">
      <c r="B53" s="69" t="s">
        <v>77</v>
      </c>
      <c r="C53" s="67" t="s">
        <v>88</v>
      </c>
    </row>
    <row r="54" spans="2:3" ht="64.5">
      <c r="B54" s="69" t="s">
        <v>114</v>
      </c>
      <c r="C54" s="67" t="s">
        <v>89</v>
      </c>
    </row>
    <row r="55" spans="2:3">
      <c r="B55" s="69"/>
      <c r="C55" s="67"/>
    </row>
    <row r="56" spans="2:3" ht="26.25">
      <c r="B56" s="69" t="s">
        <v>129</v>
      </c>
      <c r="C56" s="67"/>
    </row>
    <row r="57" spans="2:3" ht="39">
      <c r="B57" s="69" t="s">
        <v>130</v>
      </c>
      <c r="C57" s="67">
        <v>24</v>
      </c>
    </row>
    <row r="58" spans="2:3" ht="39">
      <c r="B58" s="69" t="s">
        <v>131</v>
      </c>
      <c r="C58" s="67">
        <v>21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6D8C3-75FA-4C8B-AD6D-BCAF53D6C494}">
  <dimension ref="B2:AU30"/>
  <sheetViews>
    <sheetView workbookViewId="0">
      <selection activeCell="N15" sqref="N15"/>
    </sheetView>
  </sheetViews>
  <sheetFormatPr defaultRowHeight="15"/>
  <cols>
    <col min="1" max="1" width="9.140625" style="12"/>
    <col min="2" max="2" width="32.85546875" style="12" customWidth="1"/>
    <col min="3" max="16384" width="9.140625" style="12"/>
  </cols>
  <sheetData>
    <row r="2" spans="2:47" ht="40.5" customHeight="1">
      <c r="B2" s="65"/>
      <c r="C2" s="88" t="s">
        <v>372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 t="s">
        <v>370</v>
      </c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</row>
    <row r="3" spans="2:47">
      <c r="B3" s="69" t="s">
        <v>63</v>
      </c>
      <c r="C3" s="67">
        <v>0</v>
      </c>
      <c r="D3" s="67">
        <v>0.25</v>
      </c>
      <c r="E3" s="67">
        <v>8.3333000000000004E-2</v>
      </c>
      <c r="F3" s="67">
        <v>0</v>
      </c>
      <c r="G3" s="67">
        <v>0.1</v>
      </c>
      <c r="H3" s="67">
        <v>0.1</v>
      </c>
      <c r="I3" s="67">
        <v>0.14285700000000001</v>
      </c>
      <c r="J3" s="67">
        <v>0.16666700000000001</v>
      </c>
      <c r="K3" s="67">
        <v>0.42857099999999998</v>
      </c>
      <c r="L3" s="67">
        <v>8.3333000000000004E-2</v>
      </c>
      <c r="M3" s="67">
        <v>0.1</v>
      </c>
      <c r="N3" s="67">
        <v>0.5</v>
      </c>
      <c r="O3" s="67">
        <v>8.3333000000000004E-2</v>
      </c>
      <c r="P3" s="67">
        <v>8.3333000000000004E-2</v>
      </c>
      <c r="Q3" s="67">
        <v>0.14285700000000001</v>
      </c>
      <c r="R3" s="67">
        <v>9.0909000000000004E-2</v>
      </c>
      <c r="S3" s="67">
        <v>5.5556000000000001E-2</v>
      </c>
      <c r="T3" s="67">
        <v>0.5</v>
      </c>
      <c r="U3" s="67">
        <v>0.6</v>
      </c>
      <c r="V3" s="67">
        <v>5.8824000000000001E-2</v>
      </c>
      <c r="W3" s="67">
        <v>0</v>
      </c>
      <c r="X3" s="67">
        <v>0.3</v>
      </c>
      <c r="Y3" s="67">
        <v>0</v>
      </c>
      <c r="Z3" s="67">
        <v>0</v>
      </c>
      <c r="AA3" s="67">
        <v>0.16666700000000001</v>
      </c>
      <c r="AB3" s="67">
        <v>0</v>
      </c>
      <c r="AC3" s="67">
        <v>0.42857099999999998</v>
      </c>
      <c r="AD3" s="67">
        <v>9.5238000000000003E-2</v>
      </c>
      <c r="AE3" s="67">
        <v>0.36363600000000001</v>
      </c>
      <c r="AF3" s="67">
        <v>0.25</v>
      </c>
      <c r="AG3" s="67">
        <v>0.17241400000000001</v>
      </c>
      <c r="AH3" s="67">
        <v>9.6773999999999999E-2</v>
      </c>
      <c r="AI3" s="67">
        <v>0.14285700000000001</v>
      </c>
      <c r="AJ3" s="67">
        <v>0.24</v>
      </c>
      <c r="AK3" s="67">
        <v>0.31578899999999999</v>
      </c>
      <c r="AL3" s="67">
        <v>0.47368399999999999</v>
      </c>
      <c r="AM3" s="67">
        <v>0.30769200000000002</v>
      </c>
      <c r="AN3" s="67">
        <v>0.222222</v>
      </c>
      <c r="AO3" s="67">
        <v>0.17391300000000001</v>
      </c>
      <c r="AP3" s="67">
        <v>0.375</v>
      </c>
      <c r="AQ3" s="67">
        <v>0.206897</v>
      </c>
      <c r="AR3" s="67">
        <v>0.36363600000000001</v>
      </c>
      <c r="AS3" s="67">
        <v>0.21052599999999999</v>
      </c>
      <c r="AT3" s="67">
        <v>0.3125</v>
      </c>
      <c r="AU3" s="67">
        <v>0.26666699999999999</v>
      </c>
    </row>
    <row r="4" spans="2:47">
      <c r="B4" s="69" t="s">
        <v>371</v>
      </c>
      <c r="C4" s="67">
        <v>0</v>
      </c>
      <c r="D4" s="67">
        <v>0.14285700000000001</v>
      </c>
      <c r="E4" s="67">
        <v>8.5713999999999999E-2</v>
      </c>
      <c r="F4" s="67">
        <v>2.3255999999999999E-2</v>
      </c>
      <c r="G4" s="67">
        <v>5.2631999999999998E-2</v>
      </c>
      <c r="H4" s="67">
        <v>7.6923000000000005E-2</v>
      </c>
      <c r="I4" s="67">
        <v>5.8824000000000001E-2</v>
      </c>
      <c r="J4" s="67">
        <v>6.5216999999999997E-2</v>
      </c>
      <c r="K4" s="67">
        <v>0.1</v>
      </c>
      <c r="L4" s="67">
        <v>0.102564</v>
      </c>
      <c r="M4" s="67">
        <v>0.196078</v>
      </c>
      <c r="N4" s="67">
        <v>0.105263</v>
      </c>
      <c r="O4" s="67">
        <v>0.13888900000000001</v>
      </c>
      <c r="P4" s="67">
        <v>0.1</v>
      </c>
      <c r="Q4" s="67">
        <v>4.7619000000000002E-2</v>
      </c>
      <c r="R4" s="67">
        <v>0</v>
      </c>
      <c r="S4" s="67">
        <v>2.2221999999999999E-2</v>
      </c>
      <c r="T4" s="67">
        <v>0.117647</v>
      </c>
      <c r="U4" s="67">
        <v>0.1875</v>
      </c>
      <c r="V4" s="67">
        <v>0</v>
      </c>
      <c r="W4" s="67">
        <v>0</v>
      </c>
      <c r="X4" s="67">
        <v>2.9412000000000001E-2</v>
      </c>
      <c r="Y4" s="67">
        <v>0</v>
      </c>
      <c r="Z4" s="67">
        <v>0</v>
      </c>
      <c r="AA4" s="67">
        <v>4.6511999999999998E-2</v>
      </c>
      <c r="AB4" s="67">
        <v>0.04</v>
      </c>
      <c r="AC4" s="67">
        <v>2.8570999999999999E-2</v>
      </c>
      <c r="AD4" s="67">
        <v>9.7560999999999995E-2</v>
      </c>
      <c r="AE4" s="67">
        <v>0.12820500000000001</v>
      </c>
      <c r="AF4" s="67">
        <v>0.16279099999999999</v>
      </c>
      <c r="AG4" s="67">
        <v>6.5216999999999997E-2</v>
      </c>
      <c r="AH4" s="67">
        <v>4.5455000000000002E-2</v>
      </c>
      <c r="AI4" s="67">
        <v>0.11627899999999999</v>
      </c>
      <c r="AJ4" s="67">
        <v>3.125E-2</v>
      </c>
      <c r="AK4" s="67">
        <v>0</v>
      </c>
      <c r="AL4" s="67">
        <v>4.8779999999999997E-2</v>
      </c>
      <c r="AM4" s="67">
        <v>6.8182000000000006E-2</v>
      </c>
      <c r="AN4" s="67">
        <v>0.14285700000000001</v>
      </c>
      <c r="AO4" s="67">
        <v>0.13888900000000001</v>
      </c>
      <c r="AP4" s="67">
        <v>0.15384600000000001</v>
      </c>
      <c r="AQ4" s="67">
        <v>0</v>
      </c>
      <c r="AR4" s="67">
        <v>0.115385</v>
      </c>
      <c r="AS4" s="67">
        <v>0</v>
      </c>
      <c r="AT4" s="67">
        <v>0</v>
      </c>
      <c r="AU4" s="67">
        <v>0.204545</v>
      </c>
    </row>
    <row r="7" spans="2:47" ht="26.25">
      <c r="B7" s="69" t="s">
        <v>378</v>
      </c>
      <c r="C7" s="67"/>
      <c r="D7" s="67"/>
      <c r="E7" s="67"/>
      <c r="F7" s="67"/>
      <c r="G7" s="67"/>
      <c r="H7" s="67"/>
      <c r="I7" s="67"/>
      <c r="J7" s="67"/>
    </row>
    <row r="8" spans="2:47">
      <c r="B8" s="69"/>
      <c r="C8" s="67"/>
      <c r="D8" s="67"/>
      <c r="E8" s="67"/>
      <c r="F8" s="67"/>
      <c r="G8" s="67"/>
      <c r="H8" s="67"/>
      <c r="I8" s="67"/>
      <c r="J8" s="67"/>
    </row>
    <row r="9" spans="2:47">
      <c r="B9" s="69" t="s">
        <v>137</v>
      </c>
      <c r="C9" s="67">
        <v>1</v>
      </c>
      <c r="D9" s="67"/>
      <c r="E9" s="67"/>
      <c r="F9" s="67"/>
      <c r="G9" s="67"/>
      <c r="H9" s="67"/>
      <c r="I9" s="67"/>
      <c r="J9" s="67"/>
    </row>
    <row r="10" spans="2:47">
      <c r="B10" s="69" t="s">
        <v>138</v>
      </c>
      <c r="C10" s="67">
        <v>6</v>
      </c>
      <c r="D10" s="67"/>
      <c r="E10" s="67"/>
      <c r="F10" s="67"/>
      <c r="G10" s="67"/>
      <c r="H10" s="67"/>
      <c r="I10" s="67"/>
      <c r="J10" s="67"/>
    </row>
    <row r="11" spans="2:47">
      <c r="B11" s="69" t="s">
        <v>139</v>
      </c>
      <c r="C11" s="67">
        <v>0.05</v>
      </c>
      <c r="D11" s="67"/>
      <c r="E11" s="67"/>
      <c r="F11" s="67"/>
      <c r="G11" s="67"/>
      <c r="H11" s="67"/>
      <c r="I11" s="67"/>
      <c r="J11" s="67"/>
    </row>
    <row r="12" spans="2:47">
      <c r="B12" s="69"/>
      <c r="C12" s="67"/>
      <c r="D12" s="67"/>
      <c r="E12" s="67"/>
      <c r="F12" s="67"/>
      <c r="G12" s="67"/>
      <c r="H12" s="67"/>
      <c r="I12" s="67"/>
      <c r="J12" s="67"/>
    </row>
    <row r="13" spans="2:47" ht="39">
      <c r="B13" s="69" t="s">
        <v>140</v>
      </c>
      <c r="C13" s="67" t="s">
        <v>379</v>
      </c>
      <c r="D13" s="67" t="s">
        <v>142</v>
      </c>
      <c r="E13" s="67" t="s">
        <v>143</v>
      </c>
      <c r="F13" s="67" t="s">
        <v>144</v>
      </c>
      <c r="G13" s="67" t="s">
        <v>145</v>
      </c>
      <c r="H13" s="67"/>
      <c r="I13" s="67"/>
      <c r="J13" s="67"/>
    </row>
    <row r="14" spans="2:47">
      <c r="B14" s="69"/>
      <c r="C14" s="67"/>
      <c r="D14" s="67"/>
      <c r="E14" s="67"/>
      <c r="F14" s="67"/>
      <c r="G14" s="67"/>
      <c r="H14" s="67"/>
      <c r="I14" s="67"/>
      <c r="J14" s="67"/>
    </row>
    <row r="15" spans="2:47" ht="39">
      <c r="B15" s="69" t="s">
        <v>380</v>
      </c>
      <c r="C15" s="67">
        <v>-8.566E-2</v>
      </c>
      <c r="D15" s="67" t="s">
        <v>381</v>
      </c>
      <c r="E15" s="67" t="s">
        <v>89</v>
      </c>
      <c r="F15" s="67" t="s">
        <v>88</v>
      </c>
      <c r="G15" s="61">
        <v>7.0800000000000002E-2</v>
      </c>
      <c r="H15" s="67"/>
      <c r="I15" s="67"/>
      <c r="J15" s="67"/>
    </row>
    <row r="16" spans="2:47" ht="26.25">
      <c r="B16" s="69" t="s">
        <v>382</v>
      </c>
      <c r="C16" s="67">
        <v>9.2369999999999994E-2</v>
      </c>
      <c r="D16" s="67" t="s">
        <v>383</v>
      </c>
      <c r="E16" s="67" t="s">
        <v>80</v>
      </c>
      <c r="F16" s="67" t="s">
        <v>87</v>
      </c>
      <c r="G16" s="61">
        <v>3.4500000000000003E-2</v>
      </c>
      <c r="H16" s="67"/>
      <c r="I16" s="67"/>
      <c r="J16" s="67"/>
    </row>
    <row r="17" spans="2:10" ht="27.75">
      <c r="B17" s="69" t="s">
        <v>384</v>
      </c>
      <c r="C17" s="67">
        <v>8.3409999999999998E-2</v>
      </c>
      <c r="D17" s="67" t="s">
        <v>385</v>
      </c>
      <c r="E17" s="67" t="s">
        <v>89</v>
      </c>
      <c r="F17" s="67" t="s">
        <v>88</v>
      </c>
      <c r="G17" s="67">
        <v>8.2400000000000001E-2</v>
      </c>
      <c r="H17" s="67"/>
      <c r="I17" s="67"/>
      <c r="J17" s="67"/>
    </row>
    <row r="18" spans="2:10" ht="27.75">
      <c r="B18" s="69" t="s">
        <v>386</v>
      </c>
      <c r="C18" s="67">
        <v>0.17799999999999999</v>
      </c>
      <c r="D18" s="67" t="s">
        <v>387</v>
      </c>
      <c r="E18" s="67" t="s">
        <v>80</v>
      </c>
      <c r="F18" s="67" t="s">
        <v>167</v>
      </c>
      <c r="G18" s="67" t="s">
        <v>168</v>
      </c>
      <c r="H18" s="67"/>
      <c r="I18" s="67"/>
      <c r="J18" s="67"/>
    </row>
    <row r="19" spans="2:10" ht="29.25">
      <c r="B19" s="69" t="s">
        <v>388</v>
      </c>
      <c r="C19" s="67">
        <v>0.1691</v>
      </c>
      <c r="D19" s="67" t="s">
        <v>389</v>
      </c>
      <c r="E19" s="67" t="s">
        <v>80</v>
      </c>
      <c r="F19" s="67" t="s">
        <v>167</v>
      </c>
      <c r="G19" s="61" t="s">
        <v>168</v>
      </c>
      <c r="H19" s="67"/>
      <c r="I19" s="67"/>
      <c r="J19" s="67"/>
    </row>
    <row r="20" spans="2:10" ht="39">
      <c r="B20" s="69" t="s">
        <v>390</v>
      </c>
      <c r="C20" s="67">
        <v>-8.966E-3</v>
      </c>
      <c r="D20" s="67" t="s">
        <v>391</v>
      </c>
      <c r="E20" s="67" t="s">
        <v>89</v>
      </c>
      <c r="F20" s="67" t="s">
        <v>88</v>
      </c>
      <c r="G20" s="61">
        <v>0.99380000000000002</v>
      </c>
      <c r="H20" s="67"/>
      <c r="I20" s="67"/>
      <c r="J20" s="67"/>
    </row>
    <row r="21" spans="2:10">
      <c r="B21" s="69"/>
      <c r="C21" s="67"/>
      <c r="D21" s="67"/>
      <c r="E21" s="67"/>
      <c r="F21" s="67"/>
      <c r="G21" s="67"/>
      <c r="H21" s="67"/>
      <c r="I21" s="67"/>
      <c r="J21" s="67"/>
    </row>
    <row r="22" spans="2:10">
      <c r="B22" s="69"/>
      <c r="C22" s="67"/>
      <c r="D22" s="67"/>
      <c r="E22" s="67"/>
      <c r="F22" s="67"/>
      <c r="G22" s="67"/>
      <c r="H22" s="67"/>
      <c r="I22" s="67"/>
      <c r="J22" s="67"/>
    </row>
    <row r="23" spans="2:10" ht="39">
      <c r="B23" s="69" t="s">
        <v>155</v>
      </c>
      <c r="C23" s="67" t="s">
        <v>392</v>
      </c>
      <c r="D23" s="67" t="s">
        <v>393</v>
      </c>
      <c r="E23" s="67" t="s">
        <v>379</v>
      </c>
      <c r="F23" s="67" t="s">
        <v>158</v>
      </c>
      <c r="G23" s="67" t="s">
        <v>394</v>
      </c>
      <c r="H23" s="67" t="s">
        <v>395</v>
      </c>
      <c r="I23" s="67" t="s">
        <v>161</v>
      </c>
      <c r="J23" s="67" t="s">
        <v>162</v>
      </c>
    </row>
    <row r="24" spans="2:10">
      <c r="B24" s="69"/>
      <c r="C24" s="67"/>
      <c r="D24" s="67"/>
      <c r="E24" s="67"/>
      <c r="F24" s="67"/>
      <c r="G24" s="67"/>
      <c r="H24" s="67"/>
      <c r="I24" s="67"/>
      <c r="J24" s="67"/>
    </row>
    <row r="25" spans="2:10" ht="27.75">
      <c r="B25" s="69" t="s">
        <v>380</v>
      </c>
      <c r="C25" s="67">
        <v>0.16120000000000001</v>
      </c>
      <c r="D25" s="67">
        <v>0.24690000000000001</v>
      </c>
      <c r="E25" s="67">
        <v>-8.566E-2</v>
      </c>
      <c r="F25" s="67">
        <v>3.458E-2</v>
      </c>
      <c r="G25" s="67">
        <v>24</v>
      </c>
      <c r="H25" s="67">
        <v>21</v>
      </c>
      <c r="I25" s="67">
        <v>3.5030000000000001</v>
      </c>
      <c r="J25" s="67">
        <v>86</v>
      </c>
    </row>
    <row r="26" spans="2:10" ht="26.25">
      <c r="B26" s="69" t="s">
        <v>382</v>
      </c>
      <c r="C26" s="67">
        <v>0.16120000000000001</v>
      </c>
      <c r="D26" s="67">
        <v>6.8860000000000005E-2</v>
      </c>
      <c r="E26" s="67">
        <v>9.2369999999999994E-2</v>
      </c>
      <c r="F26" s="67">
        <v>3.3410000000000002E-2</v>
      </c>
      <c r="G26" s="67">
        <v>24</v>
      </c>
      <c r="H26" s="67">
        <v>24</v>
      </c>
      <c r="I26" s="67">
        <v>3.91</v>
      </c>
      <c r="J26" s="67">
        <v>86</v>
      </c>
    </row>
    <row r="27" spans="2:10" ht="27.75">
      <c r="B27" s="69" t="s">
        <v>384</v>
      </c>
      <c r="C27" s="67">
        <v>0.16120000000000001</v>
      </c>
      <c r="D27" s="67">
        <v>7.7829999999999996E-2</v>
      </c>
      <c r="E27" s="67">
        <v>8.3409999999999998E-2</v>
      </c>
      <c r="F27" s="67">
        <v>3.458E-2</v>
      </c>
      <c r="G27" s="67">
        <v>24</v>
      </c>
      <c r="H27" s="67">
        <v>21</v>
      </c>
      <c r="I27" s="67">
        <v>3.411</v>
      </c>
      <c r="J27" s="67">
        <v>86</v>
      </c>
    </row>
    <row r="28" spans="2:10" ht="27.75">
      <c r="B28" s="69" t="s">
        <v>386</v>
      </c>
      <c r="C28" s="67">
        <v>0.24690000000000001</v>
      </c>
      <c r="D28" s="67">
        <v>6.8860000000000005E-2</v>
      </c>
      <c r="E28" s="67">
        <v>0.17799999999999999</v>
      </c>
      <c r="F28" s="67">
        <v>3.458E-2</v>
      </c>
      <c r="G28" s="67">
        <v>21</v>
      </c>
      <c r="H28" s="67">
        <v>24</v>
      </c>
      <c r="I28" s="67">
        <v>7.28</v>
      </c>
      <c r="J28" s="67">
        <v>86</v>
      </c>
    </row>
    <row r="29" spans="2:10" ht="29.25">
      <c r="B29" s="69" t="s">
        <v>388</v>
      </c>
      <c r="C29" s="67">
        <v>0.24690000000000001</v>
      </c>
      <c r="D29" s="67">
        <v>7.7829999999999996E-2</v>
      </c>
      <c r="E29" s="67">
        <v>0.1691</v>
      </c>
      <c r="F29" s="67">
        <v>3.5720000000000002E-2</v>
      </c>
      <c r="G29" s="67">
        <v>21</v>
      </c>
      <c r="H29" s="67">
        <v>21</v>
      </c>
      <c r="I29" s="67">
        <v>6.694</v>
      </c>
      <c r="J29" s="67">
        <v>86</v>
      </c>
    </row>
    <row r="30" spans="2:10" ht="27.75">
      <c r="B30" s="69" t="s">
        <v>390</v>
      </c>
      <c r="C30" s="67">
        <v>6.8860000000000005E-2</v>
      </c>
      <c r="D30" s="67">
        <v>7.7829999999999996E-2</v>
      </c>
      <c r="E30" s="67">
        <v>-8.966E-3</v>
      </c>
      <c r="F30" s="67">
        <v>3.458E-2</v>
      </c>
      <c r="G30" s="67">
        <v>24</v>
      </c>
      <c r="H30" s="67">
        <v>21</v>
      </c>
      <c r="I30" s="67">
        <v>0.36659999999999998</v>
      </c>
      <c r="J30" s="67">
        <v>86</v>
      </c>
    </row>
  </sheetData>
  <mergeCells count="2">
    <mergeCell ref="C2:Z2"/>
    <mergeCell ref="AA2:AU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64B30-606D-4ED4-A06E-95C10870F92C}">
  <dimension ref="B2:I73"/>
  <sheetViews>
    <sheetView workbookViewId="0">
      <selection activeCell="D11" sqref="D11"/>
    </sheetView>
  </sheetViews>
  <sheetFormatPr defaultRowHeight="15"/>
  <cols>
    <col min="2" max="2" width="14.140625" customWidth="1"/>
    <col min="3" max="3" width="12.140625" customWidth="1"/>
    <col min="4" max="5" width="11.42578125" customWidth="1"/>
    <col min="8" max="8" width="11.140625" customWidth="1"/>
    <col min="9" max="9" width="11.42578125" customWidth="1"/>
  </cols>
  <sheetData>
    <row r="2" spans="2:9">
      <c r="B2" t="s">
        <v>648</v>
      </c>
      <c r="G2" t="s">
        <v>649</v>
      </c>
    </row>
    <row r="4" spans="2:9">
      <c r="B4" s="85"/>
      <c r="C4" s="85" t="s">
        <v>279</v>
      </c>
      <c r="D4" s="85" t="s">
        <v>280</v>
      </c>
      <c r="E4" s="125"/>
      <c r="G4" s="46"/>
      <c r="H4" s="80" t="s">
        <v>344</v>
      </c>
      <c r="I4" s="81"/>
    </row>
    <row r="5" spans="2:9" ht="53.25">
      <c r="B5" s="69" t="s">
        <v>401</v>
      </c>
      <c r="C5" s="31">
        <v>43.47826087</v>
      </c>
      <c r="D5" s="31">
        <v>56.521740000000001</v>
      </c>
      <c r="E5" s="126"/>
      <c r="G5" s="46" t="s">
        <v>195</v>
      </c>
      <c r="H5" s="68" t="s">
        <v>403</v>
      </c>
      <c r="I5" s="68" t="s">
        <v>404</v>
      </c>
    </row>
    <row r="6" spans="2:9" ht="26.25">
      <c r="B6" s="69" t="s">
        <v>402</v>
      </c>
      <c r="C6" s="31">
        <v>61.363636360000001</v>
      </c>
      <c r="D6" s="31">
        <v>38.636360000000003</v>
      </c>
      <c r="E6" s="126"/>
      <c r="G6" s="46">
        <v>1</v>
      </c>
      <c r="H6" s="79">
        <v>11</v>
      </c>
      <c r="I6" s="79">
        <v>16</v>
      </c>
    </row>
    <row r="7" spans="2:9">
      <c r="G7" s="46">
        <v>2</v>
      </c>
      <c r="H7" s="79">
        <v>19</v>
      </c>
      <c r="I7" s="79">
        <v>11</v>
      </c>
    </row>
    <row r="8" spans="2:9">
      <c r="G8" s="46">
        <v>3</v>
      </c>
      <c r="H8" s="79">
        <v>16</v>
      </c>
      <c r="I8" s="79">
        <v>20</v>
      </c>
    </row>
    <row r="9" spans="2:9">
      <c r="G9" s="46">
        <v>4</v>
      </c>
      <c r="H9" s="79">
        <v>14</v>
      </c>
      <c r="I9" s="79">
        <v>6</v>
      </c>
    </row>
    <row r="10" spans="2:9">
      <c r="B10" s="26"/>
      <c r="C10" s="26" t="s">
        <v>478</v>
      </c>
      <c r="D10" s="26" t="s">
        <v>479</v>
      </c>
      <c r="E10" s="127"/>
      <c r="G10" s="46">
        <v>5</v>
      </c>
      <c r="H10" s="79">
        <v>10</v>
      </c>
      <c r="I10" s="79">
        <v>15</v>
      </c>
    </row>
    <row r="11" spans="2:9" ht="26.25">
      <c r="B11" s="58" t="s">
        <v>401</v>
      </c>
      <c r="C11" s="31">
        <v>20</v>
      </c>
      <c r="D11" s="31">
        <v>26</v>
      </c>
      <c r="E11" s="126"/>
      <c r="G11" s="46">
        <v>6</v>
      </c>
      <c r="H11" s="79">
        <v>12</v>
      </c>
      <c r="I11" s="79">
        <v>13</v>
      </c>
    </row>
    <row r="12" spans="2:9" ht="26.25">
      <c r="B12" s="58" t="s">
        <v>402</v>
      </c>
      <c r="C12" s="31">
        <v>27</v>
      </c>
      <c r="D12" s="31">
        <v>17</v>
      </c>
      <c r="E12" s="126"/>
      <c r="G12" s="46">
        <v>7</v>
      </c>
      <c r="H12" s="79">
        <v>24</v>
      </c>
      <c r="I12" s="79">
        <v>11</v>
      </c>
    </row>
    <row r="13" spans="2:9">
      <c r="G13" s="46">
        <v>8</v>
      </c>
      <c r="H13" s="79">
        <v>22</v>
      </c>
      <c r="I13" s="79">
        <v>32</v>
      </c>
    </row>
    <row r="14" spans="2:9">
      <c r="G14" s="46">
        <v>9</v>
      </c>
      <c r="H14" s="79">
        <v>21</v>
      </c>
      <c r="I14" s="79">
        <v>9</v>
      </c>
    </row>
    <row r="15" spans="2:9" ht="26.25">
      <c r="B15" s="58" t="s">
        <v>107</v>
      </c>
      <c r="C15" s="22" t="s">
        <v>673</v>
      </c>
      <c r="D15" s="22"/>
      <c r="E15" s="128"/>
      <c r="G15" s="46">
        <v>10</v>
      </c>
      <c r="H15" s="79">
        <v>21</v>
      </c>
      <c r="I15" s="79">
        <v>11</v>
      </c>
    </row>
    <row r="16" spans="2:9">
      <c r="B16" s="58"/>
      <c r="C16" s="22"/>
      <c r="D16" s="22"/>
      <c r="E16" s="128"/>
      <c r="G16" s="46">
        <v>11</v>
      </c>
      <c r="H16" s="79">
        <v>13</v>
      </c>
      <c r="I16" s="79">
        <v>11</v>
      </c>
    </row>
    <row r="17" spans="2:9" ht="39">
      <c r="B17" s="58" t="s">
        <v>517</v>
      </c>
      <c r="C17" s="22"/>
      <c r="D17" s="22"/>
      <c r="E17" s="128"/>
      <c r="G17" s="46">
        <v>12</v>
      </c>
      <c r="H17" s="79">
        <v>19</v>
      </c>
      <c r="I17" s="79">
        <v>15</v>
      </c>
    </row>
    <row r="18" spans="2:9" ht="26.25">
      <c r="B18" s="58" t="s">
        <v>518</v>
      </c>
      <c r="C18" s="22" t="s">
        <v>519</v>
      </c>
      <c r="D18" s="22"/>
      <c r="E18" s="128"/>
      <c r="G18" s="46">
        <v>13</v>
      </c>
      <c r="H18" s="79">
        <v>17</v>
      </c>
      <c r="I18" s="79">
        <v>19</v>
      </c>
    </row>
    <row r="19" spans="2:9">
      <c r="B19" s="58" t="s">
        <v>113</v>
      </c>
      <c r="C19" s="22">
        <v>9.74E-2</v>
      </c>
      <c r="D19" s="22"/>
      <c r="E19" s="128"/>
      <c r="G19" s="46">
        <v>14</v>
      </c>
      <c r="H19" s="79">
        <v>8</v>
      </c>
      <c r="I19" s="79">
        <v>15</v>
      </c>
    </row>
    <row r="20" spans="2:9" ht="26.25">
      <c r="B20" s="58" t="s">
        <v>77</v>
      </c>
      <c r="C20" s="22" t="s">
        <v>88</v>
      </c>
      <c r="D20" s="22"/>
      <c r="E20" s="128"/>
      <c r="G20" s="46">
        <v>15</v>
      </c>
      <c r="H20" s="79">
        <v>30</v>
      </c>
      <c r="I20" s="79">
        <v>12</v>
      </c>
    </row>
    <row r="21" spans="2:9" ht="26.25">
      <c r="B21" s="58" t="s">
        <v>520</v>
      </c>
      <c r="C21" s="22" t="s">
        <v>521</v>
      </c>
      <c r="D21" s="22"/>
      <c r="E21" s="128"/>
      <c r="G21" s="46">
        <v>16</v>
      </c>
      <c r="H21" s="79">
        <v>17</v>
      </c>
      <c r="I21" s="79">
        <v>8</v>
      </c>
    </row>
    <row r="22" spans="2:9" ht="39">
      <c r="B22" s="58" t="s">
        <v>522</v>
      </c>
      <c r="C22" s="22" t="s">
        <v>89</v>
      </c>
      <c r="D22" s="22"/>
      <c r="E22" s="128"/>
      <c r="G22" s="46">
        <v>17</v>
      </c>
      <c r="H22" s="79">
        <v>11</v>
      </c>
      <c r="I22" s="79">
        <v>13</v>
      </c>
    </row>
    <row r="23" spans="2:9">
      <c r="B23" s="58"/>
      <c r="C23" s="22"/>
      <c r="D23" s="22"/>
      <c r="E23" s="128"/>
      <c r="G23" s="46">
        <v>18</v>
      </c>
      <c r="H23" s="79">
        <v>20</v>
      </c>
      <c r="I23" s="79">
        <v>23</v>
      </c>
    </row>
    <row r="24" spans="2:9">
      <c r="B24" s="58" t="s">
        <v>129</v>
      </c>
      <c r="C24" s="22" t="s">
        <v>277</v>
      </c>
      <c r="D24" s="22" t="s">
        <v>278</v>
      </c>
      <c r="E24" s="128"/>
      <c r="G24" s="46">
        <v>19</v>
      </c>
      <c r="H24" s="79">
        <v>15</v>
      </c>
      <c r="I24" s="79">
        <v>9</v>
      </c>
    </row>
    <row r="25" spans="2:9">
      <c r="B25" s="58" t="s">
        <v>656</v>
      </c>
      <c r="C25" s="22">
        <v>20</v>
      </c>
      <c r="D25" s="22">
        <v>26</v>
      </c>
      <c r="E25" s="128"/>
      <c r="G25" s="46">
        <v>20</v>
      </c>
      <c r="H25" s="79">
        <v>21</v>
      </c>
      <c r="I25" s="79">
        <v>18</v>
      </c>
    </row>
    <row r="26" spans="2:9" ht="26.25">
      <c r="B26" s="58" t="s">
        <v>657</v>
      </c>
      <c r="C26" s="22">
        <v>27</v>
      </c>
      <c r="D26" s="22">
        <v>17</v>
      </c>
      <c r="E26" s="128"/>
      <c r="G26" s="46">
        <v>21</v>
      </c>
      <c r="H26" s="79">
        <v>17</v>
      </c>
      <c r="I26" s="79">
        <v>23</v>
      </c>
    </row>
    <row r="27" spans="2:9">
      <c r="B27" s="58" t="s">
        <v>531</v>
      </c>
      <c r="C27" s="22">
        <v>47</v>
      </c>
      <c r="D27" s="22">
        <v>43</v>
      </c>
      <c r="E27" s="128"/>
      <c r="G27" s="46">
        <v>22</v>
      </c>
      <c r="H27" s="79">
        <v>13</v>
      </c>
      <c r="I27" s="79">
        <v>7</v>
      </c>
    </row>
    <row r="28" spans="2:9">
      <c r="B28" s="58"/>
      <c r="C28" s="22"/>
      <c r="D28" s="22"/>
      <c r="E28" s="128"/>
      <c r="G28" s="46">
        <v>23</v>
      </c>
      <c r="H28" s="79">
        <v>27</v>
      </c>
      <c r="I28" s="79">
        <v>7</v>
      </c>
    </row>
    <row r="29" spans="2:9" ht="26.25">
      <c r="B29" s="58" t="s">
        <v>658</v>
      </c>
      <c r="C29" s="22" t="s">
        <v>277</v>
      </c>
      <c r="D29" s="22" t="s">
        <v>278</v>
      </c>
      <c r="E29" s="128"/>
      <c r="G29" s="46">
        <v>24</v>
      </c>
      <c r="H29" s="79">
        <v>23</v>
      </c>
      <c r="I29" s="79">
        <v>28</v>
      </c>
    </row>
    <row r="30" spans="2:9">
      <c r="B30" s="58" t="s">
        <v>656</v>
      </c>
      <c r="C30" s="22" t="s">
        <v>659</v>
      </c>
      <c r="D30" s="22" t="s">
        <v>660</v>
      </c>
      <c r="E30" s="128"/>
      <c r="G30" s="46">
        <v>25</v>
      </c>
      <c r="H30" s="79">
        <v>15</v>
      </c>
      <c r="I30" s="79">
        <v>12</v>
      </c>
    </row>
    <row r="31" spans="2:9" ht="26.25">
      <c r="B31" s="58" t="s">
        <v>657</v>
      </c>
      <c r="C31" s="22" t="s">
        <v>661</v>
      </c>
      <c r="D31" s="22" t="s">
        <v>662</v>
      </c>
      <c r="E31" s="128"/>
      <c r="G31" s="46">
        <v>26</v>
      </c>
      <c r="H31" s="79">
        <v>26</v>
      </c>
      <c r="I31" s="79">
        <v>9</v>
      </c>
    </row>
    <row r="32" spans="2:9">
      <c r="B32" s="58"/>
      <c r="C32" s="22"/>
      <c r="D32" s="22"/>
      <c r="E32" s="128"/>
      <c r="G32" s="46">
        <v>27</v>
      </c>
      <c r="H32" s="79">
        <v>6</v>
      </c>
      <c r="I32" s="79">
        <v>14</v>
      </c>
    </row>
    <row r="33" spans="2:9" ht="26.25">
      <c r="B33" s="58" t="s">
        <v>663</v>
      </c>
      <c r="C33" s="22" t="s">
        <v>277</v>
      </c>
      <c r="D33" s="22" t="s">
        <v>278</v>
      </c>
      <c r="E33" s="128"/>
      <c r="G33" s="46">
        <v>28</v>
      </c>
      <c r="H33" s="79">
        <v>22</v>
      </c>
      <c r="I33" s="79">
        <v>6</v>
      </c>
    </row>
    <row r="34" spans="2:9">
      <c r="B34" s="58" t="s">
        <v>656</v>
      </c>
      <c r="C34" s="22" t="s">
        <v>664</v>
      </c>
      <c r="D34" s="22" t="s">
        <v>665</v>
      </c>
      <c r="E34" s="128"/>
      <c r="G34" s="46">
        <v>29</v>
      </c>
      <c r="H34" s="79">
        <v>35</v>
      </c>
      <c r="I34" s="79">
        <v>7</v>
      </c>
    </row>
    <row r="35" spans="2:9" ht="26.25">
      <c r="B35" s="58" t="s">
        <v>657</v>
      </c>
      <c r="C35" s="22" t="s">
        <v>666</v>
      </c>
      <c r="D35" s="22" t="s">
        <v>667</v>
      </c>
      <c r="E35" s="128"/>
      <c r="G35" s="46">
        <v>30</v>
      </c>
      <c r="H35" s="79">
        <v>20</v>
      </c>
      <c r="I35" s="79">
        <v>11</v>
      </c>
    </row>
    <row r="36" spans="2:9">
      <c r="B36" s="58"/>
      <c r="C36" s="22"/>
      <c r="D36" s="22"/>
      <c r="E36" s="128"/>
      <c r="G36" s="46">
        <v>31</v>
      </c>
      <c r="H36" s="79">
        <v>15</v>
      </c>
      <c r="I36" s="79">
        <v>7</v>
      </c>
    </row>
    <row r="37" spans="2:9" ht="26.25">
      <c r="B37" s="58" t="s">
        <v>668</v>
      </c>
      <c r="C37" s="22" t="s">
        <v>277</v>
      </c>
      <c r="D37" s="22" t="s">
        <v>278</v>
      </c>
      <c r="E37" s="128"/>
      <c r="G37" s="46">
        <v>32</v>
      </c>
      <c r="H37" s="79">
        <v>12</v>
      </c>
      <c r="I37" s="46"/>
    </row>
    <row r="38" spans="2:9">
      <c r="B38" s="58" t="s">
        <v>656</v>
      </c>
      <c r="C38" s="22" t="s">
        <v>669</v>
      </c>
      <c r="D38" s="22" t="s">
        <v>670</v>
      </c>
      <c r="E38" s="128"/>
      <c r="G38" s="46">
        <v>33</v>
      </c>
      <c r="H38" s="79">
        <v>9</v>
      </c>
      <c r="I38" s="46"/>
    </row>
    <row r="39" spans="2:9" ht="26.25">
      <c r="B39" s="58" t="s">
        <v>657</v>
      </c>
      <c r="C39" s="22" t="s">
        <v>671</v>
      </c>
      <c r="D39" s="22" t="s">
        <v>672</v>
      </c>
      <c r="E39" s="128"/>
      <c r="G39" s="46">
        <v>34</v>
      </c>
      <c r="H39" s="79">
        <v>8</v>
      </c>
      <c r="I39" s="46"/>
    </row>
    <row r="40" spans="2:9">
      <c r="G40" s="46" t="s">
        <v>17</v>
      </c>
      <c r="H40" s="46">
        <f>AVERAGE(H6:H39)</f>
        <v>17.323529411764707</v>
      </c>
      <c r="I40" s="46">
        <f>AVERAGE(I6:I39)</f>
        <v>13.483870967741936</v>
      </c>
    </row>
    <row r="41" spans="2:9">
      <c r="G41" s="46" t="s">
        <v>61</v>
      </c>
      <c r="H41" s="46">
        <f>COUNT(H6:H39)</f>
        <v>34</v>
      </c>
      <c r="I41" s="46">
        <f>COUNT(I6:I39)</f>
        <v>31</v>
      </c>
    </row>
    <row r="45" spans="2:9" ht="39">
      <c r="G45" s="69" t="s">
        <v>107</v>
      </c>
      <c r="H45" s="67" t="s">
        <v>405</v>
      </c>
    </row>
    <row r="46" spans="2:9">
      <c r="G46" s="69"/>
      <c r="H46" s="67"/>
      <c r="I46" s="1"/>
    </row>
    <row r="47" spans="2:9" ht="53.25">
      <c r="G47" s="69" t="s">
        <v>109</v>
      </c>
      <c r="H47" s="93" t="s">
        <v>404</v>
      </c>
    </row>
    <row r="48" spans="2:9">
      <c r="G48" s="69" t="s">
        <v>110</v>
      </c>
      <c r="H48" s="67" t="s">
        <v>110</v>
      </c>
    </row>
    <row r="49" spans="7:8" ht="40.5">
      <c r="G49" s="69" t="s">
        <v>111</v>
      </c>
      <c r="H49" s="93" t="s">
        <v>403</v>
      </c>
    </row>
    <row r="50" spans="7:8">
      <c r="G50" s="69"/>
      <c r="H50" s="67"/>
    </row>
    <row r="51" spans="7:8" ht="51.75">
      <c r="G51" s="69" t="s">
        <v>241</v>
      </c>
      <c r="H51" s="67"/>
    </row>
    <row r="52" spans="7:8">
      <c r="G52" s="60" t="s">
        <v>113</v>
      </c>
      <c r="H52" s="61">
        <v>2.1100000000000001E-2</v>
      </c>
    </row>
    <row r="53" spans="7:8" ht="26.25">
      <c r="G53" s="69" t="s">
        <v>77</v>
      </c>
      <c r="H53" s="67" t="s">
        <v>87</v>
      </c>
    </row>
    <row r="54" spans="7:8" ht="64.5">
      <c r="G54" s="69" t="s">
        <v>114</v>
      </c>
      <c r="H54" s="67" t="s">
        <v>80</v>
      </c>
    </row>
    <row r="55" spans="7:8" ht="39">
      <c r="G55" s="69" t="s">
        <v>115</v>
      </c>
      <c r="H55" s="67" t="s">
        <v>116</v>
      </c>
    </row>
    <row r="56" spans="7:8" ht="39">
      <c r="G56" s="69" t="s">
        <v>242</v>
      </c>
      <c r="H56" s="67" t="s">
        <v>406</v>
      </c>
    </row>
    <row r="57" spans="7:8">
      <c r="G57" s="69"/>
      <c r="H57" s="67"/>
    </row>
    <row r="58" spans="7:8" ht="51.75">
      <c r="G58" s="69" t="s">
        <v>119</v>
      </c>
      <c r="H58" s="67"/>
    </row>
    <row r="59" spans="7:8" ht="26.25">
      <c r="G59" s="69" t="s">
        <v>120</v>
      </c>
      <c r="H59" s="67">
        <v>17.32</v>
      </c>
    </row>
    <row r="60" spans="7:8" ht="26.25">
      <c r="G60" s="69" t="s">
        <v>121</v>
      </c>
      <c r="H60" s="67">
        <v>13.48</v>
      </c>
    </row>
    <row r="61" spans="7:8" ht="64.5">
      <c r="G61" s="69" t="s">
        <v>122</v>
      </c>
      <c r="H61" s="67" t="s">
        <v>407</v>
      </c>
    </row>
    <row r="62" spans="7:8" ht="39">
      <c r="G62" s="69" t="s">
        <v>83</v>
      </c>
      <c r="H62" s="67" t="s">
        <v>408</v>
      </c>
    </row>
    <row r="63" spans="7:8" ht="51.75">
      <c r="G63" s="69" t="s">
        <v>125</v>
      </c>
      <c r="H63" s="67">
        <v>8.1879999999999994E-2</v>
      </c>
    </row>
    <row r="64" spans="7:8">
      <c r="G64" s="69"/>
      <c r="H64" s="67"/>
    </row>
    <row r="65" spans="7:8" ht="39">
      <c r="G65" s="69" t="s">
        <v>126</v>
      </c>
      <c r="H65" s="67"/>
    </row>
    <row r="66" spans="7:8" ht="26.25">
      <c r="G66" s="69" t="s">
        <v>127</v>
      </c>
      <c r="H66" s="67" t="s">
        <v>409</v>
      </c>
    </row>
    <row r="67" spans="7:8">
      <c r="G67" s="69" t="s">
        <v>113</v>
      </c>
      <c r="H67" s="67">
        <v>0.88100000000000001</v>
      </c>
    </row>
    <row r="68" spans="7:8" ht="26.25">
      <c r="G68" s="69" t="s">
        <v>77</v>
      </c>
      <c r="H68" s="67" t="s">
        <v>88</v>
      </c>
    </row>
    <row r="69" spans="7:8" ht="64.5">
      <c r="G69" s="69" t="s">
        <v>114</v>
      </c>
      <c r="H69" s="67" t="s">
        <v>89</v>
      </c>
    </row>
    <row r="70" spans="7:8">
      <c r="G70" s="69"/>
      <c r="H70" s="67"/>
    </row>
    <row r="71" spans="7:8" ht="26.25">
      <c r="G71" s="69" t="s">
        <v>129</v>
      </c>
      <c r="H71" s="67"/>
    </row>
    <row r="72" spans="7:8" ht="39">
      <c r="G72" s="69" t="s">
        <v>130</v>
      </c>
      <c r="H72" s="67">
        <v>34</v>
      </c>
    </row>
    <row r="73" spans="7:8" ht="39">
      <c r="G73" s="69" t="s">
        <v>131</v>
      </c>
      <c r="H73" s="67">
        <v>31</v>
      </c>
    </row>
  </sheetData>
  <mergeCells count="1"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91F47-3B99-422E-B753-4A6E1F87188E}">
  <dimension ref="B2:X60"/>
  <sheetViews>
    <sheetView workbookViewId="0">
      <selection activeCell="L21" sqref="L21"/>
    </sheetView>
  </sheetViews>
  <sheetFormatPr defaultRowHeight="15"/>
  <cols>
    <col min="1" max="1" width="1.85546875" customWidth="1"/>
    <col min="2" max="2" width="6.7109375" customWidth="1"/>
    <col min="3" max="3" width="3.28515625" customWidth="1"/>
    <col min="4" max="5" width="9.140625" style="6"/>
    <col min="8" max="8" width="9.140625" style="4"/>
    <col min="9" max="9" width="9.140625" style="5"/>
    <col min="12" max="12" width="42" customWidth="1"/>
    <col min="13" max="13" width="20.5703125" customWidth="1"/>
  </cols>
  <sheetData>
    <row r="2" spans="2:24">
      <c r="B2" t="s">
        <v>31</v>
      </c>
      <c r="D2" s="6" t="s">
        <v>32</v>
      </c>
      <c r="E2" s="6" t="s">
        <v>33</v>
      </c>
      <c r="P2" s="6"/>
      <c r="Q2" s="6"/>
      <c r="R2" s="6"/>
      <c r="S2" s="6"/>
      <c r="T2" s="6"/>
      <c r="U2" s="6"/>
      <c r="V2" s="6"/>
      <c r="W2" s="6"/>
      <c r="X2" s="6"/>
    </row>
    <row r="3" spans="2:24">
      <c r="D3" s="6" t="s">
        <v>52</v>
      </c>
      <c r="E3" s="6" t="s">
        <v>52</v>
      </c>
      <c r="I3" s="5" t="s">
        <v>35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2:24">
      <c r="C4" t="s">
        <v>18</v>
      </c>
      <c r="D4" s="6">
        <f>'[1]353i 55hpf'!D15</f>
        <v>34.978571428571428</v>
      </c>
      <c r="E4" s="6">
        <f>'[1]353i 55hpf'!D29</f>
        <v>15.915333333333335</v>
      </c>
      <c r="I4" s="5">
        <f t="shared" ref="I4:I20" si="0">E4/D4</f>
        <v>0.45500238241099999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>
      <c r="C5" t="s">
        <v>1</v>
      </c>
      <c r="D5" s="6">
        <f>'[1]353i 55hpf'!O15</f>
        <v>50.228666666666676</v>
      </c>
      <c r="E5" s="6">
        <f>'[1]353i 55hpf'!O29</f>
        <v>25.198166666666665</v>
      </c>
      <c r="I5" s="5">
        <f t="shared" si="0"/>
        <v>0.50166903361957971</v>
      </c>
      <c r="K5" s="6"/>
      <c r="L5" s="6"/>
      <c r="M5" s="6"/>
      <c r="N5" s="9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>
      <c r="C6" t="s">
        <v>2</v>
      </c>
      <c r="D6" s="6">
        <f>'[1]353i 55hpf'!Z15</f>
        <v>27.7255</v>
      </c>
      <c r="E6" s="6">
        <f>'[1]353i 55hpf'!Z29</f>
        <v>13.764571428571427</v>
      </c>
      <c r="I6" s="5">
        <f t="shared" si="0"/>
        <v>0.49645890709171797</v>
      </c>
      <c r="K6" s="6"/>
      <c r="L6" s="6"/>
      <c r="M6" s="6"/>
      <c r="N6" s="9"/>
      <c r="O6" s="6"/>
      <c r="P6" s="6"/>
      <c r="Q6" s="6"/>
      <c r="R6" s="6"/>
      <c r="S6" s="6"/>
      <c r="T6" s="6"/>
      <c r="U6" s="6"/>
      <c r="V6" s="6"/>
      <c r="W6" s="6"/>
      <c r="X6" s="6"/>
    </row>
    <row r="7" spans="2:24">
      <c r="C7" t="s">
        <v>3</v>
      </c>
      <c r="D7" s="6">
        <f>'[1]353i 55hpf'!AK15</f>
        <v>23.811555555555557</v>
      </c>
      <c r="E7" s="6">
        <f>'[1]353i 55hpf'!AK29</f>
        <v>17.213600000000003</v>
      </c>
      <c r="I7" s="5">
        <f t="shared" si="0"/>
        <v>0.72290951172166651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2:24">
      <c r="C8" t="s">
        <v>4</v>
      </c>
      <c r="D8" s="6">
        <f>'[1]359i 55hpf'!D15</f>
        <v>38.056749999999994</v>
      </c>
      <c r="E8" s="6">
        <f>'[1]359i 55hpf'!D29</f>
        <v>32.763333333333328</v>
      </c>
      <c r="I8" s="5">
        <f t="shared" si="0"/>
        <v>0.86090728539177241</v>
      </c>
      <c r="K8" s="6"/>
      <c r="L8" s="6"/>
      <c r="M8" s="6"/>
      <c r="N8" s="6"/>
      <c r="O8" s="6"/>
      <c r="P8" s="6"/>
    </row>
    <row r="9" spans="2:24">
      <c r="C9" t="s">
        <v>5</v>
      </c>
      <c r="D9" s="6">
        <f>'[1]471i 55hpf'!D17</f>
        <v>61.52957142857143</v>
      </c>
      <c r="E9" s="6">
        <f>'[1]471i 55hpf'!D33</f>
        <v>61.781399999999998</v>
      </c>
      <c r="I9" s="5">
        <f t="shared" si="0"/>
        <v>1.0040928055499445</v>
      </c>
      <c r="K9" s="6"/>
      <c r="L9" s="6"/>
      <c r="M9" s="6"/>
      <c r="N9" s="6"/>
      <c r="O9" s="6"/>
      <c r="P9" s="6"/>
    </row>
    <row r="10" spans="2:24">
      <c r="C10" t="s">
        <v>6</v>
      </c>
      <c r="D10" s="6">
        <f>'[1]471i 55hpf'!O17</f>
        <v>42.728625000000001</v>
      </c>
      <c r="E10" s="6">
        <f>'[1]471i 55hpf'!O33</f>
        <v>49.0747</v>
      </c>
      <c r="I10" s="5">
        <f t="shared" si="0"/>
        <v>1.1485204590599394</v>
      </c>
      <c r="K10" s="6"/>
      <c r="L10" s="6"/>
      <c r="M10" s="6"/>
      <c r="N10" s="6"/>
      <c r="O10" s="6"/>
      <c r="P10" s="6"/>
    </row>
    <row r="11" spans="2:24">
      <c r="C11" t="s">
        <v>7</v>
      </c>
      <c r="D11" s="6">
        <f>'[1]471i 55hpf'!Z17</f>
        <v>44.525166666666671</v>
      </c>
      <c r="E11" s="6">
        <f>'[1]471i 55hpf'!Z33</f>
        <v>47.713142857142863</v>
      </c>
      <c r="I11" s="5">
        <f t="shared" si="0"/>
        <v>1.0715994218358051</v>
      </c>
      <c r="K11" s="6"/>
      <c r="L11" s="6"/>
      <c r="M11" s="6"/>
      <c r="N11" s="6"/>
      <c r="O11" s="6"/>
      <c r="P11" s="6"/>
    </row>
    <row r="12" spans="2:24">
      <c r="C12" t="s">
        <v>8</v>
      </c>
      <c r="D12" s="6">
        <f>'[1]471i 55hpf'!AK17</f>
        <v>84.308000000000007</v>
      </c>
      <c r="E12" s="6">
        <f>'[1]471i 55hpf'!AK33</f>
        <v>103.43575</v>
      </c>
      <c r="I12" s="5">
        <f t="shared" si="0"/>
        <v>1.2268794183232907</v>
      </c>
      <c r="K12" s="6"/>
      <c r="L12" s="6"/>
      <c r="M12" s="6"/>
      <c r="N12" s="6"/>
      <c r="O12" s="6"/>
      <c r="P12" s="6"/>
    </row>
    <row r="13" spans="2:24">
      <c r="C13" t="s">
        <v>9</v>
      </c>
      <c r="D13" s="6">
        <f>'[1]473i 55hpf'!D17</f>
        <v>59.928285714285714</v>
      </c>
      <c r="E13" s="6">
        <f>'[1]473i 55hpf'!D33</f>
        <v>47.297800000000002</v>
      </c>
      <c r="I13" s="5">
        <f t="shared" si="0"/>
        <v>0.78923999637662168</v>
      </c>
    </row>
    <row r="14" spans="2:24">
      <c r="C14" t="s">
        <v>10</v>
      </c>
      <c r="D14" s="6">
        <f>'[1]473i 55hpf'!O17</f>
        <v>38.520125</v>
      </c>
      <c r="E14" s="6">
        <f>'[1]473i 55hpf'!O33</f>
        <v>30.917000000000005</v>
      </c>
      <c r="I14" s="5">
        <f t="shared" si="0"/>
        <v>0.80261940998374237</v>
      </c>
    </row>
    <row r="15" spans="2:24">
      <c r="C15" t="s">
        <v>11</v>
      </c>
      <c r="D15" s="6">
        <f>'[1]473i 55hpf'!Z17</f>
        <v>46.610000000000007</v>
      </c>
      <c r="E15" s="6">
        <f>'[1]473i 55hpf'!Z33</f>
        <v>44.244799999999998</v>
      </c>
      <c r="I15" s="5">
        <f t="shared" si="0"/>
        <v>0.94925552456554374</v>
      </c>
      <c r="K15" t="s">
        <v>36</v>
      </c>
      <c r="O15" t="s">
        <v>37</v>
      </c>
    </row>
    <row r="16" spans="2:24">
      <c r="C16" t="s">
        <v>12</v>
      </c>
      <c r="D16" s="6">
        <f>'[1]473i 55hpf'!AK17</f>
        <v>35.697222222222223</v>
      </c>
      <c r="E16" s="6">
        <f>'[1]473i 55hpf'!AK33</f>
        <v>27.013999999999999</v>
      </c>
      <c r="I16" s="5">
        <f t="shared" si="0"/>
        <v>0.75675356003423855</v>
      </c>
      <c r="K16" t="s">
        <v>31</v>
      </c>
      <c r="L16" s="7" t="s">
        <v>38</v>
      </c>
      <c r="M16" s="7">
        <v>6.522E-3</v>
      </c>
      <c r="O16" s="7">
        <v>1.13223714494854E-2</v>
      </c>
    </row>
    <row r="17" spans="2:15">
      <c r="C17" t="s">
        <v>13</v>
      </c>
      <c r="D17" s="6">
        <f>'[1]473i 55hpf'!AV17</f>
        <v>44.215000000000003</v>
      </c>
      <c r="E17" s="6">
        <f>'[1]473i 55hpf'!AV33</f>
        <v>35.797375000000002</v>
      </c>
      <c r="I17" s="5">
        <f t="shared" si="0"/>
        <v>0.80962060386746582</v>
      </c>
      <c r="K17" t="s">
        <v>19</v>
      </c>
      <c r="L17" s="7" t="s">
        <v>39</v>
      </c>
      <c r="M17" s="7">
        <v>5.9000000000000003E-4</v>
      </c>
      <c r="O17" s="7">
        <v>4.8828125E-3</v>
      </c>
    </row>
    <row r="18" spans="2:15">
      <c r="C18" t="s">
        <v>14</v>
      </c>
      <c r="D18" s="6">
        <f>'[1]473i 55hpf'!BG17</f>
        <v>47.612666666666676</v>
      </c>
      <c r="E18" s="6">
        <f>'[1]473i 55hpf'!BG33</f>
        <v>45.248125000000002</v>
      </c>
      <c r="I18" s="5">
        <f t="shared" si="0"/>
        <v>0.95033797028801847</v>
      </c>
      <c r="K18" t="s">
        <v>40</v>
      </c>
      <c r="L18" s="8" t="s">
        <v>41</v>
      </c>
      <c r="M18" s="7">
        <v>0.509602</v>
      </c>
      <c r="O18" s="7">
        <v>0.61915370668903802</v>
      </c>
    </row>
    <row r="19" spans="2:15">
      <c r="C19" t="s">
        <v>15</v>
      </c>
      <c r="D19" s="6">
        <f>'[1]474i 55hpf'!D17</f>
        <v>40.351499999999994</v>
      </c>
      <c r="E19" s="6">
        <f>'[1]474i 55hpf'!D33</f>
        <v>35.436500000000002</v>
      </c>
      <c r="I19" s="5">
        <f t="shared" si="0"/>
        <v>0.87819535828903528</v>
      </c>
    </row>
    <row r="20" spans="2:15">
      <c r="C20" t="s">
        <v>16</v>
      </c>
      <c r="D20" s="6">
        <f>'[1]474i 55hpf'!O17</f>
        <v>48.138666666666666</v>
      </c>
      <c r="E20" s="6">
        <f>'[1]474i 55hpf'!O33</f>
        <v>36.6402</v>
      </c>
      <c r="I20" s="5">
        <f t="shared" si="0"/>
        <v>0.76113865499667632</v>
      </c>
    </row>
    <row r="22" spans="2:15">
      <c r="B22" t="s">
        <v>42</v>
      </c>
      <c r="D22" s="6">
        <f t="shared" ref="D22:E22" si="1">AVERAGE(D4:D20)</f>
        <v>45.233286647992536</v>
      </c>
      <c r="E22" s="6">
        <f t="shared" si="1"/>
        <v>39.379752801120446</v>
      </c>
      <c r="H22" s="4" t="s">
        <v>43</v>
      </c>
      <c r="I22" s="5">
        <f>AVERAGE(I4:I20)</f>
        <v>0.83442354725918</v>
      </c>
    </row>
    <row r="24" spans="2:15">
      <c r="B24" t="s">
        <v>19</v>
      </c>
      <c r="D24" s="6" t="s">
        <v>32</v>
      </c>
      <c r="E24" s="6" t="s">
        <v>33</v>
      </c>
    </row>
    <row r="25" spans="2:15">
      <c r="D25" s="6" t="s">
        <v>52</v>
      </c>
      <c r="E25" s="6" t="s">
        <v>52</v>
      </c>
      <c r="I25" s="5" t="s">
        <v>35</v>
      </c>
    </row>
    <row r="26" spans="2:15">
      <c r="C26" t="s">
        <v>18</v>
      </c>
      <c r="D26" s="6">
        <f>'[1]359i 65 hpf'!D15</f>
        <v>26.395799999999998</v>
      </c>
      <c r="E26" s="6">
        <f>'[1]359i 65 hpf'!D29</f>
        <v>28.643000000000001</v>
      </c>
      <c r="I26" s="5">
        <f t="shared" ref="I26:I36" si="2">E26/D26</f>
        <v>1.0851347562869851</v>
      </c>
    </row>
    <row r="27" spans="2:15">
      <c r="C27" t="s">
        <v>1</v>
      </c>
      <c r="D27" s="6">
        <f>'[1]359i 65 hpf'!O15</f>
        <v>13.964571428571428</v>
      </c>
      <c r="E27" s="6">
        <f>'[1]359i 65 hpf'!O29</f>
        <v>6.5850000000000009</v>
      </c>
      <c r="I27" s="5">
        <f t="shared" si="2"/>
        <v>0.47155045421065561</v>
      </c>
    </row>
    <row r="28" spans="2:15">
      <c r="C28" t="s">
        <v>2</v>
      </c>
      <c r="D28" s="6">
        <f>'[1]359i 65 hpf'!Z15</f>
        <v>20.252857142857142</v>
      </c>
      <c r="E28" s="6">
        <f>'[1]359i 65 hpf'!Z29</f>
        <v>20.9955</v>
      </c>
      <c r="I28" s="5">
        <f t="shared" si="2"/>
        <v>1.0366685476475983</v>
      </c>
    </row>
    <row r="29" spans="2:15">
      <c r="C29" t="s">
        <v>3</v>
      </c>
      <c r="D29" s="6">
        <f>'[1]359i 65 hpf'!AK15</f>
        <v>52.851666666666659</v>
      </c>
      <c r="E29" s="6">
        <f>'[1]359i 65 hpf'!AK29</f>
        <v>28.017166666666665</v>
      </c>
      <c r="I29" s="5">
        <f t="shared" si="2"/>
        <v>0.53010942575131659</v>
      </c>
    </row>
    <row r="30" spans="2:15">
      <c r="C30" t="s">
        <v>4</v>
      </c>
      <c r="D30" s="6">
        <f>'[1]359i 65 hpf'!AV15</f>
        <v>82.533000000000001</v>
      </c>
      <c r="E30" s="6">
        <f>'[1]359i 65 hpf'!AV29</f>
        <v>37.162857142857142</v>
      </c>
      <c r="I30" s="5">
        <f t="shared" si="2"/>
        <v>0.45027876295369296</v>
      </c>
    </row>
    <row r="31" spans="2:15">
      <c r="C31" t="s">
        <v>5</v>
      </c>
      <c r="D31" s="6">
        <f>'[1]359i 65 hpf'!BG15</f>
        <v>69.072125</v>
      </c>
      <c r="E31" s="6">
        <f>'[1]359i 65 hpf'!BG29</f>
        <v>42.573571428571434</v>
      </c>
      <c r="I31" s="5">
        <f t="shared" si="2"/>
        <v>0.61636400253461776</v>
      </c>
    </row>
    <row r="32" spans="2:15">
      <c r="C32" t="s">
        <v>6</v>
      </c>
      <c r="D32" s="6">
        <f>'[1]359i 65 hpf'!BR15</f>
        <v>79.36966666666666</v>
      </c>
      <c r="E32" s="6">
        <f>'[1]359i 65 hpf'!BR29</f>
        <v>52.068600000000004</v>
      </c>
      <c r="I32" s="5">
        <f t="shared" si="2"/>
        <v>0.65602644167167146</v>
      </c>
    </row>
    <row r="33" spans="2:9">
      <c r="C33" t="s">
        <v>7</v>
      </c>
      <c r="D33" s="6">
        <f>'[1]359i 65 hpf'!CC15</f>
        <v>56.84259999999999</v>
      </c>
      <c r="E33" s="6">
        <f>'[1]359i 65 hpf'!CC29</f>
        <v>38.987000000000002</v>
      </c>
      <c r="I33" s="5">
        <f t="shared" si="2"/>
        <v>0.68587643774211615</v>
      </c>
    </row>
    <row r="34" spans="2:9">
      <c r="C34" t="s">
        <v>8</v>
      </c>
      <c r="D34" s="6">
        <f>'[1]359i 65 hpf'!CN15</f>
        <v>20.563625000000002</v>
      </c>
      <c r="E34" s="6">
        <f>'[1]359i 65 hpf'!CN29</f>
        <v>15.5114</v>
      </c>
      <c r="I34" s="5">
        <f t="shared" si="2"/>
        <v>0.75431253001355547</v>
      </c>
    </row>
    <row r="35" spans="2:9">
      <c r="C35" t="s">
        <v>9</v>
      </c>
      <c r="D35" s="6">
        <f>'[1]359i 65 hpf'!DJ15</f>
        <v>30.759</v>
      </c>
      <c r="E35" s="6">
        <f>'[1]359i 65 hpf'!DJ29</f>
        <v>16.151</v>
      </c>
      <c r="I35" s="5">
        <f t="shared" si="2"/>
        <v>0.52508208979485682</v>
      </c>
    </row>
    <row r="36" spans="2:9">
      <c r="C36" t="s">
        <v>10</v>
      </c>
      <c r="D36" s="6">
        <f>'[1]359i 65 hpf'!DU15</f>
        <v>46.121166666666674</v>
      </c>
      <c r="E36" s="6">
        <f>'[1]359i 65 hpf'!DU29</f>
        <v>15.338999999999999</v>
      </c>
      <c r="I36" s="5">
        <f t="shared" si="2"/>
        <v>0.33258048546039953</v>
      </c>
    </row>
    <row r="38" spans="2:9">
      <c r="B38" t="s">
        <v>42</v>
      </c>
      <c r="D38" s="6">
        <f t="shared" ref="D38:E38" si="3">AVERAGE(D26:D36)</f>
        <v>45.338734415584419</v>
      </c>
      <c r="E38" s="6">
        <f t="shared" si="3"/>
        <v>27.457645021645021</v>
      </c>
      <c r="H38" s="4" t="s">
        <v>43</v>
      </c>
      <c r="I38" s="5">
        <f>AVERAGE(I26:I36)</f>
        <v>0.64945308491522413</v>
      </c>
    </row>
    <row r="40" spans="2:9">
      <c r="B40" t="s">
        <v>44</v>
      </c>
      <c r="D40" s="6" t="s">
        <v>32</v>
      </c>
      <c r="E40" s="6" t="s">
        <v>33</v>
      </c>
    </row>
    <row r="41" spans="2:9">
      <c r="D41" s="6" t="s">
        <v>52</v>
      </c>
      <c r="E41" s="6" t="s">
        <v>52</v>
      </c>
      <c r="I41" s="5" t="s">
        <v>35</v>
      </c>
    </row>
    <row r="42" spans="2:9">
      <c r="C42" t="s">
        <v>18</v>
      </c>
      <c r="D42" s="6">
        <f>'[1]360i 80 hpf'!D15</f>
        <v>36.053333333333342</v>
      </c>
      <c r="E42" s="6">
        <f>'[1]360i 80 hpf'!O15</f>
        <v>42.546833333333332</v>
      </c>
      <c r="I42" s="5">
        <f t="shared" ref="I42:I58" si="4">E42/D42</f>
        <v>1.1801081730769227</v>
      </c>
    </row>
    <row r="43" spans="2:9">
      <c r="C43" t="s">
        <v>1</v>
      </c>
      <c r="D43" s="6">
        <f>'[1]360i 80 hpf'!O15</f>
        <v>42.546833333333332</v>
      </c>
      <c r="E43" s="6">
        <f>'[1]360i 80 hpf'!O29</f>
        <v>49.133600000000001</v>
      </c>
      <c r="I43" s="5">
        <f t="shared" si="4"/>
        <v>1.1548121481818077</v>
      </c>
    </row>
    <row r="44" spans="2:9">
      <c r="C44" t="s">
        <v>2</v>
      </c>
      <c r="D44" s="6">
        <f>'[1]360i 80 hpf'!Z15</f>
        <v>19.868666666666666</v>
      </c>
      <c r="E44" s="6">
        <f>'[1]360i 80 hpf'!Z29</f>
        <v>23.741199999999999</v>
      </c>
      <c r="I44" s="5">
        <f t="shared" si="4"/>
        <v>1.1949065530315739</v>
      </c>
    </row>
    <row r="45" spans="2:9">
      <c r="C45" t="s">
        <v>3</v>
      </c>
      <c r="D45" s="6">
        <f>'[1]360i 80 hpf'!AK15</f>
        <v>25.4436</v>
      </c>
      <c r="E45" s="6">
        <f>'[1]360i 80 hpf'!AK29</f>
        <v>26.132200000000001</v>
      </c>
      <c r="I45" s="5">
        <f t="shared" si="4"/>
        <v>1.0270637802826645</v>
      </c>
    </row>
    <row r="46" spans="2:9">
      <c r="C46" t="s">
        <v>4</v>
      </c>
      <c r="D46" s="6">
        <f>'[1]360i 80 hpf'!AV15</f>
        <v>40.962000000000003</v>
      </c>
      <c r="E46" s="6">
        <f>'[1]360i 80 hpf'!AV29</f>
        <v>33.014125</v>
      </c>
      <c r="I46" s="5">
        <f t="shared" si="4"/>
        <v>0.80596955715052965</v>
      </c>
    </row>
    <row r="47" spans="2:9">
      <c r="C47" t="s">
        <v>5</v>
      </c>
      <c r="D47" s="6">
        <f>'[1]360i 80 hpf'!BG15</f>
        <v>77.352571428571423</v>
      </c>
      <c r="E47" s="6">
        <f>'[1]360i 80 hpf'!BG29</f>
        <v>86.190571428571431</v>
      </c>
      <c r="I47" s="5">
        <f t="shared" si="4"/>
        <v>1.1142560594531903</v>
      </c>
    </row>
    <row r="48" spans="2:9">
      <c r="C48" t="s">
        <v>6</v>
      </c>
      <c r="D48" s="6">
        <f>'[1]360i 80 hpf'!BR15</f>
        <v>42.008499999999998</v>
      </c>
      <c r="E48" s="6">
        <f>'[1]360i 80 hpf'!BR29</f>
        <v>55.574599999999997</v>
      </c>
      <c r="I48" s="5">
        <f t="shared" si="4"/>
        <v>1.3229370246497731</v>
      </c>
    </row>
    <row r="49" spans="2:9">
      <c r="C49" t="s">
        <v>7</v>
      </c>
      <c r="D49" s="6">
        <f>'[1]361i 80 hpf'!D15</f>
        <v>28.565249999999999</v>
      </c>
      <c r="E49" s="6">
        <f>'[1]361i 80 hpf'!D27</f>
        <v>29.563200000000002</v>
      </c>
      <c r="I49" s="5">
        <f t="shared" si="4"/>
        <v>1.0349358048678028</v>
      </c>
    </row>
    <row r="50" spans="2:9">
      <c r="C50" t="s">
        <v>8</v>
      </c>
      <c r="D50" s="6">
        <f>'[1]361i 80 hpf'!O15</f>
        <v>83.772571428571453</v>
      </c>
      <c r="E50" s="6">
        <f>'[1]361i 80 hpf'!O27</f>
        <v>64.383400000000009</v>
      </c>
      <c r="I50" s="5">
        <f t="shared" si="4"/>
        <v>0.76854988335766217</v>
      </c>
    </row>
    <row r="51" spans="2:9">
      <c r="C51" t="s">
        <v>9</v>
      </c>
      <c r="D51" s="6">
        <f>'[1]361i 80 hpf'!Z15</f>
        <v>53.354999999999997</v>
      </c>
      <c r="E51" s="6">
        <f>'[1]361i 80 hpf'!Z27</f>
        <v>64.222999999999999</v>
      </c>
      <c r="I51" s="5">
        <f t="shared" si="4"/>
        <v>1.2036922500234279</v>
      </c>
    </row>
    <row r="52" spans="2:9">
      <c r="C52" t="s">
        <v>10</v>
      </c>
      <c r="D52" s="6">
        <f>'[1]361i 80 hpf'!AK15</f>
        <v>33.87085714285714</v>
      </c>
      <c r="E52" s="6">
        <f>'[1]361i 80 hpf'!AK27</f>
        <v>31.019400000000001</v>
      </c>
      <c r="I52" s="5">
        <f t="shared" si="4"/>
        <v>0.91581384755542072</v>
      </c>
    </row>
    <row r="53" spans="2:9">
      <c r="C53" t="s">
        <v>11</v>
      </c>
      <c r="D53" s="6">
        <f>'[1]361i 80 hpf'!AV15</f>
        <v>46.152799999999999</v>
      </c>
      <c r="E53" s="6">
        <f>'[1]361i 80 hpf'!AV27</f>
        <v>37.841499999999996</v>
      </c>
      <c r="I53" s="5">
        <f t="shared" si="4"/>
        <v>0.81991775146903323</v>
      </c>
    </row>
    <row r="54" spans="2:9">
      <c r="C54" t="s">
        <v>12</v>
      </c>
      <c r="D54" s="6">
        <f>'[1]361i 80 hpf'!BG15</f>
        <v>68.384799999999998</v>
      </c>
      <c r="E54" s="6">
        <f>'[1]361i 80 hpf'!BG27</f>
        <v>49.799142857142847</v>
      </c>
      <c r="I54" s="5">
        <f t="shared" si="4"/>
        <v>0.72821947065931092</v>
      </c>
    </row>
    <row r="55" spans="2:9">
      <c r="C55" t="s">
        <v>13</v>
      </c>
      <c r="D55" s="6">
        <f>'[1]361i 80 hpf'!BR15</f>
        <v>40.559285714285707</v>
      </c>
      <c r="E55" s="6">
        <f>'[1]361i 80 hpf'!BR27</f>
        <v>37.8566</v>
      </c>
      <c r="I55" s="5">
        <f t="shared" si="4"/>
        <v>0.93336456333761886</v>
      </c>
    </row>
    <row r="56" spans="2:9">
      <c r="C56" t="s">
        <v>14</v>
      </c>
      <c r="D56" s="6">
        <f>'[1]361i 80 hpf'!CN15</f>
        <v>44.455599999999997</v>
      </c>
      <c r="E56" s="6">
        <f>'[1]361i 80 hpf'!CC27</f>
        <v>33.012499999999996</v>
      </c>
      <c r="I56" s="5">
        <f t="shared" si="4"/>
        <v>0.7425948586904686</v>
      </c>
    </row>
    <row r="57" spans="2:9">
      <c r="C57" t="s">
        <v>15</v>
      </c>
      <c r="D57" s="6">
        <f>'[1]361i 80 hpf'!CN15</f>
        <v>44.455599999999997</v>
      </c>
      <c r="E57" s="6">
        <f>'[1]361i 80 hpf'!CN27</f>
        <v>52.795749999999998</v>
      </c>
      <c r="I57" s="5">
        <f t="shared" si="4"/>
        <v>1.1876062858222587</v>
      </c>
    </row>
    <row r="58" spans="2:9">
      <c r="C58" t="s">
        <v>16</v>
      </c>
      <c r="D58" s="6">
        <f>'[1]361i 80 hpf'!CY15</f>
        <v>31.77483333333333</v>
      </c>
      <c r="E58" s="6">
        <f>'[1]361i 80 hpf'!CY27</f>
        <v>46.8748</v>
      </c>
      <c r="I58" s="5">
        <f t="shared" si="4"/>
        <v>1.4752178086431087</v>
      </c>
    </row>
    <row r="60" spans="2:9">
      <c r="B60" t="s">
        <v>42</v>
      </c>
      <c r="D60" s="6">
        <f t="shared" ref="D60:E60" si="5">AVERAGE(D42:D59)</f>
        <v>44.681300140056017</v>
      </c>
      <c r="E60" s="6">
        <f t="shared" si="5"/>
        <v>44.923671918767518</v>
      </c>
      <c r="H60" s="4" t="s">
        <v>43</v>
      </c>
      <c r="I60" s="5">
        <f>AVERAGE(I42:I59)</f>
        <v>1.0358803423677987</v>
      </c>
    </row>
  </sheetData>
  <conditionalFormatting sqref="O16">
    <cfRule type="cellIs" dxfId="47" priority="21" operator="between">
      <formula>0.0001</formula>
      <formula>0</formula>
    </cfRule>
    <cfRule type="cellIs" dxfId="46" priority="22" operator="between">
      <formula>0.001</formula>
      <formula>0.0001</formula>
    </cfRule>
    <cfRule type="cellIs" dxfId="45" priority="23" operator="between">
      <formula>0.01</formula>
      <formula>0.001</formula>
    </cfRule>
    <cfRule type="cellIs" dxfId="44" priority="24" operator="between">
      <formula>0.05</formula>
      <formula>0.01</formula>
    </cfRule>
  </conditionalFormatting>
  <conditionalFormatting sqref="O17">
    <cfRule type="cellIs" dxfId="43" priority="17" operator="between">
      <formula>0.0001</formula>
      <formula>0</formula>
    </cfRule>
    <cfRule type="cellIs" dxfId="42" priority="18" operator="between">
      <formula>0.001</formula>
      <formula>0.0001</formula>
    </cfRule>
    <cfRule type="cellIs" dxfId="41" priority="19" operator="between">
      <formula>0.01</formula>
      <formula>0.001</formula>
    </cfRule>
    <cfRule type="cellIs" dxfId="40" priority="20" operator="between">
      <formula>0.05</formula>
      <formula>0.01</formula>
    </cfRule>
  </conditionalFormatting>
  <conditionalFormatting sqref="O18">
    <cfRule type="cellIs" dxfId="39" priority="13" operator="between">
      <formula>0.0001</formula>
      <formula>0</formula>
    </cfRule>
    <cfRule type="cellIs" dxfId="38" priority="14" operator="between">
      <formula>0.001</formula>
      <formula>0.0001</formula>
    </cfRule>
    <cfRule type="cellIs" dxfId="37" priority="15" operator="between">
      <formula>0.01</formula>
      <formula>0.001</formula>
    </cfRule>
    <cfRule type="cellIs" dxfId="36" priority="16" operator="between">
      <formula>0.05</formula>
      <formula>0.01</formula>
    </cfRule>
  </conditionalFormatting>
  <conditionalFormatting sqref="M16">
    <cfRule type="cellIs" dxfId="35" priority="9" operator="between">
      <formula>0.0001</formula>
      <formula>0</formula>
    </cfRule>
    <cfRule type="cellIs" dxfId="34" priority="10" operator="between">
      <formula>0.001</formula>
      <formula>0.0001</formula>
    </cfRule>
    <cfRule type="cellIs" dxfId="33" priority="11" operator="between">
      <formula>0.01</formula>
      <formula>0.001</formula>
    </cfRule>
    <cfRule type="cellIs" dxfId="32" priority="12" operator="between">
      <formula>0.05</formula>
      <formula>0.01</formula>
    </cfRule>
  </conditionalFormatting>
  <conditionalFormatting sqref="M17">
    <cfRule type="cellIs" dxfId="31" priority="5" operator="between">
      <formula>0.0001</formula>
      <formula>0</formula>
    </cfRule>
    <cfRule type="cellIs" dxfId="30" priority="6" operator="between">
      <formula>0.001</formula>
      <formula>0.0001</formula>
    </cfRule>
    <cfRule type="cellIs" dxfId="29" priority="7" operator="between">
      <formula>0.01</formula>
      <formula>0.001</formula>
    </cfRule>
    <cfRule type="cellIs" dxfId="28" priority="8" operator="between">
      <formula>0.05</formula>
      <formula>0.01</formula>
    </cfRule>
  </conditionalFormatting>
  <conditionalFormatting sqref="M18">
    <cfRule type="cellIs" dxfId="27" priority="1" operator="between">
      <formula>0.0001</formula>
      <formula>0</formula>
    </cfRule>
    <cfRule type="cellIs" dxfId="26" priority="2" operator="between">
      <formula>0.001</formula>
      <formula>0.0001</formula>
    </cfRule>
    <cfRule type="cellIs" dxfId="25" priority="3" operator="between">
      <formula>0.01</formula>
      <formula>0.001</formula>
    </cfRule>
    <cfRule type="cellIs" dxfId="24" priority="4" operator="between">
      <formula>0.05</formula>
      <formula>0.01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A9675-F6EF-482B-8FEE-92B230A100CD}">
  <dimension ref="A2:H47"/>
  <sheetViews>
    <sheetView workbookViewId="0">
      <selection activeCell="L17" sqref="L17"/>
    </sheetView>
  </sheetViews>
  <sheetFormatPr defaultRowHeight="15"/>
  <sheetData>
    <row r="2" spans="1:8">
      <c r="A2" t="s">
        <v>451</v>
      </c>
      <c r="F2" t="s">
        <v>452</v>
      </c>
    </row>
    <row r="4" spans="1:8">
      <c r="B4" s="59" t="s">
        <v>412</v>
      </c>
      <c r="C4" s="59"/>
      <c r="D4" s="124"/>
      <c r="E4" s="124"/>
      <c r="G4" s="49" t="s">
        <v>412</v>
      </c>
      <c r="H4" s="49"/>
    </row>
    <row r="5" spans="1:8" ht="39">
      <c r="B5" s="68" t="s">
        <v>410</v>
      </c>
      <c r="C5" s="68" t="s">
        <v>411</v>
      </c>
      <c r="D5" s="83"/>
      <c r="E5" s="83"/>
      <c r="G5" s="85" t="s">
        <v>413</v>
      </c>
      <c r="H5" s="85" t="s">
        <v>414</v>
      </c>
    </row>
    <row r="6" spans="1:8">
      <c r="B6" s="67">
        <v>171.42859999999999</v>
      </c>
      <c r="C6" s="67">
        <v>136.36359999999999</v>
      </c>
      <c r="D6" s="71"/>
      <c r="E6" s="71"/>
      <c r="G6" s="79">
        <v>250</v>
      </c>
      <c r="H6" s="79">
        <v>260.86959999999999</v>
      </c>
    </row>
    <row r="7" spans="1:8">
      <c r="B7" s="67">
        <v>230.76920000000001</v>
      </c>
      <c r="C7" s="67">
        <v>113.2075</v>
      </c>
      <c r="D7" s="71"/>
      <c r="E7" s="71"/>
      <c r="G7" s="79">
        <v>240</v>
      </c>
      <c r="H7" s="79">
        <v>250</v>
      </c>
    </row>
    <row r="8" spans="1:8">
      <c r="B8" s="67">
        <v>193.54839999999999</v>
      </c>
      <c r="C8" s="67">
        <v>127.6596</v>
      </c>
      <c r="D8" s="71"/>
      <c r="E8" s="71"/>
      <c r="G8" s="79">
        <v>272.72730000000001</v>
      </c>
      <c r="H8" s="79">
        <v>250</v>
      </c>
    </row>
    <row r="9" spans="1:8">
      <c r="B9" s="67">
        <v>222.22219999999999</v>
      </c>
      <c r="C9" s="67">
        <v>162.16220000000001</v>
      </c>
      <c r="D9" s="71"/>
      <c r="E9" s="71"/>
      <c r="G9" s="79">
        <v>230.76920000000001</v>
      </c>
      <c r="H9" s="79">
        <v>285.71429999999998</v>
      </c>
    </row>
    <row r="10" spans="1:8">
      <c r="B10" s="67">
        <v>146.3415</v>
      </c>
      <c r="C10" s="67">
        <v>240</v>
      </c>
      <c r="D10" s="71"/>
      <c r="E10" s="71"/>
      <c r="G10" s="79">
        <v>240</v>
      </c>
      <c r="H10" s="79">
        <v>214.28569999999999</v>
      </c>
    </row>
    <row r="11" spans="1:8">
      <c r="B11" s="67">
        <v>240</v>
      </c>
      <c r="C11" s="67">
        <v>200</v>
      </c>
      <c r="D11" s="71"/>
      <c r="E11" s="71"/>
      <c r="G11" s="79">
        <v>260.86959999999999</v>
      </c>
      <c r="H11" s="79">
        <v>240</v>
      </c>
    </row>
    <row r="12" spans="1:8">
      <c r="B12" s="67">
        <v>250</v>
      </c>
      <c r="C12" s="67">
        <v>122.449</v>
      </c>
      <c r="D12" s="71"/>
      <c r="E12" s="71"/>
      <c r="G12" s="79">
        <v>230.76920000000001</v>
      </c>
      <c r="H12" s="79">
        <v>230.76920000000001</v>
      </c>
    </row>
    <row r="13" spans="1:8">
      <c r="B13" s="67">
        <v>222.22219999999999</v>
      </c>
      <c r="C13" s="67">
        <v>166.66669999999999</v>
      </c>
      <c r="D13" s="71"/>
      <c r="E13" s="71"/>
      <c r="G13" s="79">
        <v>285.71429999999998</v>
      </c>
      <c r="H13" s="79">
        <v>206.89660000000001</v>
      </c>
    </row>
    <row r="14" spans="1:8">
      <c r="B14" s="67">
        <v>240</v>
      </c>
      <c r="C14" s="67">
        <v>200</v>
      </c>
      <c r="D14" s="71"/>
      <c r="E14" s="71"/>
      <c r="G14" s="79">
        <v>240</v>
      </c>
      <c r="H14" s="79">
        <v>240</v>
      </c>
    </row>
    <row r="15" spans="1:8">
      <c r="B15" s="67">
        <v>230.76920000000001</v>
      </c>
      <c r="C15" s="67">
        <v>171.42859999999999</v>
      </c>
      <c r="D15" s="71"/>
      <c r="E15" s="71"/>
      <c r="G15" s="79">
        <v>222.22219999999999</v>
      </c>
      <c r="H15" s="79">
        <v>260.86959999999999</v>
      </c>
    </row>
    <row r="16" spans="1:8">
      <c r="B16" s="67">
        <v>230.76920000000001</v>
      </c>
      <c r="C16" s="67">
        <v>222.22219999999999</v>
      </c>
      <c r="D16" s="71"/>
      <c r="E16" s="71"/>
      <c r="G16" s="79">
        <v>250</v>
      </c>
      <c r="H16" s="79">
        <v>250</v>
      </c>
    </row>
    <row r="17" spans="1:8">
      <c r="B17" s="67">
        <v>222.22219999999999</v>
      </c>
      <c r="C17" s="67">
        <v>206.89660000000001</v>
      </c>
      <c r="D17" s="71"/>
      <c r="E17" s="71"/>
      <c r="G17" s="79">
        <v>272.72730000000001</v>
      </c>
      <c r="H17" s="79">
        <v>272.72730000000001</v>
      </c>
    </row>
    <row r="18" spans="1:8">
      <c r="B18" s="67">
        <v>181.81819999999999</v>
      </c>
      <c r="C18" s="67">
        <v>187.5</v>
      </c>
      <c r="D18" s="71"/>
      <c r="E18" s="71"/>
      <c r="G18" s="79">
        <v>272.72730000000001</v>
      </c>
      <c r="H18" s="79">
        <v>222.22219999999999</v>
      </c>
    </row>
    <row r="19" spans="1:8">
      <c r="B19" s="67"/>
      <c r="C19" s="67">
        <v>125</v>
      </c>
      <c r="D19" s="71"/>
      <c r="E19" s="71"/>
      <c r="G19" s="79">
        <v>285.71429999999998</v>
      </c>
      <c r="H19" s="79">
        <v>240</v>
      </c>
    </row>
    <row r="20" spans="1:8">
      <c r="B20" s="67"/>
      <c r="C20" s="67">
        <v>113.2075</v>
      </c>
      <c r="D20" s="71"/>
      <c r="E20" s="71"/>
      <c r="G20" s="79">
        <v>240</v>
      </c>
      <c r="H20" s="79">
        <v>230.76920000000001</v>
      </c>
    </row>
    <row r="21" spans="1:8">
      <c r="B21" s="67"/>
      <c r="C21" s="67">
        <v>90.909090000000006</v>
      </c>
      <c r="D21" s="71"/>
      <c r="E21" s="71"/>
      <c r="G21" s="79">
        <v>222.22219999999999</v>
      </c>
      <c r="H21" s="79">
        <v>285.71429999999998</v>
      </c>
    </row>
    <row r="22" spans="1:8">
      <c r="B22" s="67"/>
      <c r="C22" s="67">
        <v>166.66669999999999</v>
      </c>
      <c r="D22" s="71"/>
      <c r="E22" s="71"/>
      <c r="G22" s="79">
        <v>272.72730000000001</v>
      </c>
      <c r="H22" s="79">
        <v>260.86959999999999</v>
      </c>
    </row>
    <row r="23" spans="1:8">
      <c r="A23" t="s">
        <v>17</v>
      </c>
      <c r="B23">
        <f>AVERAGE(B6:B22)</f>
        <v>214.00853076923082</v>
      </c>
      <c r="C23">
        <f>AVERAGE(C6:C22)</f>
        <v>161.90231117647059</v>
      </c>
      <c r="G23" s="79">
        <v>260.86959999999999</v>
      </c>
      <c r="H23" s="79">
        <v>272.72730000000001</v>
      </c>
    </row>
    <row r="24" spans="1:8">
      <c r="G24" s="79">
        <v>272.72730000000001</v>
      </c>
      <c r="H24" s="79">
        <v>250</v>
      </c>
    </row>
    <row r="25" spans="1:8">
      <c r="G25" s="79">
        <v>272.72730000000001</v>
      </c>
      <c r="H25" s="79">
        <v>285.71429999999998</v>
      </c>
    </row>
    <row r="26" spans="1:8">
      <c r="G26" s="79">
        <v>214.28569999999999</v>
      </c>
      <c r="H26" s="79">
        <v>260.86959999999999</v>
      </c>
    </row>
    <row r="27" spans="1:8">
      <c r="G27" s="79">
        <v>222.22219999999999</v>
      </c>
      <c r="H27" s="79">
        <v>260.86959999999999</v>
      </c>
    </row>
    <row r="28" spans="1:8">
      <c r="G28" s="79">
        <v>222.22219999999999</v>
      </c>
      <c r="H28" s="79">
        <v>162.16220000000001</v>
      </c>
    </row>
    <row r="29" spans="1:8">
      <c r="G29" s="79">
        <v>240</v>
      </c>
      <c r="H29" s="79">
        <v>240</v>
      </c>
    </row>
    <row r="30" spans="1:8">
      <c r="G30" s="79">
        <v>230.76920000000001</v>
      </c>
      <c r="H30" s="79">
        <v>250</v>
      </c>
    </row>
    <row r="31" spans="1:8">
      <c r="G31" s="79">
        <v>230.76920000000001</v>
      </c>
      <c r="H31" s="79">
        <v>181.81819999999999</v>
      </c>
    </row>
    <row r="32" spans="1:8">
      <c r="G32" s="79">
        <v>260.86959999999999</v>
      </c>
      <c r="H32" s="79">
        <v>230.76920000000001</v>
      </c>
    </row>
    <row r="33" spans="6:8">
      <c r="G33" s="79">
        <v>272.72730000000001</v>
      </c>
      <c r="H33" s="79">
        <v>240</v>
      </c>
    </row>
    <row r="34" spans="6:8">
      <c r="G34" s="79">
        <v>285.71429999999998</v>
      </c>
      <c r="H34" s="79">
        <v>206.89660000000001</v>
      </c>
    </row>
    <row r="35" spans="6:8">
      <c r="G35" s="79">
        <v>272.72730000000001</v>
      </c>
      <c r="H35" s="79">
        <v>222.22219999999999</v>
      </c>
    </row>
    <row r="36" spans="6:8">
      <c r="G36" s="79">
        <v>222.22219999999999</v>
      </c>
      <c r="H36" s="79">
        <v>260.86959999999999</v>
      </c>
    </row>
    <row r="37" spans="6:8">
      <c r="G37" s="79">
        <v>222.22219999999999</v>
      </c>
      <c r="H37" s="79">
        <v>193.54839999999999</v>
      </c>
    </row>
    <row r="38" spans="6:8">
      <c r="G38" s="79">
        <v>214.28569999999999</v>
      </c>
      <c r="H38" s="79">
        <v>230.76920000000001</v>
      </c>
    </row>
    <row r="39" spans="6:8">
      <c r="G39" s="79">
        <v>214.28569999999999</v>
      </c>
      <c r="H39" s="79">
        <v>272.72730000000001</v>
      </c>
    </row>
    <row r="40" spans="6:8">
      <c r="G40" s="79">
        <v>222.22219999999999</v>
      </c>
      <c r="H40" s="79">
        <v>250</v>
      </c>
    </row>
    <row r="41" spans="6:8">
      <c r="G41" s="79">
        <v>214.28569999999999</v>
      </c>
      <c r="H41" s="79">
        <v>272.72730000000001</v>
      </c>
    </row>
    <row r="42" spans="6:8">
      <c r="G42" s="79">
        <v>230.76920000000001</v>
      </c>
      <c r="H42" s="79">
        <v>272.72730000000001</v>
      </c>
    </row>
    <row r="43" spans="6:8">
      <c r="G43" s="79">
        <v>272.72730000000001</v>
      </c>
      <c r="H43" s="79">
        <v>260.86959999999999</v>
      </c>
    </row>
    <row r="44" spans="6:8">
      <c r="G44" s="79">
        <v>250</v>
      </c>
      <c r="H44" s="79">
        <v>260.86959999999999</v>
      </c>
    </row>
    <row r="45" spans="6:8">
      <c r="G45" s="79">
        <v>230.76920000000001</v>
      </c>
      <c r="H45" s="79">
        <v>272.72730000000001</v>
      </c>
    </row>
    <row r="46" spans="6:8">
      <c r="G46" s="79">
        <v>250</v>
      </c>
      <c r="H46" s="79"/>
    </row>
    <row r="47" spans="6:8">
      <c r="F47" t="s">
        <v>17</v>
      </c>
      <c r="G47">
        <f>AVERAGE(G5:G46)</f>
        <v>246.13684878048795</v>
      </c>
      <c r="H47">
        <f>AVERAGE(H5:H46)</f>
        <v>245.33981</v>
      </c>
    </row>
  </sheetData>
  <mergeCells count="2">
    <mergeCell ref="B4:C4"/>
    <mergeCell ref="G4:H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A6D0A-5FAB-4787-BACA-8E7F95A1ED47}">
  <dimension ref="B2:Q47"/>
  <sheetViews>
    <sheetView tabSelected="1" workbookViewId="0">
      <selection activeCell="O20" sqref="O20"/>
    </sheetView>
  </sheetViews>
  <sheetFormatPr defaultRowHeight="15"/>
  <cols>
    <col min="1" max="10" width="9.140625" style="12"/>
    <col min="11" max="11" width="10.5703125" style="12" customWidth="1"/>
    <col min="12" max="12" width="11.7109375" style="12" customWidth="1"/>
    <col min="13" max="16384" width="9.140625" style="12"/>
  </cols>
  <sheetData>
    <row r="2" spans="2:17">
      <c r="B2" s="12" t="s">
        <v>442</v>
      </c>
      <c r="F2" s="12" t="s">
        <v>441</v>
      </c>
      <c r="J2" s="12" t="s">
        <v>440</v>
      </c>
      <c r="N2" s="12" t="s">
        <v>449</v>
      </c>
    </row>
    <row r="4" spans="2:17" ht="60" customHeight="1">
      <c r="B4" s="19"/>
      <c r="C4" s="19" t="s">
        <v>279</v>
      </c>
      <c r="D4" s="19" t="s">
        <v>280</v>
      </c>
      <c r="F4" s="19"/>
      <c r="G4" s="19" t="s">
        <v>279</v>
      </c>
      <c r="H4" s="19" t="s">
        <v>280</v>
      </c>
      <c r="J4" s="16"/>
      <c r="K4" s="59" t="s">
        <v>420</v>
      </c>
      <c r="L4" s="59"/>
      <c r="N4" s="16"/>
      <c r="O4" s="59" t="s">
        <v>450</v>
      </c>
      <c r="P4" s="59"/>
      <c r="Q4" s="59"/>
    </row>
    <row r="5" spans="2:17" ht="39">
      <c r="B5" s="95" t="s">
        <v>415</v>
      </c>
      <c r="C5" s="22">
        <v>87</v>
      </c>
      <c r="D5" s="22">
        <v>13</v>
      </c>
      <c r="F5" s="95" t="s">
        <v>417</v>
      </c>
      <c r="G5" s="22">
        <v>83.333330000000004</v>
      </c>
      <c r="H5" s="22">
        <v>16.66667</v>
      </c>
      <c r="J5" s="26" t="s">
        <v>419</v>
      </c>
      <c r="K5" s="78" t="s">
        <v>679</v>
      </c>
      <c r="L5" s="78" t="s">
        <v>680</v>
      </c>
      <c r="N5" s="65"/>
      <c r="O5" s="65" t="s">
        <v>443</v>
      </c>
      <c r="P5" s="65" t="s">
        <v>444</v>
      </c>
      <c r="Q5" s="65" t="s">
        <v>445</v>
      </c>
    </row>
    <row r="6" spans="2:17" ht="39">
      <c r="B6" s="95" t="s">
        <v>416</v>
      </c>
      <c r="C6" s="22">
        <v>43</v>
      </c>
      <c r="D6" s="22">
        <v>57</v>
      </c>
      <c r="F6" s="95" t="s">
        <v>418</v>
      </c>
      <c r="G6" s="22">
        <v>62.5</v>
      </c>
      <c r="H6" s="22">
        <v>37.5</v>
      </c>
      <c r="J6" s="31">
        <v>4</v>
      </c>
      <c r="K6" s="31">
        <v>100</v>
      </c>
      <c r="L6" s="31">
        <v>100</v>
      </c>
      <c r="N6" s="66" t="s">
        <v>446</v>
      </c>
      <c r="O6" s="67">
        <v>79.487179490000003</v>
      </c>
      <c r="P6" s="67">
        <v>15.38461538</v>
      </c>
      <c r="Q6" s="67">
        <v>5.1282051280000003</v>
      </c>
    </row>
    <row r="7" spans="2:17" ht="40.5">
      <c r="J7" s="31">
        <v>5</v>
      </c>
      <c r="K7" s="31">
        <v>100</v>
      </c>
      <c r="L7" s="31">
        <v>100</v>
      </c>
      <c r="N7" s="66" t="s">
        <v>447</v>
      </c>
      <c r="O7" s="67">
        <v>54.285714290000001</v>
      </c>
      <c r="P7" s="67">
        <v>28.571428569999998</v>
      </c>
      <c r="Q7" s="67">
        <v>17.14285714</v>
      </c>
    </row>
    <row r="8" spans="2:17" ht="40.5">
      <c r="J8" s="31">
        <v>6</v>
      </c>
      <c r="K8" s="31">
        <v>100</v>
      </c>
      <c r="L8" s="31">
        <v>99.141630000000006</v>
      </c>
      <c r="N8" s="66" t="s">
        <v>448</v>
      </c>
      <c r="O8" s="67">
        <v>37.5</v>
      </c>
      <c r="P8" s="67">
        <v>22.5</v>
      </c>
      <c r="Q8" s="67">
        <v>40</v>
      </c>
    </row>
    <row r="9" spans="2:17">
      <c r="J9" s="31">
        <v>7</v>
      </c>
      <c r="K9" s="31">
        <v>100</v>
      </c>
      <c r="L9" s="31">
        <v>96.995710000000003</v>
      </c>
    </row>
    <row r="10" spans="2:17">
      <c r="J10" s="31">
        <v>17</v>
      </c>
      <c r="K10" s="31">
        <v>94</v>
      </c>
      <c r="L10" s="31">
        <v>63.090130000000002</v>
      </c>
    </row>
    <row r="11" spans="2:17">
      <c r="J11" s="126"/>
      <c r="K11" s="126"/>
      <c r="L11" s="126"/>
    </row>
    <row r="12" spans="2:17">
      <c r="J12" s="16"/>
      <c r="K12" s="59" t="s">
        <v>420</v>
      </c>
      <c r="L12" s="59"/>
    </row>
    <row r="13" spans="2:17">
      <c r="J13" s="26" t="s">
        <v>419</v>
      </c>
      <c r="K13" s="78" t="s">
        <v>677</v>
      </c>
      <c r="L13" s="78" t="s">
        <v>678</v>
      </c>
    </row>
    <row r="14" spans="2:17">
      <c r="J14" s="16">
        <v>4</v>
      </c>
      <c r="K14" s="16">
        <v>100</v>
      </c>
      <c r="L14" s="16">
        <v>233</v>
      </c>
    </row>
    <row r="15" spans="2:17">
      <c r="J15" s="31">
        <v>5</v>
      </c>
      <c r="K15" s="31">
        <v>100</v>
      </c>
      <c r="L15" s="31">
        <v>233</v>
      </c>
    </row>
    <row r="16" spans="2:17">
      <c r="J16" s="31">
        <v>6</v>
      </c>
      <c r="K16" s="31">
        <v>100</v>
      </c>
      <c r="L16" s="31">
        <v>231</v>
      </c>
    </row>
    <row r="17" spans="10:12">
      <c r="J17" s="31">
        <v>7</v>
      </c>
      <c r="K17" s="31">
        <v>100</v>
      </c>
      <c r="L17" s="31">
        <v>226</v>
      </c>
    </row>
    <row r="18" spans="10:12">
      <c r="J18" s="31">
        <v>17</v>
      </c>
      <c r="K18" s="31">
        <v>94</v>
      </c>
      <c r="L18" s="31">
        <v>147</v>
      </c>
    </row>
    <row r="21" spans="10:12" ht="51.75">
      <c r="J21" s="58" t="s">
        <v>421</v>
      </c>
      <c r="K21" s="22"/>
      <c r="L21" s="22"/>
    </row>
    <row r="22" spans="10:12">
      <c r="J22" s="58"/>
      <c r="K22" s="22"/>
      <c r="L22" s="22"/>
    </row>
    <row r="23" spans="10:12" ht="39">
      <c r="J23" s="58" t="s">
        <v>422</v>
      </c>
      <c r="K23" s="22"/>
      <c r="L23" s="22"/>
    </row>
    <row r="24" spans="10:12" ht="26.25">
      <c r="J24" s="58" t="s">
        <v>423</v>
      </c>
      <c r="K24" s="22">
        <v>33.11</v>
      </c>
      <c r="L24" s="22"/>
    </row>
    <row r="25" spans="10:12">
      <c r="J25" s="58" t="s">
        <v>319</v>
      </c>
      <c r="K25" s="22">
        <v>1</v>
      </c>
      <c r="L25" s="22"/>
    </row>
    <row r="26" spans="10:12">
      <c r="J26" s="60" t="s">
        <v>113</v>
      </c>
      <c r="K26" s="61" t="s">
        <v>168</v>
      </c>
      <c r="L26" s="22"/>
    </row>
    <row r="27" spans="10:12" ht="26.25">
      <c r="J27" s="58" t="s">
        <v>77</v>
      </c>
      <c r="K27" s="22" t="s">
        <v>167</v>
      </c>
      <c r="L27" s="22"/>
    </row>
    <row r="28" spans="10:12" ht="64.5">
      <c r="J28" s="58" t="s">
        <v>424</v>
      </c>
      <c r="K28" s="22" t="s">
        <v>80</v>
      </c>
      <c r="L28" s="22"/>
    </row>
    <row r="29" spans="10:12">
      <c r="J29" s="58"/>
      <c r="K29" s="22"/>
      <c r="L29" s="22"/>
    </row>
    <row r="30" spans="10:12" ht="51.75">
      <c r="J30" s="58" t="s">
        <v>425</v>
      </c>
      <c r="K30" s="22"/>
      <c r="L30" s="22"/>
    </row>
    <row r="31" spans="10:12" ht="26.25">
      <c r="J31" s="58" t="s">
        <v>423</v>
      </c>
      <c r="K31" s="22">
        <v>33.11</v>
      </c>
      <c r="L31" s="22"/>
    </row>
    <row r="32" spans="10:12">
      <c r="J32" s="58" t="s">
        <v>319</v>
      </c>
      <c r="K32" s="22">
        <v>1</v>
      </c>
      <c r="L32" s="22"/>
    </row>
    <row r="33" spans="10:12">
      <c r="J33" s="60" t="s">
        <v>113</v>
      </c>
      <c r="K33" s="61" t="s">
        <v>168</v>
      </c>
      <c r="L33" s="22"/>
    </row>
    <row r="34" spans="10:12" ht="26.25">
      <c r="J34" s="58" t="s">
        <v>77</v>
      </c>
      <c r="K34" s="22" t="s">
        <v>167</v>
      </c>
      <c r="L34" s="22"/>
    </row>
    <row r="35" spans="10:12" ht="64.5">
      <c r="J35" s="58" t="s">
        <v>424</v>
      </c>
      <c r="K35" s="22" t="s">
        <v>80</v>
      </c>
      <c r="L35" s="22"/>
    </row>
    <row r="36" spans="10:12">
      <c r="J36" s="58"/>
      <c r="K36" s="22"/>
      <c r="L36" s="22"/>
    </row>
    <row r="37" spans="10:12" ht="26.25">
      <c r="J37" s="58" t="s">
        <v>426</v>
      </c>
      <c r="K37" s="22"/>
      <c r="L37" s="22"/>
    </row>
    <row r="38" spans="10:12">
      <c r="J38" s="58" t="s">
        <v>427</v>
      </c>
      <c r="K38" s="22" t="s">
        <v>428</v>
      </c>
      <c r="L38" s="22"/>
    </row>
    <row r="39" spans="10:12">
      <c r="J39" s="58" t="s">
        <v>429</v>
      </c>
      <c r="K39" s="22" t="s">
        <v>428</v>
      </c>
      <c r="L39" s="22"/>
    </row>
    <row r="40" spans="10:12">
      <c r="J40" s="58"/>
      <c r="K40" s="22"/>
      <c r="L40" s="22"/>
    </row>
    <row r="41" spans="10:12" ht="64.5">
      <c r="J41" s="58" t="s">
        <v>430</v>
      </c>
      <c r="K41" s="22" t="s">
        <v>431</v>
      </c>
      <c r="L41" s="22" t="s">
        <v>432</v>
      </c>
    </row>
    <row r="42" spans="10:12" ht="51.75">
      <c r="J42" s="58" t="s">
        <v>433</v>
      </c>
      <c r="K42" s="22">
        <v>0.2248</v>
      </c>
      <c r="L42" s="22">
        <v>4.4480000000000004</v>
      </c>
    </row>
    <row r="43" spans="10:12" ht="26.25">
      <c r="J43" s="58" t="s">
        <v>434</v>
      </c>
      <c r="K43" s="22" t="s">
        <v>435</v>
      </c>
      <c r="L43" s="22" t="s">
        <v>436</v>
      </c>
    </row>
    <row r="44" spans="10:12">
      <c r="J44" s="58"/>
      <c r="K44" s="22"/>
      <c r="L44" s="22"/>
    </row>
    <row r="45" spans="10:12" ht="39">
      <c r="J45" s="58" t="s">
        <v>437</v>
      </c>
      <c r="K45" s="22" t="s">
        <v>431</v>
      </c>
      <c r="L45" s="22" t="s">
        <v>432</v>
      </c>
    </row>
    <row r="46" spans="10:12" ht="51.75">
      <c r="J46" s="58" t="s">
        <v>433</v>
      </c>
      <c r="K46" s="22">
        <v>0.158</v>
      </c>
      <c r="L46" s="22">
        <v>6.33</v>
      </c>
    </row>
    <row r="47" spans="10:12" ht="26.25">
      <c r="J47" s="58" t="s">
        <v>434</v>
      </c>
      <c r="K47" s="22" t="s">
        <v>438</v>
      </c>
      <c r="L47" s="22" t="s">
        <v>439</v>
      </c>
    </row>
  </sheetData>
  <mergeCells count="3">
    <mergeCell ref="K4:L4"/>
    <mergeCell ref="O4:Q4"/>
    <mergeCell ref="K12:L1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985A1-A161-407A-A32C-67ADC18717DA}">
  <dimension ref="A1:R24"/>
  <sheetViews>
    <sheetView workbookViewId="0">
      <selection activeCell="S23" sqref="S23"/>
    </sheetView>
  </sheetViews>
  <sheetFormatPr defaultRowHeight="15"/>
  <sheetData>
    <row r="1" spans="1:18">
      <c r="A1" s="96" t="s">
        <v>461</v>
      </c>
    </row>
    <row r="2" spans="1:18" ht="29.25" customHeight="1">
      <c r="A2" s="26"/>
      <c r="B2" s="88" t="s">
        <v>456</v>
      </c>
      <c r="C2" s="74"/>
      <c r="D2" s="74"/>
      <c r="E2" s="74"/>
      <c r="F2" s="74"/>
      <c r="G2" s="74"/>
      <c r="H2" s="74"/>
      <c r="I2" s="74"/>
      <c r="J2" s="74"/>
      <c r="K2" s="88" t="s">
        <v>457</v>
      </c>
      <c r="L2" s="74"/>
      <c r="M2" s="74"/>
      <c r="N2" s="74"/>
      <c r="O2" s="74"/>
      <c r="P2" s="74"/>
      <c r="Q2" s="74"/>
      <c r="R2" s="74"/>
    </row>
    <row r="3" spans="1:18">
      <c r="A3" s="75" t="s">
        <v>458</v>
      </c>
      <c r="B3" s="31">
        <v>0.20303099999999999</v>
      </c>
      <c r="C3" s="31">
        <v>0.26796300000000001</v>
      </c>
      <c r="D3" s="31">
        <v>0.308141</v>
      </c>
      <c r="E3" s="31">
        <v>0.258351</v>
      </c>
      <c r="F3" s="31">
        <v>0.61909099999999995</v>
      </c>
      <c r="G3" s="31">
        <v>0.278951</v>
      </c>
      <c r="H3" s="31">
        <v>0.29788100000000001</v>
      </c>
      <c r="I3" s="31">
        <v>0.24729499999999999</v>
      </c>
      <c r="J3" s="31">
        <v>7.7008999999999994E-2</v>
      </c>
      <c r="K3" s="31">
        <v>0.46480300000000002</v>
      </c>
      <c r="L3" s="31">
        <v>0.21194499999999999</v>
      </c>
      <c r="M3" s="31">
        <v>0.164302</v>
      </c>
      <c r="N3" s="31">
        <v>0.23625699999999999</v>
      </c>
      <c r="O3" s="31">
        <v>0.186221</v>
      </c>
      <c r="P3" s="31">
        <v>0.37407899999999999</v>
      </c>
      <c r="Q3" s="31">
        <v>0.22425899999999999</v>
      </c>
      <c r="R3" s="31">
        <v>0.21379799999999999</v>
      </c>
    </row>
    <row r="4" spans="1:18">
      <c r="A4" s="75" t="s">
        <v>459</v>
      </c>
      <c r="B4" s="31">
        <v>-1.435E-2</v>
      </c>
      <c r="C4" s="31">
        <v>5.927E-3</v>
      </c>
      <c r="D4" s="31">
        <v>5.9930000000000001E-3</v>
      </c>
      <c r="E4" s="31">
        <v>4.2792999999999998E-2</v>
      </c>
      <c r="F4" s="31">
        <v>0.176958</v>
      </c>
      <c r="G4" s="31">
        <v>2.9637E-2</v>
      </c>
      <c r="H4" s="31">
        <v>2.9242000000000001E-2</v>
      </c>
      <c r="I4" s="31">
        <v>4.5706999999999998E-2</v>
      </c>
      <c r="J4" s="31">
        <v>-1.9990000000000001E-2</v>
      </c>
      <c r="K4" s="31">
        <v>0.53499200000000002</v>
      </c>
      <c r="L4" s="31">
        <v>9.5047000000000006E-2</v>
      </c>
      <c r="M4" s="31">
        <v>0.16844400000000001</v>
      </c>
      <c r="N4" s="31">
        <v>0.13050200000000001</v>
      </c>
      <c r="O4" s="31">
        <v>7.1485000000000007E-2</v>
      </c>
      <c r="P4" s="31">
        <v>0.13932800000000001</v>
      </c>
      <c r="Q4" s="31">
        <v>0.17019799999999999</v>
      </c>
      <c r="R4" s="31">
        <v>0.14894399999999999</v>
      </c>
    </row>
    <row r="8" spans="1:18">
      <c r="A8" s="96" t="s">
        <v>460</v>
      </c>
    </row>
    <row r="9" spans="1:18" ht="30.75" customHeight="1">
      <c r="A9" s="26"/>
      <c r="B9" s="88" t="s">
        <v>456</v>
      </c>
      <c r="C9" s="74"/>
      <c r="D9" s="74"/>
      <c r="E9" s="74"/>
      <c r="F9" s="74"/>
      <c r="G9" s="74"/>
      <c r="H9" s="74"/>
      <c r="I9" s="74"/>
      <c r="J9" s="74"/>
      <c r="K9" s="88" t="s">
        <v>457</v>
      </c>
      <c r="L9" s="74"/>
      <c r="M9" s="74"/>
      <c r="N9" s="74"/>
      <c r="O9" s="74"/>
      <c r="P9" s="74"/>
      <c r="Q9" s="74"/>
      <c r="R9" s="74"/>
    </row>
    <row r="10" spans="1:18">
      <c r="A10" s="75" t="s">
        <v>458</v>
      </c>
      <c r="B10" s="31">
        <v>0.13875899999999999</v>
      </c>
      <c r="C10" s="31">
        <v>0.168768</v>
      </c>
      <c r="D10" s="31">
        <v>0.21465799999999999</v>
      </c>
      <c r="E10" s="31">
        <v>0.11682099999999999</v>
      </c>
      <c r="F10" s="31">
        <v>8.8098999999999997E-2</v>
      </c>
      <c r="G10" s="31">
        <v>0.21499499999999999</v>
      </c>
      <c r="H10" s="31">
        <v>0.122723</v>
      </c>
      <c r="I10" s="31">
        <v>0.26647599999999999</v>
      </c>
      <c r="J10" s="31">
        <v>5.9895999999999998E-2</v>
      </c>
      <c r="K10" s="31">
        <v>0.39368799999999998</v>
      </c>
      <c r="L10" s="31">
        <v>0.18626200000000001</v>
      </c>
      <c r="M10" s="31">
        <v>0.449432</v>
      </c>
      <c r="N10" s="31">
        <v>0.29292000000000001</v>
      </c>
      <c r="O10" s="31">
        <v>0.426985</v>
      </c>
      <c r="P10" s="31">
        <v>0.323156</v>
      </c>
      <c r="Q10" s="31">
        <v>6.4523999999999998E-2</v>
      </c>
      <c r="R10" s="31">
        <v>0.212399</v>
      </c>
    </row>
    <row r="11" spans="1:18">
      <c r="A11" s="75" t="s">
        <v>459</v>
      </c>
      <c r="B11" s="31">
        <v>1.6448000000000001E-2</v>
      </c>
      <c r="C11" s="31">
        <v>1.6704E-2</v>
      </c>
      <c r="D11" s="31">
        <v>1.7249E-2</v>
      </c>
      <c r="E11" s="31">
        <v>-4.471E-2</v>
      </c>
      <c r="F11" s="31">
        <v>-1.9300000000000001E-3</v>
      </c>
      <c r="G11" s="31">
        <v>1.4350999999999999E-2</v>
      </c>
      <c r="H11" s="31">
        <v>9.724E-3</v>
      </c>
      <c r="I11" s="31">
        <v>5.7096000000000001E-2</v>
      </c>
      <c r="J11" s="31">
        <v>-1.8270000000000002E-2</v>
      </c>
      <c r="K11" s="31">
        <v>0.38931300000000002</v>
      </c>
      <c r="L11" s="31">
        <v>2.0348000000000002E-2</v>
      </c>
      <c r="M11" s="31">
        <v>7.9807000000000003E-2</v>
      </c>
      <c r="N11" s="31">
        <v>6.2984999999999999E-2</v>
      </c>
      <c r="O11" s="31">
        <v>0.220549</v>
      </c>
      <c r="P11" s="31">
        <v>7.4577000000000004E-2</v>
      </c>
      <c r="Q11" s="31">
        <v>3.9292000000000001E-2</v>
      </c>
      <c r="R11" s="31">
        <v>9.2504000000000003E-2</v>
      </c>
    </row>
    <row r="15" spans="1:18">
      <c r="A15" s="96" t="s">
        <v>461</v>
      </c>
    </row>
    <row r="16" spans="1:18">
      <c r="A16" s="85"/>
      <c r="B16" s="85" t="s">
        <v>313</v>
      </c>
      <c r="C16" s="76" t="s">
        <v>113</v>
      </c>
      <c r="D16" s="85" t="s">
        <v>462</v>
      </c>
      <c r="E16" s="85" t="s">
        <v>463</v>
      </c>
      <c r="F16" s="85" t="s">
        <v>316</v>
      </c>
      <c r="G16" s="85" t="s">
        <v>317</v>
      </c>
      <c r="H16" s="85" t="s">
        <v>318</v>
      </c>
      <c r="I16" s="85" t="s">
        <v>319</v>
      </c>
      <c r="J16" s="85" t="s">
        <v>320</v>
      </c>
    </row>
    <row r="17" spans="1:10">
      <c r="A17" s="87" t="s">
        <v>458</v>
      </c>
      <c r="B17" s="79" t="s">
        <v>89</v>
      </c>
      <c r="C17" s="77">
        <v>0.69342999999999999</v>
      </c>
      <c r="D17" s="79">
        <v>0.28420000000000001</v>
      </c>
      <c r="E17" s="79">
        <v>0.25950000000000001</v>
      </c>
      <c r="F17" s="79">
        <v>2.4729999999999999E-2</v>
      </c>
      <c r="G17" s="79">
        <v>6.1539999999999997E-2</v>
      </c>
      <c r="H17" s="79">
        <v>0.40189999999999998</v>
      </c>
      <c r="I17" s="79">
        <v>15</v>
      </c>
      <c r="J17" s="79">
        <v>0.70036500000000002</v>
      </c>
    </row>
    <row r="18" spans="1:10">
      <c r="A18" s="87" t="s">
        <v>459</v>
      </c>
      <c r="B18" s="79" t="s">
        <v>89</v>
      </c>
      <c r="C18" s="77">
        <v>1.3103999999999999E-2</v>
      </c>
      <c r="D18" s="79">
        <v>3.3550000000000003E-2</v>
      </c>
      <c r="E18" s="79">
        <v>0.18240000000000001</v>
      </c>
      <c r="F18" s="79">
        <v>-0.14879999999999999</v>
      </c>
      <c r="G18" s="79">
        <v>5.2900000000000003E-2</v>
      </c>
      <c r="H18" s="79">
        <v>2.8130000000000002</v>
      </c>
      <c r="I18" s="79">
        <v>15</v>
      </c>
      <c r="J18" s="79">
        <v>2.6471000000000001E-2</v>
      </c>
    </row>
    <row r="21" spans="1:10">
      <c r="A21" s="96" t="s">
        <v>460</v>
      </c>
    </row>
    <row r="22" spans="1:10">
      <c r="A22" s="85"/>
      <c r="B22" s="85" t="s">
        <v>313</v>
      </c>
      <c r="C22" s="76" t="s">
        <v>113</v>
      </c>
      <c r="D22" s="85" t="s">
        <v>462</v>
      </c>
      <c r="E22" s="85" t="s">
        <v>463</v>
      </c>
      <c r="F22" s="85" t="s">
        <v>316</v>
      </c>
      <c r="G22" s="85" t="s">
        <v>317</v>
      </c>
      <c r="H22" s="85" t="s">
        <v>318</v>
      </c>
      <c r="I22" s="85" t="s">
        <v>319</v>
      </c>
      <c r="J22" s="85" t="s">
        <v>320</v>
      </c>
    </row>
    <row r="23" spans="1:10">
      <c r="A23" s="87" t="s">
        <v>458</v>
      </c>
      <c r="B23" s="79" t="s">
        <v>89</v>
      </c>
      <c r="C23" s="77">
        <v>1.4156E-2</v>
      </c>
      <c r="D23" s="79">
        <v>0.15459999999999999</v>
      </c>
      <c r="E23" s="79">
        <v>0.29370000000000002</v>
      </c>
      <c r="F23" s="79">
        <v>-0.1391</v>
      </c>
      <c r="G23" s="79">
        <v>5.0119999999999998E-2</v>
      </c>
      <c r="H23" s="79">
        <v>2.7749999999999999</v>
      </c>
      <c r="I23" s="79">
        <v>15</v>
      </c>
      <c r="J23" s="79">
        <v>1.5733E-2</v>
      </c>
    </row>
    <row r="24" spans="1:10">
      <c r="A24" s="87" t="s">
        <v>459</v>
      </c>
      <c r="B24" s="79" t="s">
        <v>89</v>
      </c>
      <c r="C24" s="77">
        <v>1.5577000000000001E-2</v>
      </c>
      <c r="D24" s="79">
        <v>7.4070000000000004E-3</v>
      </c>
      <c r="E24" s="79">
        <v>0.12239999999999999</v>
      </c>
      <c r="F24" s="79">
        <v>-0.115</v>
      </c>
      <c r="G24" s="79">
        <v>4.2169999999999999E-2</v>
      </c>
      <c r="H24" s="79">
        <v>2.7269999999999999</v>
      </c>
      <c r="I24" s="79">
        <v>15</v>
      </c>
      <c r="J24" s="79">
        <v>1.5733E-2</v>
      </c>
    </row>
  </sheetData>
  <mergeCells count="4">
    <mergeCell ref="B2:J2"/>
    <mergeCell ref="K2:R2"/>
    <mergeCell ref="B9:J9"/>
    <mergeCell ref="K9:R9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3E99-02AD-4C65-91B9-A9C02585FF3F}">
  <dimension ref="B3:H6"/>
  <sheetViews>
    <sheetView workbookViewId="0">
      <selection activeCell="H6" sqref="H6"/>
    </sheetView>
  </sheetViews>
  <sheetFormatPr defaultRowHeight="15"/>
  <cols>
    <col min="3" max="3" width="10.85546875" customWidth="1"/>
    <col min="4" max="4" width="11.140625" customWidth="1"/>
    <col min="8" max="8" width="12.85546875" customWidth="1"/>
  </cols>
  <sheetData>
    <row r="3" spans="2:8" ht="26.25">
      <c r="B3" s="65"/>
      <c r="C3" s="65" t="s">
        <v>25</v>
      </c>
      <c r="D3" s="65" t="s">
        <v>650</v>
      </c>
      <c r="F3" s="65"/>
      <c r="G3" s="65" t="s">
        <v>25</v>
      </c>
      <c r="H3" s="65" t="s">
        <v>650</v>
      </c>
    </row>
    <row r="4" spans="2:8" ht="42">
      <c r="B4" s="66" t="s">
        <v>453</v>
      </c>
      <c r="C4" s="67">
        <v>83.720929999999996</v>
      </c>
      <c r="D4" s="67">
        <v>16.279070000000001</v>
      </c>
      <c r="F4" s="66" t="s">
        <v>674</v>
      </c>
      <c r="G4" s="46">
        <v>36</v>
      </c>
      <c r="H4" s="46">
        <v>7</v>
      </c>
    </row>
    <row r="5" spans="2:8" ht="42">
      <c r="B5" s="66" t="s">
        <v>454</v>
      </c>
      <c r="C5" s="67">
        <v>58</v>
      </c>
      <c r="D5" s="67">
        <v>42</v>
      </c>
      <c r="F5" s="66" t="s">
        <v>675</v>
      </c>
      <c r="G5" s="46">
        <v>29</v>
      </c>
      <c r="H5" s="46">
        <v>21</v>
      </c>
    </row>
    <row r="6" spans="2:8" ht="27.75">
      <c r="B6" s="66" t="s">
        <v>455</v>
      </c>
      <c r="C6" s="67">
        <v>52.5</v>
      </c>
      <c r="D6" s="67">
        <v>47.5</v>
      </c>
      <c r="F6" s="66" t="s">
        <v>676</v>
      </c>
      <c r="G6" s="46">
        <v>21</v>
      </c>
      <c r="H6" s="46">
        <v>19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1CB4-7450-4656-A8CB-3423C4904858}">
  <dimension ref="B3:CS77"/>
  <sheetViews>
    <sheetView workbookViewId="0">
      <selection activeCell="C18" sqref="C18"/>
    </sheetView>
  </sheetViews>
  <sheetFormatPr defaultRowHeight="15"/>
  <cols>
    <col min="1" max="6" width="9.140625" style="12"/>
    <col min="7" max="7" width="11.42578125" style="12" customWidth="1"/>
    <col min="8" max="18" width="9.140625" style="12"/>
    <col min="19" max="19" width="36.28515625" style="12" customWidth="1"/>
    <col min="20" max="16384" width="9.140625" style="12"/>
  </cols>
  <sheetData>
    <row r="3" spans="2:97">
      <c r="B3" s="12" t="s">
        <v>466</v>
      </c>
      <c r="F3" s="12" t="s">
        <v>474</v>
      </c>
      <c r="K3" s="12" t="s">
        <v>483</v>
      </c>
      <c r="O3" s="12" t="s">
        <v>484</v>
      </c>
      <c r="S3" s="12" t="s">
        <v>487</v>
      </c>
    </row>
    <row r="5" spans="2:97" ht="42" customHeight="1">
      <c r="B5" s="97" t="s">
        <v>468</v>
      </c>
      <c r="C5" s="98"/>
      <c r="F5" s="65"/>
      <c r="G5" s="65" t="s">
        <v>478</v>
      </c>
      <c r="H5" s="65" t="s">
        <v>479</v>
      </c>
      <c r="I5" s="70"/>
      <c r="K5" s="65" t="s">
        <v>481</v>
      </c>
      <c r="L5" s="65" t="s">
        <v>482</v>
      </c>
      <c r="M5" s="70"/>
      <c r="O5" s="65" t="s">
        <v>485</v>
      </c>
      <c r="P5" s="65" t="s">
        <v>486</v>
      </c>
      <c r="Q5" s="70"/>
      <c r="S5" s="65"/>
      <c r="T5" s="100" t="s">
        <v>480</v>
      </c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 t="s">
        <v>475</v>
      </c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</row>
    <row r="6" spans="2:97" ht="27.75">
      <c r="B6" s="68" t="s">
        <v>464</v>
      </c>
      <c r="C6" s="68" t="s">
        <v>467</v>
      </c>
      <c r="F6" s="69" t="s">
        <v>480</v>
      </c>
      <c r="G6" s="67">
        <v>46</v>
      </c>
      <c r="H6" s="67">
        <v>3</v>
      </c>
      <c r="I6" s="71"/>
      <c r="K6" s="67">
        <v>45</v>
      </c>
      <c r="L6" s="67">
        <v>51</v>
      </c>
      <c r="M6" s="71"/>
      <c r="O6" s="67">
        <v>0.155556</v>
      </c>
      <c r="P6" s="67"/>
      <c r="Q6" s="71"/>
      <c r="S6" s="69" t="s">
        <v>493</v>
      </c>
      <c r="T6" s="67">
        <v>0.2</v>
      </c>
      <c r="U6" s="67">
        <v>7.6923000000000005E-2</v>
      </c>
      <c r="V6" s="67">
        <v>0.272727</v>
      </c>
      <c r="W6" s="67">
        <v>0.88888900000000004</v>
      </c>
      <c r="X6" s="67">
        <v>0.14285700000000001</v>
      </c>
      <c r="Y6" s="67">
        <v>0.33333299999999999</v>
      </c>
      <c r="Z6" s="67">
        <v>0.2</v>
      </c>
      <c r="AA6" s="67">
        <v>0.1</v>
      </c>
      <c r="AB6" s="67">
        <v>0.375</v>
      </c>
      <c r="AC6" s="67">
        <v>0</v>
      </c>
      <c r="AD6" s="67">
        <v>0</v>
      </c>
      <c r="AE6" s="67">
        <v>0.214286</v>
      </c>
      <c r="AF6" s="67">
        <v>0.14285700000000001</v>
      </c>
      <c r="AG6" s="67">
        <v>0.538462</v>
      </c>
      <c r="AH6" s="67">
        <v>0.16666700000000001</v>
      </c>
      <c r="AI6" s="67">
        <v>0</v>
      </c>
      <c r="AJ6" s="67">
        <v>0.222222</v>
      </c>
      <c r="AK6" s="67">
        <v>0</v>
      </c>
      <c r="AL6" s="67">
        <v>0.25</v>
      </c>
      <c r="AM6" s="67">
        <v>0.111111</v>
      </c>
      <c r="AN6" s="67">
        <v>0</v>
      </c>
      <c r="AO6" s="67">
        <v>0.25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0.25</v>
      </c>
      <c r="AV6" s="67">
        <v>0.28571400000000002</v>
      </c>
      <c r="AW6" s="67">
        <v>0.2</v>
      </c>
      <c r="AX6" s="67">
        <v>0.5</v>
      </c>
      <c r="AY6" s="67">
        <v>0</v>
      </c>
      <c r="AZ6" s="67">
        <v>0.25</v>
      </c>
      <c r="BA6" s="67">
        <v>0.36363600000000001</v>
      </c>
      <c r="BB6" s="67">
        <v>0</v>
      </c>
      <c r="BC6" s="67">
        <v>0.25</v>
      </c>
      <c r="BD6" s="67">
        <v>0.5</v>
      </c>
      <c r="BE6" s="67">
        <v>0.26666699999999999</v>
      </c>
      <c r="BF6" s="67">
        <v>0.8</v>
      </c>
      <c r="BG6" s="67">
        <v>0.41176499999999999</v>
      </c>
      <c r="BH6" s="67">
        <v>0.14285700000000001</v>
      </c>
      <c r="BI6" s="67">
        <v>0</v>
      </c>
      <c r="BJ6" s="67">
        <v>0.44444400000000001</v>
      </c>
      <c r="BK6" s="67">
        <v>0.75</v>
      </c>
      <c r="BL6" s="67">
        <v>0.35714299999999999</v>
      </c>
      <c r="BM6" s="67">
        <v>0.15789500000000001</v>
      </c>
      <c r="BN6" s="67">
        <v>4.3478000000000003E-2</v>
      </c>
      <c r="BO6" s="67">
        <v>0.2</v>
      </c>
      <c r="BP6" s="67">
        <v>0</v>
      </c>
      <c r="BQ6" s="67">
        <v>0.466667</v>
      </c>
      <c r="BR6" s="67">
        <v>0.33333299999999999</v>
      </c>
      <c r="BS6" s="67">
        <v>0.375</v>
      </c>
      <c r="BT6" s="67">
        <v>0</v>
      </c>
      <c r="BU6" s="67">
        <v>0</v>
      </c>
      <c r="BV6" s="67">
        <v>0.461538</v>
      </c>
      <c r="BW6" s="67">
        <v>0.55555600000000005</v>
      </c>
      <c r="BX6" s="67">
        <v>0.3125</v>
      </c>
      <c r="BY6" s="67">
        <v>0.18181800000000001</v>
      </c>
      <c r="BZ6" s="67">
        <v>0</v>
      </c>
      <c r="CA6" s="67">
        <v>0</v>
      </c>
      <c r="CB6" s="67">
        <v>0.4</v>
      </c>
      <c r="CC6" s="67">
        <v>0.222222</v>
      </c>
      <c r="CD6" s="67">
        <v>0.125</v>
      </c>
      <c r="CE6" s="67">
        <v>0.33333299999999999</v>
      </c>
      <c r="CF6" s="67">
        <v>0.2</v>
      </c>
      <c r="CG6" s="67">
        <v>0</v>
      </c>
      <c r="CH6" s="67">
        <v>0.217391</v>
      </c>
      <c r="CI6" s="67">
        <v>0.33333299999999999</v>
      </c>
      <c r="CJ6" s="67">
        <v>0.71428599999999998</v>
      </c>
      <c r="CK6" s="67">
        <v>0.222222</v>
      </c>
      <c r="CL6" s="67">
        <v>0.41176499999999999</v>
      </c>
      <c r="CM6" s="67">
        <v>0.15789500000000001</v>
      </c>
      <c r="CN6" s="67">
        <v>0.33333299999999999</v>
      </c>
      <c r="CO6" s="67">
        <v>0.3125</v>
      </c>
      <c r="CP6" s="67">
        <v>0.272727</v>
      </c>
      <c r="CQ6" s="67">
        <v>0.34375</v>
      </c>
      <c r="CR6" s="67">
        <v>0.2</v>
      </c>
      <c r="CS6" s="67">
        <v>7.6923000000000005E-2</v>
      </c>
    </row>
    <row r="7" spans="2:97" ht="26.25">
      <c r="B7" s="67">
        <v>22</v>
      </c>
      <c r="C7" s="67">
        <v>15</v>
      </c>
      <c r="F7" s="69" t="s">
        <v>475</v>
      </c>
      <c r="G7" s="67">
        <v>14</v>
      </c>
      <c r="H7" s="67">
        <v>39</v>
      </c>
      <c r="I7" s="71"/>
      <c r="K7" s="67">
        <v>56</v>
      </c>
      <c r="L7" s="67">
        <v>50</v>
      </c>
      <c r="M7" s="71"/>
      <c r="O7" s="67">
        <v>5.3571000000000001E-2</v>
      </c>
      <c r="P7" s="67">
        <v>9.8039000000000001E-2</v>
      </c>
      <c r="Q7" s="71"/>
      <c r="S7" s="69" t="s">
        <v>494</v>
      </c>
      <c r="T7" s="67">
        <v>0.15</v>
      </c>
      <c r="U7" s="67">
        <v>4.6511999999999998E-2</v>
      </c>
      <c r="V7" s="67">
        <v>0.16666700000000001</v>
      </c>
      <c r="W7" s="67">
        <v>3.5714000000000003E-2</v>
      </c>
      <c r="X7" s="67">
        <v>2.3255999999999999E-2</v>
      </c>
      <c r="Y7" s="67">
        <v>0.05</v>
      </c>
      <c r="Z7" s="67">
        <v>0</v>
      </c>
      <c r="AA7" s="67">
        <v>0.12820500000000001</v>
      </c>
      <c r="AB7" s="67">
        <v>0</v>
      </c>
      <c r="AC7" s="67">
        <v>3.3333000000000002E-2</v>
      </c>
      <c r="AD7" s="67">
        <v>0.105263</v>
      </c>
      <c r="AE7" s="67">
        <v>6.6667000000000004E-2</v>
      </c>
      <c r="AF7" s="67">
        <v>0.17073199999999999</v>
      </c>
      <c r="AG7" s="67">
        <v>7.4999999999999997E-2</v>
      </c>
      <c r="AH7" s="67">
        <v>2.2221999999999999E-2</v>
      </c>
      <c r="AI7" s="67">
        <v>8.1081E-2</v>
      </c>
      <c r="AJ7" s="67">
        <v>0.14285700000000001</v>
      </c>
      <c r="AK7" s="67">
        <v>2.9412000000000001E-2</v>
      </c>
      <c r="AL7" s="67">
        <v>5.7142999999999999E-2</v>
      </c>
      <c r="AM7" s="67">
        <v>2.3255999999999999E-2</v>
      </c>
      <c r="AN7" s="67">
        <v>6.0606E-2</v>
      </c>
      <c r="AO7" s="67">
        <v>7.8947000000000003E-2</v>
      </c>
      <c r="AP7" s="67">
        <v>2.9412000000000001E-2</v>
      </c>
      <c r="AQ7" s="67">
        <v>0</v>
      </c>
      <c r="AR7" s="67">
        <v>6.9766999999999996E-2</v>
      </c>
      <c r="AS7" s="67">
        <v>0</v>
      </c>
      <c r="AT7" s="67">
        <v>5.8824000000000001E-2</v>
      </c>
      <c r="AU7" s="67">
        <v>4.8779999999999997E-2</v>
      </c>
      <c r="AV7" s="67">
        <v>0.10638300000000001</v>
      </c>
      <c r="AW7" s="67">
        <v>8.5713999999999999E-2</v>
      </c>
      <c r="AX7" s="67">
        <v>8.1081E-2</v>
      </c>
      <c r="AY7" s="67">
        <v>4.8779999999999997E-2</v>
      </c>
      <c r="AZ7" s="67">
        <v>8.8234999999999994E-2</v>
      </c>
      <c r="BA7" s="67">
        <v>7.1429000000000006E-2</v>
      </c>
      <c r="BB7" s="67">
        <v>0</v>
      </c>
      <c r="BC7" s="67">
        <v>7.8947000000000003E-2</v>
      </c>
      <c r="BD7" s="67">
        <v>9.375E-2</v>
      </c>
      <c r="BE7" s="67">
        <v>2.7778000000000001E-2</v>
      </c>
      <c r="BF7" s="67">
        <v>0.15</v>
      </c>
      <c r="BG7" s="67">
        <v>0.20588200000000001</v>
      </c>
      <c r="BH7" s="67">
        <v>7.6923000000000005E-2</v>
      </c>
      <c r="BI7" s="67">
        <v>5.8824000000000001E-2</v>
      </c>
      <c r="BJ7" s="67">
        <v>0</v>
      </c>
      <c r="BK7" s="67">
        <v>0.28571400000000002</v>
      </c>
      <c r="BL7" s="67">
        <v>0</v>
      </c>
      <c r="BM7" s="67">
        <v>0</v>
      </c>
      <c r="BN7" s="67">
        <v>1.8182E-2</v>
      </c>
      <c r="BO7" s="67">
        <v>4.7619000000000002E-2</v>
      </c>
      <c r="BP7" s="67">
        <v>0.05</v>
      </c>
      <c r="BQ7" s="67">
        <v>2.3255999999999999E-2</v>
      </c>
      <c r="BR7" s="67">
        <v>0.121212</v>
      </c>
      <c r="BS7" s="67">
        <v>0</v>
      </c>
      <c r="BT7" s="67">
        <v>0</v>
      </c>
      <c r="BU7" s="67">
        <v>2.3255999999999999E-2</v>
      </c>
      <c r="BV7" s="67">
        <v>0.08</v>
      </c>
      <c r="BW7" s="67">
        <v>0</v>
      </c>
      <c r="BX7" s="67">
        <v>0.147059</v>
      </c>
      <c r="BY7" s="67">
        <v>9.0909000000000004E-2</v>
      </c>
      <c r="BZ7" s="67">
        <v>3.7037E-2</v>
      </c>
      <c r="CA7" s="67">
        <v>5.4053999999999998E-2</v>
      </c>
      <c r="CB7" s="67">
        <v>8.3333000000000004E-2</v>
      </c>
      <c r="CC7" s="67">
        <v>0</v>
      </c>
      <c r="CD7" s="67">
        <v>0.02</v>
      </c>
      <c r="CE7" s="67">
        <v>0</v>
      </c>
      <c r="CF7" s="67">
        <v>2.9412000000000001E-2</v>
      </c>
      <c r="CG7" s="67">
        <v>0.102564</v>
      </c>
      <c r="CH7" s="67">
        <v>8.8234999999999994E-2</v>
      </c>
      <c r="CI7" s="67">
        <v>0.12820500000000001</v>
      </c>
      <c r="CJ7" s="67">
        <v>0.3</v>
      </c>
      <c r="CK7" s="67">
        <v>6.0606E-2</v>
      </c>
      <c r="CL7" s="67">
        <v>0.05</v>
      </c>
      <c r="CM7" s="67">
        <v>0.08</v>
      </c>
      <c r="CN7" s="67">
        <v>6.6667000000000004E-2</v>
      </c>
      <c r="CO7" s="67">
        <v>0.130435</v>
      </c>
      <c r="CP7" s="67">
        <v>0</v>
      </c>
      <c r="CQ7" s="67">
        <v>6.25E-2</v>
      </c>
      <c r="CR7" s="67">
        <v>9.6773999999999999E-2</v>
      </c>
      <c r="CS7" s="67">
        <v>5.7142999999999999E-2</v>
      </c>
    </row>
    <row r="8" spans="2:97">
      <c r="B8" s="67">
        <v>17</v>
      </c>
      <c r="C8" s="67">
        <v>12</v>
      </c>
      <c r="K8" s="67">
        <v>35</v>
      </c>
      <c r="L8" s="67">
        <v>51</v>
      </c>
      <c r="M8" s="71"/>
      <c r="O8" s="67">
        <v>0.2</v>
      </c>
      <c r="P8" s="67">
        <v>0.28000000000000003</v>
      </c>
      <c r="Q8" s="71"/>
    </row>
    <row r="9" spans="2:97">
      <c r="B9" s="67">
        <v>12</v>
      </c>
      <c r="C9" s="67">
        <v>16</v>
      </c>
      <c r="K9" s="67">
        <v>37</v>
      </c>
      <c r="L9" s="67">
        <v>33</v>
      </c>
      <c r="M9" s="71"/>
      <c r="O9" s="67">
        <v>0.24324299999999999</v>
      </c>
      <c r="P9" s="67">
        <v>0.27450999999999998</v>
      </c>
      <c r="Q9" s="71"/>
    </row>
    <row r="10" spans="2:97" ht="26.25">
      <c r="B10" s="67">
        <v>14</v>
      </c>
      <c r="C10" s="67">
        <v>15</v>
      </c>
      <c r="F10" s="65"/>
      <c r="G10" s="65" t="s">
        <v>279</v>
      </c>
      <c r="H10" s="65" t="s">
        <v>280</v>
      </c>
      <c r="I10" s="70"/>
      <c r="K10" s="67">
        <v>50</v>
      </c>
      <c r="L10" s="67">
        <v>38</v>
      </c>
      <c r="M10" s="71"/>
      <c r="O10" s="67">
        <v>0.04</v>
      </c>
      <c r="P10" s="67">
        <v>9.0909000000000004E-2</v>
      </c>
      <c r="Q10" s="71"/>
      <c r="S10" s="65" t="s">
        <v>510</v>
      </c>
      <c r="T10" s="65"/>
      <c r="U10" s="65"/>
      <c r="V10" s="65"/>
      <c r="W10" s="65"/>
      <c r="X10" s="65"/>
      <c r="Y10" s="65"/>
      <c r="Z10" s="65"/>
      <c r="AA10" s="65"/>
    </row>
    <row r="11" spans="2:97" ht="26.25">
      <c r="B11" s="67">
        <v>22</v>
      </c>
      <c r="C11" s="67">
        <v>6</v>
      </c>
      <c r="F11" s="69" t="s">
        <v>476</v>
      </c>
      <c r="G11" s="67">
        <v>93.877549999999999</v>
      </c>
      <c r="H11" s="67">
        <v>6.1224489999999996</v>
      </c>
      <c r="I11" s="71"/>
      <c r="K11" s="67">
        <v>23</v>
      </c>
      <c r="L11" s="67">
        <v>45</v>
      </c>
      <c r="M11" s="71"/>
      <c r="O11" s="67">
        <v>8.6957000000000007E-2</v>
      </c>
      <c r="P11" s="67">
        <v>5.2631999999999998E-2</v>
      </c>
      <c r="Q11" s="71"/>
      <c r="S11" s="69" t="s">
        <v>378</v>
      </c>
      <c r="T11" s="67"/>
      <c r="U11" s="67"/>
      <c r="V11" s="67"/>
      <c r="W11" s="67"/>
      <c r="X11" s="67"/>
      <c r="Y11" s="67"/>
      <c r="Z11" s="67"/>
      <c r="AA11" s="67"/>
    </row>
    <row r="12" spans="2:97" ht="26.25">
      <c r="B12" s="67">
        <v>13</v>
      </c>
      <c r="C12" s="67">
        <v>9</v>
      </c>
      <c r="F12" s="69" t="s">
        <v>477</v>
      </c>
      <c r="G12" s="67">
        <v>26.415089999999999</v>
      </c>
      <c r="H12" s="67">
        <v>73.584909999999994</v>
      </c>
      <c r="I12" s="71"/>
      <c r="K12" s="67">
        <v>45</v>
      </c>
      <c r="L12" s="67">
        <v>36</v>
      </c>
      <c r="M12" s="71"/>
      <c r="O12" s="67">
        <v>4.4443999999999997E-2</v>
      </c>
      <c r="P12" s="67">
        <v>0.17777799999999999</v>
      </c>
      <c r="Q12" s="71"/>
      <c r="S12" s="69"/>
      <c r="T12" s="67"/>
      <c r="U12" s="67"/>
      <c r="V12" s="67"/>
      <c r="W12" s="67"/>
      <c r="X12" s="67"/>
      <c r="Y12" s="67"/>
      <c r="Z12" s="67"/>
      <c r="AA12" s="67"/>
    </row>
    <row r="13" spans="2:97">
      <c r="B13" s="67">
        <v>15</v>
      </c>
      <c r="C13" s="67">
        <v>19</v>
      </c>
      <c r="K13" s="67">
        <v>49</v>
      </c>
      <c r="L13" s="67">
        <v>46</v>
      </c>
      <c r="M13" s="71"/>
      <c r="O13" s="67">
        <v>0.122449</v>
      </c>
      <c r="P13" s="67">
        <v>0.38888899999999998</v>
      </c>
      <c r="Q13" s="71"/>
      <c r="S13" s="69" t="s">
        <v>137</v>
      </c>
      <c r="T13" s="67">
        <v>1</v>
      </c>
      <c r="U13" s="67"/>
      <c r="V13" s="67"/>
      <c r="W13" s="67"/>
      <c r="X13" s="67"/>
      <c r="Y13" s="67"/>
      <c r="Z13" s="67"/>
      <c r="AA13" s="67"/>
    </row>
    <row r="14" spans="2:97">
      <c r="B14" s="67">
        <v>16</v>
      </c>
      <c r="C14" s="67">
        <v>10</v>
      </c>
      <c r="K14" s="67">
        <v>38</v>
      </c>
      <c r="L14" s="67">
        <v>55</v>
      </c>
      <c r="M14" s="71"/>
      <c r="O14" s="67">
        <v>7.8947000000000003E-2</v>
      </c>
      <c r="P14" s="67">
        <v>0.108696</v>
      </c>
      <c r="Q14" s="71"/>
      <c r="S14" s="69" t="s">
        <v>138</v>
      </c>
      <c r="T14" s="67">
        <v>6</v>
      </c>
      <c r="U14" s="67"/>
      <c r="V14" s="67"/>
      <c r="W14" s="67"/>
      <c r="X14" s="67"/>
      <c r="Y14" s="67"/>
      <c r="Z14" s="67"/>
      <c r="AA14" s="67"/>
    </row>
    <row r="15" spans="2:97" ht="64.5">
      <c r="B15" s="67">
        <v>20</v>
      </c>
      <c r="C15" s="67">
        <v>16</v>
      </c>
      <c r="F15" s="69" t="s">
        <v>517</v>
      </c>
      <c r="G15" s="67"/>
      <c r="K15" s="67">
        <v>34</v>
      </c>
      <c r="L15" s="67">
        <v>78</v>
      </c>
      <c r="M15" s="71"/>
      <c r="O15" s="67">
        <v>2.9412000000000001E-2</v>
      </c>
      <c r="P15" s="67">
        <v>5.4545000000000003E-2</v>
      </c>
      <c r="Q15" s="71"/>
      <c r="S15" s="69" t="s">
        <v>139</v>
      </c>
      <c r="T15" s="67">
        <v>0.05</v>
      </c>
      <c r="U15" s="67"/>
      <c r="V15" s="67"/>
      <c r="W15" s="67"/>
      <c r="X15" s="67"/>
      <c r="Y15" s="67"/>
      <c r="Z15" s="67"/>
      <c r="AA15" s="67"/>
    </row>
    <row r="16" spans="2:97" ht="39">
      <c r="B16" s="67">
        <v>21</v>
      </c>
      <c r="C16" s="67">
        <v>10</v>
      </c>
      <c r="F16" s="69" t="s">
        <v>518</v>
      </c>
      <c r="G16" s="67" t="s">
        <v>519</v>
      </c>
      <c r="K16" s="67">
        <v>43</v>
      </c>
      <c r="L16" s="67">
        <v>57</v>
      </c>
      <c r="M16" s="71"/>
      <c r="O16" s="67">
        <v>9.3022999999999995E-2</v>
      </c>
      <c r="P16" s="67">
        <v>2.5641000000000001E-2</v>
      </c>
      <c r="Q16" s="71"/>
      <c r="S16" s="69"/>
      <c r="T16" s="67"/>
      <c r="U16" s="67"/>
      <c r="V16" s="67"/>
      <c r="W16" s="67"/>
      <c r="X16" s="67"/>
      <c r="Y16" s="67"/>
      <c r="Z16" s="67"/>
      <c r="AA16" s="67"/>
    </row>
    <row r="17" spans="2:27" ht="39">
      <c r="B17" s="67">
        <v>11</v>
      </c>
      <c r="C17" s="67">
        <v>9</v>
      </c>
      <c r="F17" s="69" t="s">
        <v>113</v>
      </c>
      <c r="G17" s="61" t="s">
        <v>168</v>
      </c>
      <c r="K17" s="67">
        <v>59</v>
      </c>
      <c r="L17" s="67">
        <v>55</v>
      </c>
      <c r="M17" s="71"/>
      <c r="O17" s="67">
        <v>0.10169499999999999</v>
      </c>
      <c r="P17" s="67">
        <v>8.7719000000000005E-2</v>
      </c>
      <c r="Q17" s="71"/>
      <c r="S17" s="69" t="s">
        <v>495</v>
      </c>
      <c r="T17" s="67" t="s">
        <v>379</v>
      </c>
      <c r="U17" s="67" t="s">
        <v>142</v>
      </c>
      <c r="V17" s="67" t="s">
        <v>143</v>
      </c>
      <c r="W17" s="67" t="s">
        <v>144</v>
      </c>
      <c r="X17" s="67" t="s">
        <v>145</v>
      </c>
      <c r="Y17" s="67"/>
      <c r="Z17" s="67"/>
      <c r="AA17" s="67"/>
    </row>
    <row r="18" spans="2:27" ht="26.25">
      <c r="B18" s="67">
        <v>16</v>
      </c>
      <c r="C18" s="67">
        <v>11</v>
      </c>
      <c r="F18" s="69" t="s">
        <v>77</v>
      </c>
      <c r="G18" s="67" t="s">
        <v>167</v>
      </c>
      <c r="K18" s="67">
        <v>48</v>
      </c>
      <c r="L18" s="67">
        <v>58</v>
      </c>
      <c r="M18" s="71"/>
      <c r="O18" s="67">
        <v>0.16666700000000001</v>
      </c>
      <c r="P18" s="67">
        <v>3.6364E-2</v>
      </c>
      <c r="Q18" s="71"/>
      <c r="S18" s="69"/>
      <c r="T18" s="67"/>
      <c r="U18" s="67"/>
      <c r="V18" s="67"/>
      <c r="W18" s="67"/>
      <c r="X18" s="67"/>
      <c r="Y18" s="67"/>
      <c r="Z18" s="67"/>
      <c r="AA18" s="67"/>
    </row>
    <row r="19" spans="2:27" ht="39">
      <c r="B19" s="67">
        <v>12</v>
      </c>
      <c r="C19" s="67">
        <v>11</v>
      </c>
      <c r="F19" s="69" t="s">
        <v>520</v>
      </c>
      <c r="G19" s="67" t="s">
        <v>521</v>
      </c>
      <c r="K19" s="67">
        <v>53</v>
      </c>
      <c r="L19" s="67">
        <v>36</v>
      </c>
      <c r="M19" s="71"/>
      <c r="O19" s="67">
        <v>0.18867900000000001</v>
      </c>
      <c r="P19" s="67">
        <v>0.137931</v>
      </c>
      <c r="Q19" s="71"/>
      <c r="S19" s="69" t="s">
        <v>496</v>
      </c>
      <c r="T19" s="67">
        <v>-8.0159999999999995E-2</v>
      </c>
      <c r="U19" s="67" t="s">
        <v>497</v>
      </c>
      <c r="V19" s="67" t="s">
        <v>89</v>
      </c>
      <c r="W19" s="67" t="s">
        <v>88</v>
      </c>
      <c r="X19" s="61">
        <v>0.1065</v>
      </c>
      <c r="Y19" s="67"/>
      <c r="Z19" s="67"/>
      <c r="AA19" s="67"/>
    </row>
    <row r="20" spans="2:27" ht="64.5">
      <c r="B20" s="67">
        <v>16</v>
      </c>
      <c r="C20" s="67">
        <v>12</v>
      </c>
      <c r="F20" s="69" t="s">
        <v>522</v>
      </c>
      <c r="G20" s="67" t="s">
        <v>80</v>
      </c>
      <c r="K20" s="67">
        <v>57</v>
      </c>
      <c r="L20" s="67">
        <v>38</v>
      </c>
      <c r="M20" s="71"/>
      <c r="O20" s="67">
        <v>5.2631999999999998E-2</v>
      </c>
      <c r="P20" s="67">
        <v>0.13888900000000001</v>
      </c>
      <c r="Q20" s="71"/>
      <c r="S20" s="69" t="s">
        <v>498</v>
      </c>
      <c r="T20" s="67">
        <v>0.12640000000000001</v>
      </c>
      <c r="U20" s="67" t="s">
        <v>499</v>
      </c>
      <c r="V20" s="67" t="s">
        <v>80</v>
      </c>
      <c r="W20" s="67" t="s">
        <v>78</v>
      </c>
      <c r="X20" s="61">
        <v>2.0999999999999999E-3</v>
      </c>
      <c r="Y20" s="67"/>
      <c r="Z20" s="67"/>
      <c r="AA20" s="67"/>
    </row>
    <row r="21" spans="2:27" ht="26.25">
      <c r="B21" s="67">
        <v>15</v>
      </c>
      <c r="C21" s="67">
        <v>12</v>
      </c>
      <c r="K21" s="67">
        <v>49</v>
      </c>
      <c r="L21" s="67">
        <v>40</v>
      </c>
      <c r="M21" s="71"/>
      <c r="O21" s="67">
        <v>6.1224000000000001E-2</v>
      </c>
      <c r="P21" s="67">
        <v>7.8947000000000003E-2</v>
      </c>
      <c r="Q21" s="71"/>
      <c r="S21" s="69" t="s">
        <v>500</v>
      </c>
      <c r="T21" s="67">
        <v>0.12189999999999999</v>
      </c>
      <c r="U21" s="67" t="s">
        <v>501</v>
      </c>
      <c r="V21" s="67" t="s">
        <v>80</v>
      </c>
      <c r="W21" s="67" t="s">
        <v>78</v>
      </c>
      <c r="X21" s="67">
        <v>2.3999999999999998E-3</v>
      </c>
      <c r="Y21" s="67"/>
      <c r="Z21" s="67"/>
      <c r="AA21" s="67"/>
    </row>
    <row r="22" spans="2:27" ht="26.25">
      <c r="B22" s="67">
        <v>18</v>
      </c>
      <c r="C22" s="67">
        <v>9</v>
      </c>
      <c r="K22" s="67">
        <v>44</v>
      </c>
      <c r="L22" s="67">
        <v>62</v>
      </c>
      <c r="M22" s="71"/>
      <c r="O22" s="67">
        <v>0.15909100000000001</v>
      </c>
      <c r="P22" s="67">
        <v>0</v>
      </c>
      <c r="Q22" s="71"/>
      <c r="S22" s="69" t="s">
        <v>502</v>
      </c>
      <c r="T22" s="67">
        <v>0.20660000000000001</v>
      </c>
      <c r="U22" s="67" t="s">
        <v>503</v>
      </c>
      <c r="V22" s="67" t="s">
        <v>80</v>
      </c>
      <c r="W22" s="67" t="s">
        <v>167</v>
      </c>
      <c r="X22" s="67" t="s">
        <v>168</v>
      </c>
      <c r="Y22" s="67"/>
      <c r="Z22" s="67"/>
      <c r="AA22" s="67"/>
    </row>
    <row r="23" spans="2:27" ht="26.25">
      <c r="B23" s="67">
        <v>15</v>
      </c>
      <c r="C23" s="67">
        <v>18</v>
      </c>
      <c r="K23" s="67">
        <v>42</v>
      </c>
      <c r="L23" s="67">
        <v>38</v>
      </c>
      <c r="M23" s="71"/>
      <c r="O23" s="67">
        <v>2.3810000000000001E-2</v>
      </c>
      <c r="P23" s="67">
        <v>1.6129000000000001E-2</v>
      </c>
      <c r="Q23" s="71"/>
      <c r="S23" s="69" t="s">
        <v>504</v>
      </c>
      <c r="T23" s="67">
        <v>0.20200000000000001</v>
      </c>
      <c r="U23" s="67" t="s">
        <v>505</v>
      </c>
      <c r="V23" s="67" t="s">
        <v>80</v>
      </c>
      <c r="W23" s="67" t="s">
        <v>167</v>
      </c>
      <c r="X23" s="61" t="s">
        <v>168</v>
      </c>
      <c r="Y23" s="67"/>
      <c r="Z23" s="67"/>
      <c r="AA23" s="67"/>
    </row>
    <row r="24" spans="2:27" ht="39">
      <c r="B24" s="67">
        <v>17</v>
      </c>
      <c r="C24" s="67">
        <v>5</v>
      </c>
      <c r="K24" s="67">
        <v>43</v>
      </c>
      <c r="L24" s="67">
        <v>37</v>
      </c>
      <c r="M24" s="71"/>
      <c r="O24" s="67">
        <v>9.3022999999999995E-2</v>
      </c>
      <c r="P24" s="67">
        <v>0.21052599999999999</v>
      </c>
      <c r="Q24" s="71"/>
      <c r="S24" s="69" t="s">
        <v>506</v>
      </c>
      <c r="T24" s="67">
        <v>-4.5189999999999996E-3</v>
      </c>
      <c r="U24" s="67" t="s">
        <v>507</v>
      </c>
      <c r="V24" s="67" t="s">
        <v>89</v>
      </c>
      <c r="W24" s="67" t="s">
        <v>88</v>
      </c>
      <c r="X24" s="61" t="s">
        <v>508</v>
      </c>
      <c r="Y24" s="67"/>
      <c r="Z24" s="67"/>
      <c r="AA24" s="67"/>
    </row>
    <row r="25" spans="2:27">
      <c r="B25" s="67">
        <v>17</v>
      </c>
      <c r="C25" s="67">
        <v>4</v>
      </c>
      <c r="K25" s="67">
        <v>52</v>
      </c>
      <c r="L25" s="67">
        <v>50</v>
      </c>
      <c r="M25" s="71"/>
      <c r="O25" s="67">
        <v>3.8462000000000003E-2</v>
      </c>
      <c r="P25" s="67">
        <v>0.13513500000000001</v>
      </c>
      <c r="Q25" s="71"/>
      <c r="S25" s="69"/>
      <c r="T25" s="67"/>
      <c r="U25" s="67"/>
      <c r="V25" s="67"/>
      <c r="W25" s="67"/>
      <c r="X25" s="67"/>
      <c r="Y25" s="67"/>
      <c r="Z25" s="67"/>
      <c r="AA25" s="67"/>
    </row>
    <row r="26" spans="2:27">
      <c r="B26" s="67">
        <v>13</v>
      </c>
      <c r="C26" s="67">
        <v>15</v>
      </c>
      <c r="K26" s="67">
        <v>40</v>
      </c>
      <c r="L26" s="67">
        <v>44</v>
      </c>
      <c r="M26" s="71"/>
      <c r="O26" s="67">
        <v>0.05</v>
      </c>
      <c r="P26" s="67">
        <v>0.2</v>
      </c>
      <c r="Q26" s="71"/>
      <c r="S26" s="69"/>
      <c r="T26" s="67"/>
      <c r="U26" s="67"/>
      <c r="V26" s="67"/>
      <c r="W26" s="67"/>
      <c r="X26" s="67"/>
      <c r="Y26" s="67"/>
      <c r="Z26" s="67"/>
      <c r="AA26" s="67"/>
    </row>
    <row r="27" spans="2:27" ht="39">
      <c r="B27" s="67"/>
      <c r="C27" s="67">
        <v>13</v>
      </c>
      <c r="K27" s="67">
        <v>54</v>
      </c>
      <c r="L27" s="67">
        <v>38</v>
      </c>
      <c r="M27" s="71"/>
      <c r="O27" s="67">
        <v>0.12963</v>
      </c>
      <c r="P27" s="67">
        <v>0.113636</v>
      </c>
      <c r="Q27" s="71"/>
      <c r="S27" s="69" t="s">
        <v>155</v>
      </c>
      <c r="T27" s="67" t="s">
        <v>392</v>
      </c>
      <c r="U27" s="67" t="s">
        <v>393</v>
      </c>
      <c r="V27" s="67" t="s">
        <v>379</v>
      </c>
      <c r="W27" s="67" t="s">
        <v>158</v>
      </c>
      <c r="X27" s="67" t="s">
        <v>394</v>
      </c>
      <c r="Y27" s="67" t="s">
        <v>395</v>
      </c>
      <c r="Z27" s="67" t="s">
        <v>509</v>
      </c>
      <c r="AA27" s="67" t="s">
        <v>162</v>
      </c>
    </row>
    <row r="28" spans="2:27">
      <c r="B28" s="67"/>
      <c r="C28" s="67">
        <v>12</v>
      </c>
      <c r="K28" s="67">
        <v>44</v>
      </c>
      <c r="L28" s="67">
        <v>48</v>
      </c>
      <c r="M28" s="71"/>
      <c r="O28" s="67">
        <v>2.2727000000000001E-2</v>
      </c>
      <c r="P28" s="67">
        <v>2.6315999999999999E-2</v>
      </c>
      <c r="Q28" s="71"/>
      <c r="S28" s="69"/>
      <c r="T28" s="67"/>
      <c r="U28" s="67"/>
      <c r="V28" s="67"/>
      <c r="W28" s="67"/>
      <c r="X28" s="67"/>
      <c r="Y28" s="67"/>
      <c r="Z28" s="67"/>
      <c r="AA28" s="67"/>
    </row>
    <row r="29" spans="2:27" ht="26.25">
      <c r="K29" s="67">
        <v>28</v>
      </c>
      <c r="L29" s="67">
        <v>34</v>
      </c>
      <c r="M29" s="71"/>
      <c r="O29" s="67">
        <v>0</v>
      </c>
      <c r="P29" s="67">
        <v>4.1667000000000003E-2</v>
      </c>
      <c r="Q29" s="71"/>
      <c r="S29" s="69" t="s">
        <v>496</v>
      </c>
      <c r="T29" s="67">
        <v>0.1915</v>
      </c>
      <c r="U29" s="67">
        <v>0.27160000000000001</v>
      </c>
      <c r="V29" s="67">
        <v>-8.0159999999999995E-2</v>
      </c>
      <c r="W29" s="67">
        <v>3.3689999999999998E-2</v>
      </c>
      <c r="X29" s="67">
        <v>37</v>
      </c>
      <c r="Y29" s="67">
        <v>41</v>
      </c>
      <c r="Z29" s="67">
        <v>2.379</v>
      </c>
      <c r="AA29" s="67">
        <v>152</v>
      </c>
    </row>
    <row r="30" spans="2:27" ht="26.25">
      <c r="K30" s="67">
        <v>52</v>
      </c>
      <c r="L30" s="67">
        <v>40</v>
      </c>
      <c r="M30" s="71"/>
      <c r="O30" s="67">
        <v>5.7692E-2</v>
      </c>
      <c r="P30" s="67">
        <v>0.17647099999999999</v>
      </c>
      <c r="Q30" s="71"/>
      <c r="S30" s="69" t="s">
        <v>498</v>
      </c>
      <c r="T30" s="67">
        <v>0.1915</v>
      </c>
      <c r="U30" s="67">
        <v>6.5079999999999999E-2</v>
      </c>
      <c r="V30" s="67">
        <v>0.12640000000000001</v>
      </c>
      <c r="W30" s="67">
        <v>3.4549999999999997E-2</v>
      </c>
      <c r="X30" s="67">
        <v>37</v>
      </c>
      <c r="Y30" s="67">
        <v>37</v>
      </c>
      <c r="Z30" s="67">
        <v>3.6589999999999998</v>
      </c>
      <c r="AA30" s="67">
        <v>152</v>
      </c>
    </row>
    <row r="31" spans="2:27" ht="26.25">
      <c r="B31" s="69" t="s">
        <v>107</v>
      </c>
      <c r="C31" s="67" t="s">
        <v>469</v>
      </c>
      <c r="K31" s="67">
        <v>40</v>
      </c>
      <c r="L31" s="67">
        <v>58</v>
      </c>
      <c r="M31" s="71"/>
      <c r="O31" s="67">
        <v>0</v>
      </c>
      <c r="P31" s="67">
        <v>0.05</v>
      </c>
      <c r="Q31" s="71"/>
      <c r="S31" s="69" t="s">
        <v>500</v>
      </c>
      <c r="T31" s="67">
        <v>0.1915</v>
      </c>
      <c r="U31" s="67">
        <v>6.9599999999999995E-2</v>
      </c>
      <c r="V31" s="67">
        <v>0.12189999999999999</v>
      </c>
      <c r="W31" s="67">
        <v>3.3689999999999998E-2</v>
      </c>
      <c r="X31" s="67">
        <v>37</v>
      </c>
      <c r="Y31" s="67">
        <v>41</v>
      </c>
      <c r="Z31" s="67">
        <v>3.617</v>
      </c>
      <c r="AA31" s="67">
        <v>152</v>
      </c>
    </row>
    <row r="32" spans="2:27" ht="26.25">
      <c r="B32" s="69"/>
      <c r="C32" s="67"/>
      <c r="K32" s="67">
        <v>42</v>
      </c>
      <c r="L32" s="67">
        <v>44</v>
      </c>
      <c r="M32" s="71"/>
      <c r="O32" s="67">
        <v>4.7619000000000002E-2</v>
      </c>
      <c r="P32" s="67">
        <v>3.4483E-2</v>
      </c>
      <c r="Q32" s="71"/>
      <c r="S32" s="69" t="s">
        <v>502</v>
      </c>
      <c r="T32" s="67">
        <v>0.27160000000000001</v>
      </c>
      <c r="U32" s="67">
        <v>6.5079999999999999E-2</v>
      </c>
      <c r="V32" s="67">
        <v>0.20660000000000001</v>
      </c>
      <c r="W32" s="67">
        <v>3.3689999999999998E-2</v>
      </c>
      <c r="X32" s="67">
        <v>41</v>
      </c>
      <c r="Y32" s="67">
        <v>37</v>
      </c>
      <c r="Z32" s="67">
        <v>6.1310000000000002</v>
      </c>
      <c r="AA32" s="67">
        <v>152</v>
      </c>
    </row>
    <row r="33" spans="2:27" ht="27.75">
      <c r="B33" s="69" t="s">
        <v>109</v>
      </c>
      <c r="C33" s="93" t="s">
        <v>465</v>
      </c>
      <c r="K33" s="67">
        <v>49</v>
      </c>
      <c r="L33" s="67">
        <v>49</v>
      </c>
      <c r="M33" s="71"/>
      <c r="O33" s="67">
        <v>8.1632999999999997E-2</v>
      </c>
      <c r="P33" s="67">
        <v>4.5455000000000002E-2</v>
      </c>
      <c r="Q33" s="71"/>
      <c r="S33" s="69" t="s">
        <v>504</v>
      </c>
      <c r="T33" s="67">
        <v>0.27160000000000001</v>
      </c>
      <c r="U33" s="67">
        <v>6.9599999999999995E-2</v>
      </c>
      <c r="V33" s="67">
        <v>0.20200000000000001</v>
      </c>
      <c r="W33" s="67">
        <v>3.2820000000000002E-2</v>
      </c>
      <c r="X33" s="67">
        <v>41</v>
      </c>
      <c r="Y33" s="67">
        <v>41</v>
      </c>
      <c r="Z33" s="67">
        <v>6.1559999999999997</v>
      </c>
      <c r="AA33" s="67">
        <v>152</v>
      </c>
    </row>
    <row r="34" spans="2:27" ht="26.25">
      <c r="B34" s="69" t="s">
        <v>110</v>
      </c>
      <c r="C34" s="67" t="s">
        <v>110</v>
      </c>
      <c r="K34" s="67">
        <v>54</v>
      </c>
      <c r="L34" s="67">
        <v>46</v>
      </c>
      <c r="M34" s="71"/>
      <c r="O34" s="67">
        <v>0.12963</v>
      </c>
      <c r="P34" s="67">
        <v>8.1632999999999997E-2</v>
      </c>
      <c r="Q34" s="71"/>
      <c r="S34" s="69" t="s">
        <v>506</v>
      </c>
      <c r="T34" s="67">
        <v>6.5079999999999999E-2</v>
      </c>
      <c r="U34" s="67">
        <v>6.9599999999999995E-2</v>
      </c>
      <c r="V34" s="67">
        <v>-4.5189999999999996E-3</v>
      </c>
      <c r="W34" s="67">
        <v>3.3689999999999998E-2</v>
      </c>
      <c r="X34" s="67">
        <v>37</v>
      </c>
      <c r="Y34" s="67">
        <v>41</v>
      </c>
      <c r="Z34" s="67">
        <v>0.1341</v>
      </c>
      <c r="AA34" s="67">
        <v>152</v>
      </c>
    </row>
    <row r="35" spans="2:27" ht="26.25">
      <c r="B35" s="69" t="s">
        <v>111</v>
      </c>
      <c r="C35" s="93" t="s">
        <v>464</v>
      </c>
      <c r="K35" s="67">
        <v>40</v>
      </c>
      <c r="L35" s="67">
        <v>57</v>
      </c>
      <c r="M35" s="71"/>
      <c r="O35" s="67">
        <v>0.1</v>
      </c>
      <c r="P35" s="67">
        <v>8.6957000000000007E-2</v>
      </c>
      <c r="Q35" s="71"/>
    </row>
    <row r="36" spans="2:27">
      <c r="B36" s="69"/>
      <c r="C36" s="67"/>
      <c r="K36" s="67">
        <v>45</v>
      </c>
      <c r="L36" s="67">
        <v>48</v>
      </c>
      <c r="M36" s="71"/>
      <c r="O36" s="67">
        <v>0.155556</v>
      </c>
      <c r="P36" s="67">
        <v>0.140351</v>
      </c>
      <c r="Q36" s="71"/>
    </row>
    <row r="37" spans="2:27" ht="26.25">
      <c r="B37" s="69" t="s">
        <v>112</v>
      </c>
      <c r="C37" s="67"/>
      <c r="K37" s="67">
        <v>54</v>
      </c>
      <c r="L37" s="67">
        <v>37</v>
      </c>
      <c r="M37" s="71"/>
      <c r="O37" s="67">
        <v>3.7037E-2</v>
      </c>
      <c r="P37" s="67">
        <v>0.16666700000000001</v>
      </c>
      <c r="Q37" s="71"/>
    </row>
    <row r="38" spans="2:27">
      <c r="B38" s="69" t="s">
        <v>113</v>
      </c>
      <c r="C38" s="61">
        <v>4.0000000000000002E-4</v>
      </c>
      <c r="K38" s="67">
        <v>42</v>
      </c>
      <c r="L38" s="67">
        <v>42</v>
      </c>
      <c r="M38" s="71"/>
      <c r="O38" s="67">
        <v>0.119048</v>
      </c>
      <c r="P38" s="67">
        <v>0.37837799999999999</v>
      </c>
      <c r="Q38" s="71"/>
    </row>
    <row r="39" spans="2:27" ht="26.25">
      <c r="B39" s="69" t="s">
        <v>77</v>
      </c>
      <c r="C39" s="67" t="s">
        <v>165</v>
      </c>
      <c r="K39" s="67">
        <v>53</v>
      </c>
      <c r="L39" s="67">
        <v>57</v>
      </c>
      <c r="M39" s="71"/>
      <c r="O39" s="67">
        <v>0.132075</v>
      </c>
      <c r="P39" s="67">
        <v>9.5238000000000003E-2</v>
      </c>
      <c r="Q39" s="71"/>
    </row>
    <row r="40" spans="2:27" ht="64.5">
      <c r="B40" s="69" t="s">
        <v>114</v>
      </c>
      <c r="C40" s="67" t="s">
        <v>80</v>
      </c>
      <c r="K40" s="67">
        <v>39</v>
      </c>
      <c r="L40" s="67">
        <v>44</v>
      </c>
      <c r="M40" s="71"/>
      <c r="O40" s="67">
        <v>0</v>
      </c>
      <c r="P40" s="67">
        <v>0.15789500000000001</v>
      </c>
      <c r="Q40" s="71"/>
    </row>
    <row r="41" spans="2:27" ht="39">
      <c r="B41" s="69" t="s">
        <v>115</v>
      </c>
      <c r="C41" s="67" t="s">
        <v>116</v>
      </c>
      <c r="K41" s="67">
        <v>42</v>
      </c>
      <c r="L41" s="67">
        <v>45</v>
      </c>
      <c r="M41" s="71"/>
      <c r="O41" s="67">
        <v>9.5238000000000003E-2</v>
      </c>
      <c r="P41" s="67">
        <v>0.113636</v>
      </c>
      <c r="Q41" s="71"/>
    </row>
    <row r="42" spans="2:27" ht="26.25">
      <c r="B42" s="69" t="s">
        <v>117</v>
      </c>
      <c r="C42" s="67" t="s">
        <v>470</v>
      </c>
      <c r="K42" s="67">
        <v>32</v>
      </c>
      <c r="L42" s="67">
        <v>39</v>
      </c>
      <c r="M42" s="71"/>
      <c r="O42" s="67">
        <v>0.1875</v>
      </c>
      <c r="P42" s="67">
        <v>0.155556</v>
      </c>
      <c r="Q42" s="71"/>
    </row>
    <row r="43" spans="2:27">
      <c r="B43" s="69"/>
      <c r="C43" s="67"/>
      <c r="K43" s="67">
        <v>38</v>
      </c>
      <c r="L43" s="67">
        <v>51</v>
      </c>
      <c r="M43" s="71"/>
      <c r="O43" s="67"/>
      <c r="P43" s="67">
        <v>0.205128</v>
      </c>
      <c r="Q43" s="71"/>
    </row>
    <row r="44" spans="2:27" ht="51.75">
      <c r="B44" s="69" t="s">
        <v>119</v>
      </c>
      <c r="C44" s="67"/>
      <c r="K44" s="67">
        <v>53</v>
      </c>
      <c r="L44" s="67">
        <v>64</v>
      </c>
      <c r="M44" s="71"/>
      <c r="O44" s="67"/>
      <c r="P44" s="67">
        <v>0.117647</v>
      </c>
      <c r="Q44" s="71"/>
    </row>
    <row r="45" spans="2:27" ht="26.25">
      <c r="B45" s="69" t="s">
        <v>120</v>
      </c>
      <c r="C45" s="67">
        <v>16.100000000000001</v>
      </c>
      <c r="K45" s="67">
        <v>47</v>
      </c>
      <c r="L45" s="67">
        <v>56</v>
      </c>
      <c r="M45" s="71"/>
      <c r="O45" s="67"/>
      <c r="P45" s="67">
        <v>0.203125</v>
      </c>
      <c r="Q45" s="71"/>
    </row>
    <row r="46" spans="2:27" ht="26.25">
      <c r="B46" s="69" t="s">
        <v>121</v>
      </c>
      <c r="C46" s="67">
        <v>11.77</v>
      </c>
      <c r="K46" s="67">
        <v>54</v>
      </c>
      <c r="L46" s="67">
        <v>48</v>
      </c>
      <c r="M46" s="71"/>
      <c r="O46" s="67"/>
      <c r="P46" s="67">
        <v>0.14285700000000001</v>
      </c>
      <c r="Q46" s="71"/>
    </row>
    <row r="47" spans="2:27" ht="64.5">
      <c r="B47" s="69" t="s">
        <v>122</v>
      </c>
      <c r="C47" s="67" t="s">
        <v>471</v>
      </c>
      <c r="K47" s="67">
        <v>39</v>
      </c>
      <c r="L47" s="67">
        <v>54</v>
      </c>
      <c r="M47" s="71"/>
      <c r="O47" s="67"/>
      <c r="P47" s="67">
        <v>6.25E-2</v>
      </c>
      <c r="Q47" s="71"/>
    </row>
    <row r="48" spans="2:27" ht="39">
      <c r="B48" s="69" t="s">
        <v>83</v>
      </c>
      <c r="C48" s="67" t="s">
        <v>472</v>
      </c>
      <c r="K48" s="67">
        <v>46</v>
      </c>
      <c r="L48" s="67">
        <v>62</v>
      </c>
      <c r="M48" s="71"/>
    </row>
    <row r="49" spans="2:17" ht="51.75">
      <c r="B49" s="69" t="s">
        <v>125</v>
      </c>
      <c r="C49" s="67">
        <v>0.26950000000000002</v>
      </c>
      <c r="K49" s="67">
        <v>41</v>
      </c>
      <c r="L49" s="67">
        <v>60</v>
      </c>
      <c r="M49" s="71"/>
      <c r="O49" s="69" t="s">
        <v>107</v>
      </c>
      <c r="P49" s="67" t="s">
        <v>488</v>
      </c>
      <c r="Q49" s="71"/>
    </row>
    <row r="50" spans="2:17">
      <c r="B50" s="69"/>
      <c r="C50" s="67"/>
      <c r="K50" s="67">
        <v>43</v>
      </c>
      <c r="L50" s="67">
        <v>49</v>
      </c>
      <c r="M50" s="71"/>
      <c r="O50" s="69"/>
      <c r="P50" s="67"/>
      <c r="Q50" s="71"/>
    </row>
    <row r="51" spans="2:17" ht="39">
      <c r="B51" s="69" t="s">
        <v>126</v>
      </c>
      <c r="C51" s="67"/>
      <c r="K51" s="67">
        <v>38</v>
      </c>
      <c r="L51" s="67">
        <v>60</v>
      </c>
      <c r="M51" s="71"/>
      <c r="O51" s="69" t="s">
        <v>109</v>
      </c>
      <c r="P51" s="67" t="s">
        <v>486</v>
      </c>
      <c r="Q51" s="71"/>
    </row>
    <row r="52" spans="2:17" ht="26.25">
      <c r="B52" s="69" t="s">
        <v>127</v>
      </c>
      <c r="C52" s="67" t="s">
        <v>473</v>
      </c>
      <c r="O52" s="69" t="s">
        <v>110</v>
      </c>
      <c r="P52" s="67" t="s">
        <v>110</v>
      </c>
      <c r="Q52" s="71"/>
    </row>
    <row r="53" spans="2:17" ht="26.25">
      <c r="B53" s="69" t="s">
        <v>113</v>
      </c>
      <c r="C53" s="67">
        <v>0.39529999999999998</v>
      </c>
      <c r="O53" s="69" t="s">
        <v>111</v>
      </c>
      <c r="P53" s="67" t="s">
        <v>485</v>
      </c>
      <c r="Q53" s="71"/>
    </row>
    <row r="54" spans="2:17" ht="26.25">
      <c r="B54" s="69" t="s">
        <v>77</v>
      </c>
      <c r="C54" s="67" t="s">
        <v>88</v>
      </c>
      <c r="O54" s="69"/>
      <c r="P54" s="67"/>
      <c r="Q54" s="71"/>
    </row>
    <row r="55" spans="2:17" ht="64.5">
      <c r="B55" s="69" t="s">
        <v>114</v>
      </c>
      <c r="C55" s="67" t="s">
        <v>89</v>
      </c>
      <c r="O55" s="69" t="s">
        <v>112</v>
      </c>
      <c r="P55" s="67"/>
      <c r="Q55" s="71"/>
    </row>
    <row r="56" spans="2:17">
      <c r="B56" s="69"/>
      <c r="C56" s="67"/>
      <c r="O56" s="60" t="s">
        <v>113</v>
      </c>
      <c r="P56" s="61">
        <v>4.8899999999999999E-2</v>
      </c>
      <c r="Q56" s="101"/>
    </row>
    <row r="57" spans="2:17" ht="26.25">
      <c r="B57" s="69" t="s">
        <v>129</v>
      </c>
      <c r="C57" s="67"/>
      <c r="O57" s="69" t="s">
        <v>77</v>
      </c>
      <c r="P57" s="67" t="s">
        <v>87</v>
      </c>
      <c r="Q57" s="71"/>
    </row>
    <row r="58" spans="2:17" ht="64.5">
      <c r="B58" s="69" t="s">
        <v>130</v>
      </c>
      <c r="C58" s="67">
        <v>20</v>
      </c>
      <c r="O58" s="69" t="s">
        <v>114</v>
      </c>
      <c r="P58" s="67" t="s">
        <v>80</v>
      </c>
      <c r="Q58" s="71"/>
    </row>
    <row r="59" spans="2:17" ht="39">
      <c r="B59" s="69" t="s">
        <v>131</v>
      </c>
      <c r="C59" s="67">
        <v>22</v>
      </c>
      <c r="O59" s="69" t="s">
        <v>115</v>
      </c>
      <c r="P59" s="67" t="s">
        <v>116</v>
      </c>
      <c r="Q59" s="71"/>
    </row>
    <row r="60" spans="2:17" ht="26.25">
      <c r="O60" s="69" t="s">
        <v>117</v>
      </c>
      <c r="P60" s="67" t="s">
        <v>489</v>
      </c>
      <c r="Q60" s="71"/>
    </row>
    <row r="61" spans="2:17">
      <c r="O61" s="69"/>
      <c r="P61" s="67"/>
      <c r="Q61" s="71"/>
    </row>
    <row r="62" spans="2:17" ht="51.75">
      <c r="O62" s="69" t="s">
        <v>119</v>
      </c>
      <c r="P62" s="67"/>
      <c r="Q62" s="71"/>
    </row>
    <row r="63" spans="2:17" ht="26.25">
      <c r="O63" s="69" t="s">
        <v>120</v>
      </c>
      <c r="P63" s="67">
        <v>9.1300000000000006E-2</v>
      </c>
      <c r="Q63" s="71"/>
    </row>
    <row r="64" spans="2:17" ht="26.25">
      <c r="O64" s="69" t="s">
        <v>121</v>
      </c>
      <c r="P64" s="67">
        <v>0.12659999999999999</v>
      </c>
      <c r="Q64" s="71"/>
    </row>
    <row r="65" spans="15:17" ht="64.5">
      <c r="O65" s="69" t="s">
        <v>122</v>
      </c>
      <c r="P65" s="67" t="s">
        <v>490</v>
      </c>
      <c r="Q65" s="71"/>
    </row>
    <row r="66" spans="15:17" ht="39">
      <c r="O66" s="69" t="s">
        <v>83</v>
      </c>
      <c r="P66" s="67" t="s">
        <v>491</v>
      </c>
      <c r="Q66" s="71"/>
    </row>
    <row r="67" spans="15:17" ht="51.75">
      <c r="O67" s="69" t="s">
        <v>125</v>
      </c>
      <c r="P67" s="67">
        <v>5.0099999999999999E-2</v>
      </c>
      <c r="Q67" s="71"/>
    </row>
    <row r="68" spans="15:17">
      <c r="O68" s="69"/>
      <c r="P68" s="67"/>
      <c r="Q68" s="71"/>
    </row>
    <row r="69" spans="15:17" ht="39">
      <c r="O69" s="69" t="s">
        <v>126</v>
      </c>
      <c r="P69" s="67"/>
      <c r="Q69" s="71"/>
    </row>
    <row r="70" spans="15:17" ht="26.25">
      <c r="O70" s="69" t="s">
        <v>127</v>
      </c>
      <c r="P70" s="67" t="s">
        <v>492</v>
      </c>
      <c r="Q70" s="71"/>
    </row>
    <row r="71" spans="15:17">
      <c r="O71" s="69" t="s">
        <v>113</v>
      </c>
      <c r="P71" s="67">
        <v>2.3599999999999999E-2</v>
      </c>
      <c r="Q71" s="71"/>
    </row>
    <row r="72" spans="15:17" ht="26.25">
      <c r="O72" s="69" t="s">
        <v>77</v>
      </c>
      <c r="P72" s="67" t="s">
        <v>87</v>
      </c>
      <c r="Q72" s="71"/>
    </row>
    <row r="73" spans="15:17" ht="64.5">
      <c r="O73" s="69" t="s">
        <v>114</v>
      </c>
      <c r="P73" s="67" t="s">
        <v>80</v>
      </c>
      <c r="Q73" s="71"/>
    </row>
    <row r="74" spans="15:17">
      <c r="O74" s="69"/>
      <c r="P74" s="67"/>
      <c r="Q74" s="71"/>
    </row>
    <row r="75" spans="15:17" ht="26.25">
      <c r="O75" s="69" t="s">
        <v>129</v>
      </c>
      <c r="P75" s="67"/>
      <c r="Q75" s="71"/>
    </row>
    <row r="76" spans="15:17" ht="39">
      <c r="O76" s="69" t="s">
        <v>130</v>
      </c>
      <c r="P76" s="67">
        <v>37</v>
      </c>
      <c r="Q76" s="71"/>
    </row>
    <row r="77" spans="15:17" ht="39">
      <c r="O77" s="69" t="s">
        <v>131</v>
      </c>
      <c r="P77" s="67">
        <v>41</v>
      </c>
      <c r="Q77" s="71"/>
    </row>
  </sheetData>
  <mergeCells count="3">
    <mergeCell ref="B5:C5"/>
    <mergeCell ref="T5:BD5"/>
    <mergeCell ref="BE5:CS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696AD-9075-4EFD-9A98-AE700220EB02}">
  <dimension ref="B2:H19"/>
  <sheetViews>
    <sheetView workbookViewId="0">
      <selection activeCell="D5" sqref="D5"/>
    </sheetView>
  </sheetViews>
  <sheetFormatPr defaultRowHeight="15"/>
  <cols>
    <col min="1" max="1" width="9.140625" style="12"/>
    <col min="2" max="2" width="16" style="12" customWidth="1"/>
    <col min="3" max="3" width="11.42578125" style="12" customWidth="1"/>
    <col min="4" max="16384" width="9.140625" style="12"/>
  </cols>
  <sheetData>
    <row r="2" spans="2:8">
      <c r="B2" s="12" t="s">
        <v>514</v>
      </c>
      <c r="F2" s="12" t="s">
        <v>515</v>
      </c>
    </row>
    <row r="4" spans="2:8" ht="64.5">
      <c r="B4" s="65"/>
      <c r="C4" s="65" t="s">
        <v>478</v>
      </c>
      <c r="D4" s="65" t="s">
        <v>479</v>
      </c>
      <c r="F4" s="85"/>
      <c r="G4" s="65" t="s">
        <v>525</v>
      </c>
      <c r="H4" s="65" t="s">
        <v>526</v>
      </c>
    </row>
    <row r="5" spans="2:8" ht="39">
      <c r="B5" s="69" t="s">
        <v>513</v>
      </c>
      <c r="C5" s="67">
        <v>31</v>
      </c>
      <c r="D5" s="67">
        <v>5</v>
      </c>
      <c r="F5" s="69" t="s">
        <v>523</v>
      </c>
      <c r="G5" s="79">
        <v>84</v>
      </c>
      <c r="H5" s="79">
        <v>16</v>
      </c>
    </row>
    <row r="6" spans="2:8" ht="39">
      <c r="B6" s="69" t="s">
        <v>516</v>
      </c>
      <c r="C6" s="67">
        <v>15</v>
      </c>
      <c r="D6" s="67">
        <v>24</v>
      </c>
      <c r="F6" s="69" t="s">
        <v>524</v>
      </c>
      <c r="G6" s="79">
        <v>46</v>
      </c>
      <c r="H6" s="79">
        <v>54</v>
      </c>
    </row>
    <row r="9" spans="2:8" ht="26.25">
      <c r="B9" s="65"/>
      <c r="C9" s="65" t="s">
        <v>279</v>
      </c>
      <c r="D9" s="65" t="s">
        <v>280</v>
      </c>
    </row>
    <row r="10" spans="2:8" ht="39">
      <c r="B10" s="69" t="s">
        <v>511</v>
      </c>
      <c r="C10" s="67">
        <v>86.111109999999996</v>
      </c>
      <c r="D10" s="67">
        <v>13.88889</v>
      </c>
    </row>
    <row r="11" spans="2:8" ht="39">
      <c r="B11" s="69" t="s">
        <v>512</v>
      </c>
      <c r="C11" s="67">
        <v>38.461539999999999</v>
      </c>
      <c r="D11" s="67">
        <v>61.538460000000001</v>
      </c>
    </row>
    <row r="14" spans="2:8" ht="39">
      <c r="B14" s="69" t="s">
        <v>517</v>
      </c>
      <c r="C14" s="67"/>
    </row>
    <row r="15" spans="2:8" ht="26.25">
      <c r="B15" s="69" t="s">
        <v>518</v>
      </c>
      <c r="C15" s="67" t="s">
        <v>519</v>
      </c>
    </row>
    <row r="16" spans="2:8">
      <c r="B16" s="69" t="s">
        <v>113</v>
      </c>
      <c r="C16" s="67" t="s">
        <v>168</v>
      </c>
    </row>
    <row r="17" spans="2:3">
      <c r="B17" s="69" t="s">
        <v>77</v>
      </c>
      <c r="C17" s="67" t="s">
        <v>167</v>
      </c>
    </row>
    <row r="18" spans="2:3">
      <c r="B18" s="69" t="s">
        <v>520</v>
      </c>
      <c r="C18" s="67" t="s">
        <v>521</v>
      </c>
    </row>
    <row r="19" spans="2:3" ht="39">
      <c r="B19" s="69" t="s">
        <v>522</v>
      </c>
      <c r="C19" s="67" t="s">
        <v>80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3AF6D-8B5A-491F-8871-EA1A312B7169}">
  <dimension ref="B3:CP21"/>
  <sheetViews>
    <sheetView workbookViewId="0">
      <selection activeCell="E26" sqref="E26"/>
    </sheetView>
  </sheetViews>
  <sheetFormatPr defaultRowHeight="15"/>
  <cols>
    <col min="2" max="2" width="18.42578125" customWidth="1"/>
  </cols>
  <sheetData>
    <row r="3" spans="2:94">
      <c r="B3" s="85"/>
      <c r="C3" s="99" t="s">
        <v>480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 t="s">
        <v>475</v>
      </c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</row>
    <row r="4" spans="2:94">
      <c r="B4" s="87" t="s">
        <v>308</v>
      </c>
      <c r="C4" s="79">
        <v>5</v>
      </c>
      <c r="D4" s="79">
        <v>13</v>
      </c>
      <c r="E4" s="79">
        <v>11</v>
      </c>
      <c r="F4" s="79">
        <v>9</v>
      </c>
      <c r="G4" s="79">
        <v>7</v>
      </c>
      <c r="H4" s="79">
        <v>3</v>
      </c>
      <c r="I4" s="79">
        <v>10</v>
      </c>
      <c r="J4" s="79">
        <v>10</v>
      </c>
      <c r="K4" s="79">
        <v>8</v>
      </c>
      <c r="L4" s="79">
        <v>4</v>
      </c>
      <c r="M4" s="79">
        <v>5</v>
      </c>
      <c r="N4" s="79">
        <v>14</v>
      </c>
      <c r="O4" s="79">
        <v>7</v>
      </c>
      <c r="P4" s="79">
        <v>13</v>
      </c>
      <c r="Q4" s="79">
        <v>12</v>
      </c>
      <c r="R4" s="79">
        <v>12</v>
      </c>
      <c r="S4" s="79">
        <v>9</v>
      </c>
      <c r="T4" s="79">
        <v>8</v>
      </c>
      <c r="U4" s="79">
        <v>8</v>
      </c>
      <c r="V4" s="79">
        <v>9</v>
      </c>
      <c r="W4" s="79">
        <v>7</v>
      </c>
      <c r="X4" s="79">
        <v>16</v>
      </c>
      <c r="Y4" s="79">
        <v>10</v>
      </c>
      <c r="Z4" s="79">
        <v>3</v>
      </c>
      <c r="AA4" s="79">
        <v>9</v>
      </c>
      <c r="AB4" s="79">
        <v>11</v>
      </c>
      <c r="AC4" s="79">
        <v>8</v>
      </c>
      <c r="AD4" s="79">
        <v>8</v>
      </c>
      <c r="AE4" s="79">
        <v>7</v>
      </c>
      <c r="AF4" s="79">
        <v>5</v>
      </c>
      <c r="AG4" s="79">
        <v>8</v>
      </c>
      <c r="AH4" s="79">
        <v>13</v>
      </c>
      <c r="AI4" s="79">
        <v>8</v>
      </c>
      <c r="AJ4" s="79">
        <v>11</v>
      </c>
      <c r="AK4" s="79">
        <v>7</v>
      </c>
      <c r="AL4" s="79">
        <v>4</v>
      </c>
      <c r="AM4" s="79">
        <v>6</v>
      </c>
      <c r="AN4" s="79">
        <v>6</v>
      </c>
      <c r="AO4" s="79">
        <v>6</v>
      </c>
      <c r="AP4" s="79">
        <v>7</v>
      </c>
      <c r="AQ4" s="79">
        <v>13</v>
      </c>
      <c r="AR4" s="79">
        <v>8</v>
      </c>
      <c r="AS4" s="79">
        <v>13</v>
      </c>
      <c r="AT4" s="79">
        <v>5</v>
      </c>
      <c r="AU4" s="79">
        <v>9</v>
      </c>
      <c r="AV4" s="79">
        <v>6</v>
      </c>
      <c r="AW4" s="79">
        <v>15</v>
      </c>
      <c r="AX4" s="79">
        <v>10</v>
      </c>
      <c r="AY4" s="79">
        <v>17</v>
      </c>
      <c r="AZ4" s="79">
        <v>7</v>
      </c>
      <c r="BA4" s="79">
        <v>4</v>
      </c>
      <c r="BB4" s="79">
        <v>18</v>
      </c>
      <c r="BC4" s="79">
        <v>8</v>
      </c>
      <c r="BD4" s="79">
        <v>14</v>
      </c>
      <c r="BE4" s="79">
        <v>19</v>
      </c>
      <c r="BF4" s="79">
        <v>23</v>
      </c>
      <c r="BG4" s="79">
        <v>15</v>
      </c>
      <c r="BH4" s="79">
        <v>15</v>
      </c>
      <c r="BI4" s="79">
        <v>15</v>
      </c>
      <c r="BJ4" s="79">
        <v>3</v>
      </c>
      <c r="BK4" s="79">
        <v>8</v>
      </c>
      <c r="BL4" s="79">
        <v>4</v>
      </c>
      <c r="BM4" s="79">
        <v>19</v>
      </c>
      <c r="BN4" s="79">
        <v>13</v>
      </c>
      <c r="BO4" s="79">
        <v>9</v>
      </c>
      <c r="BP4" s="79">
        <v>16</v>
      </c>
      <c r="BQ4" s="79">
        <v>11</v>
      </c>
      <c r="BR4" s="79">
        <v>11</v>
      </c>
      <c r="BS4" s="79">
        <v>11</v>
      </c>
      <c r="BT4" s="79">
        <v>10</v>
      </c>
      <c r="BU4" s="79">
        <v>9</v>
      </c>
      <c r="BV4" s="79">
        <v>8</v>
      </c>
      <c r="BW4" s="79">
        <v>6</v>
      </c>
      <c r="BX4" s="79">
        <v>15</v>
      </c>
      <c r="BY4" s="79">
        <v>7</v>
      </c>
      <c r="BZ4" s="79">
        <v>23</v>
      </c>
      <c r="CA4" s="79">
        <v>9</v>
      </c>
      <c r="CB4" s="79">
        <v>7</v>
      </c>
      <c r="CC4" s="79">
        <v>9</v>
      </c>
      <c r="CD4" s="79">
        <v>17</v>
      </c>
      <c r="CE4" s="79">
        <v>19</v>
      </c>
      <c r="CF4" s="79">
        <v>15</v>
      </c>
      <c r="CG4" s="79">
        <v>16</v>
      </c>
      <c r="CH4" s="79">
        <v>22</v>
      </c>
      <c r="CI4" s="79">
        <v>32</v>
      </c>
      <c r="CJ4" s="79">
        <v>25</v>
      </c>
      <c r="CK4" s="79">
        <v>13</v>
      </c>
      <c r="CL4" s="79">
        <v>24</v>
      </c>
      <c r="CM4" s="79">
        <v>24</v>
      </c>
      <c r="CN4" s="79">
        <v>16</v>
      </c>
      <c r="CO4" s="79">
        <v>8</v>
      </c>
      <c r="CP4" s="79">
        <v>26</v>
      </c>
    </row>
    <row r="5" spans="2:94">
      <c r="B5" s="87" t="s">
        <v>104</v>
      </c>
      <c r="C5" s="79">
        <v>20</v>
      </c>
      <c r="D5" s="79">
        <v>24</v>
      </c>
      <c r="E5" s="79">
        <v>16</v>
      </c>
      <c r="F5" s="79">
        <v>14</v>
      </c>
      <c r="G5" s="79">
        <v>20</v>
      </c>
      <c r="H5" s="79">
        <v>9</v>
      </c>
      <c r="I5" s="79">
        <v>19</v>
      </c>
      <c r="J5" s="79">
        <v>21</v>
      </c>
      <c r="K5" s="79">
        <v>15</v>
      </c>
      <c r="L5" s="79">
        <v>16</v>
      </c>
      <c r="M5" s="79">
        <v>21</v>
      </c>
      <c r="N5" s="79">
        <v>18</v>
      </c>
      <c r="O5" s="79">
        <v>25</v>
      </c>
      <c r="P5" s="79">
        <v>23</v>
      </c>
      <c r="Q5" s="79">
        <v>19</v>
      </c>
      <c r="R5" s="79">
        <v>17</v>
      </c>
      <c r="S5" s="79">
        <v>16</v>
      </c>
      <c r="T5" s="79">
        <v>19</v>
      </c>
      <c r="U5" s="79">
        <v>16</v>
      </c>
      <c r="V5" s="79">
        <v>24</v>
      </c>
      <c r="W5" s="79">
        <v>17</v>
      </c>
      <c r="X5" s="79">
        <v>18</v>
      </c>
      <c r="Y5" s="79">
        <v>17</v>
      </c>
      <c r="Z5" s="79">
        <v>14</v>
      </c>
      <c r="AA5" s="79">
        <v>21</v>
      </c>
      <c r="AB5" s="79">
        <v>13</v>
      </c>
      <c r="AC5" s="79">
        <v>18</v>
      </c>
      <c r="AD5" s="79">
        <v>20</v>
      </c>
      <c r="AE5" s="79">
        <v>23</v>
      </c>
      <c r="AF5" s="79">
        <v>17</v>
      </c>
      <c r="AG5" s="79">
        <v>19</v>
      </c>
      <c r="AH5" s="79">
        <v>23</v>
      </c>
      <c r="AI5" s="79">
        <v>15</v>
      </c>
      <c r="AJ5" s="79">
        <v>23</v>
      </c>
      <c r="AK5" s="79">
        <v>15</v>
      </c>
      <c r="AL5" s="79">
        <v>18</v>
      </c>
      <c r="AM5" s="79">
        <v>15</v>
      </c>
      <c r="AN5" s="79">
        <v>16</v>
      </c>
      <c r="AO5" s="79">
        <v>20</v>
      </c>
      <c r="AP5" s="79">
        <v>18</v>
      </c>
      <c r="AQ5" s="79">
        <v>17</v>
      </c>
      <c r="AR5" s="79">
        <v>16</v>
      </c>
      <c r="AS5" s="79">
        <v>15</v>
      </c>
      <c r="AT5" s="79">
        <v>16</v>
      </c>
      <c r="AU5" s="79">
        <v>17</v>
      </c>
      <c r="AV5" s="79">
        <v>14</v>
      </c>
      <c r="AW5" s="79">
        <v>22</v>
      </c>
      <c r="AX5" s="79">
        <v>23</v>
      </c>
      <c r="AY5" s="79">
        <v>24</v>
      </c>
      <c r="AZ5" s="79">
        <v>15</v>
      </c>
      <c r="BA5" s="79">
        <v>19</v>
      </c>
      <c r="BB5" s="79">
        <v>18</v>
      </c>
      <c r="BC5" s="79">
        <v>17</v>
      </c>
      <c r="BD5" s="79">
        <v>20</v>
      </c>
      <c r="BE5" s="79">
        <v>17</v>
      </c>
      <c r="BF5" s="79">
        <v>27</v>
      </c>
      <c r="BG5" s="79">
        <v>20</v>
      </c>
      <c r="BH5" s="79">
        <v>21</v>
      </c>
      <c r="BI5" s="79">
        <v>23</v>
      </c>
      <c r="BJ5" s="79">
        <v>16</v>
      </c>
      <c r="BK5" s="79">
        <v>18</v>
      </c>
      <c r="BL5" s="79">
        <v>16</v>
      </c>
      <c r="BM5" s="79">
        <v>23</v>
      </c>
      <c r="BN5" s="79">
        <v>14</v>
      </c>
      <c r="BO5" s="79">
        <v>16</v>
      </c>
      <c r="BP5" s="79">
        <v>19</v>
      </c>
      <c r="BQ5" s="79">
        <v>17</v>
      </c>
      <c r="BR5" s="79">
        <v>14</v>
      </c>
      <c r="BS5" s="79">
        <v>18</v>
      </c>
      <c r="BT5" s="79">
        <v>11</v>
      </c>
      <c r="BU5" s="79">
        <v>17</v>
      </c>
      <c r="BV5" s="79">
        <v>21</v>
      </c>
      <c r="BW5" s="79">
        <v>18</v>
      </c>
      <c r="BX5" s="79">
        <v>16</v>
      </c>
      <c r="BY5" s="79">
        <v>20</v>
      </c>
      <c r="BZ5" s="79">
        <v>17</v>
      </c>
      <c r="CA5" s="79">
        <v>19</v>
      </c>
      <c r="CB5" s="79">
        <v>15</v>
      </c>
      <c r="CC5" s="79">
        <v>18</v>
      </c>
      <c r="CD5" s="79">
        <v>20</v>
      </c>
      <c r="CE5" s="79">
        <v>13</v>
      </c>
      <c r="CF5" s="79">
        <v>19</v>
      </c>
      <c r="CG5" s="79">
        <v>13</v>
      </c>
      <c r="CH5" s="79">
        <v>17</v>
      </c>
      <c r="CI5" s="79">
        <v>22</v>
      </c>
      <c r="CJ5" s="79">
        <v>18</v>
      </c>
      <c r="CK5" s="79">
        <v>17</v>
      </c>
      <c r="CL5" s="79">
        <v>15</v>
      </c>
      <c r="CM5" s="79">
        <v>19</v>
      </c>
      <c r="CN5" s="79">
        <v>24</v>
      </c>
      <c r="CO5" s="79">
        <v>22</v>
      </c>
      <c r="CP5" s="79">
        <v>16</v>
      </c>
    </row>
    <row r="6" spans="2:94">
      <c r="B6" s="87" t="s">
        <v>309</v>
      </c>
      <c r="C6" s="79">
        <v>13</v>
      </c>
      <c r="D6" s="79">
        <v>16</v>
      </c>
      <c r="E6" s="79">
        <v>4</v>
      </c>
      <c r="F6" s="79">
        <v>10</v>
      </c>
      <c r="G6" s="79">
        <v>17</v>
      </c>
      <c r="H6" s="79">
        <v>6</v>
      </c>
      <c r="I6" s="79">
        <v>11</v>
      </c>
      <c r="J6" s="79">
        <v>13</v>
      </c>
      <c r="K6" s="79">
        <v>10</v>
      </c>
      <c r="L6" s="79">
        <v>9</v>
      </c>
      <c r="M6" s="79">
        <v>13</v>
      </c>
      <c r="N6" s="79">
        <v>22</v>
      </c>
      <c r="O6" s="79">
        <v>11</v>
      </c>
      <c r="P6" s="79">
        <v>12</v>
      </c>
      <c r="Q6" s="79">
        <v>18</v>
      </c>
      <c r="R6" s="79">
        <v>13</v>
      </c>
      <c r="S6" s="79">
        <v>11</v>
      </c>
      <c r="T6" s="79">
        <v>11</v>
      </c>
      <c r="U6" s="79">
        <v>13</v>
      </c>
      <c r="V6" s="79">
        <v>12</v>
      </c>
      <c r="W6" s="79">
        <v>12</v>
      </c>
      <c r="X6" s="79">
        <v>15</v>
      </c>
      <c r="Y6" s="79">
        <v>14</v>
      </c>
      <c r="Z6" s="79">
        <v>8</v>
      </c>
      <c r="AA6" s="79">
        <v>17</v>
      </c>
      <c r="AB6" s="79">
        <v>12</v>
      </c>
      <c r="AC6" s="79">
        <v>11</v>
      </c>
      <c r="AD6" s="79">
        <v>15</v>
      </c>
      <c r="AE6" s="79">
        <v>16</v>
      </c>
      <c r="AF6" s="79">
        <v>11</v>
      </c>
      <c r="AG6" s="79">
        <v>12</v>
      </c>
      <c r="AH6" s="79">
        <v>13</v>
      </c>
      <c r="AI6" s="79">
        <v>12</v>
      </c>
      <c r="AJ6" s="79">
        <v>15</v>
      </c>
      <c r="AK6" s="79">
        <v>12</v>
      </c>
      <c r="AL6" s="79">
        <v>11</v>
      </c>
      <c r="AM6" s="79">
        <v>6</v>
      </c>
      <c r="AN6" s="79">
        <v>13</v>
      </c>
      <c r="AO6" s="79">
        <v>20</v>
      </c>
      <c r="AP6" s="79">
        <v>18</v>
      </c>
      <c r="AQ6" s="79">
        <v>18</v>
      </c>
      <c r="AR6" s="79">
        <v>12</v>
      </c>
      <c r="AS6" s="79">
        <v>11</v>
      </c>
      <c r="AT6" s="79">
        <v>14</v>
      </c>
      <c r="AU6" s="79">
        <v>14</v>
      </c>
      <c r="AV6" s="79">
        <v>13</v>
      </c>
      <c r="AW6" s="79">
        <v>10</v>
      </c>
      <c r="AX6" s="79">
        <v>13</v>
      </c>
      <c r="AY6" s="79">
        <v>8</v>
      </c>
      <c r="AZ6" s="79">
        <v>7</v>
      </c>
      <c r="BA6" s="79">
        <v>11</v>
      </c>
      <c r="BB6" s="79">
        <v>8</v>
      </c>
      <c r="BC6" s="79">
        <v>9</v>
      </c>
      <c r="BD6" s="79">
        <v>9</v>
      </c>
      <c r="BE6" s="79">
        <v>16</v>
      </c>
      <c r="BF6" s="79">
        <v>22</v>
      </c>
      <c r="BG6" s="79">
        <v>18</v>
      </c>
      <c r="BH6" s="79">
        <v>15</v>
      </c>
      <c r="BI6" s="79">
        <v>17</v>
      </c>
      <c r="BJ6" s="79">
        <v>14</v>
      </c>
      <c r="BK6" s="79">
        <v>10</v>
      </c>
      <c r="BL6" s="79">
        <v>15</v>
      </c>
      <c r="BM6" s="79">
        <v>16</v>
      </c>
      <c r="BN6" s="79">
        <v>11</v>
      </c>
      <c r="BO6" s="79">
        <v>12</v>
      </c>
      <c r="BP6" s="79">
        <v>10</v>
      </c>
      <c r="BQ6" s="79">
        <v>12</v>
      </c>
      <c r="BR6" s="79">
        <v>9</v>
      </c>
      <c r="BS6" s="79">
        <v>15</v>
      </c>
      <c r="BT6" s="79">
        <v>11</v>
      </c>
      <c r="BU6" s="79">
        <v>10</v>
      </c>
      <c r="BV6" s="79">
        <v>21</v>
      </c>
      <c r="BW6" s="79">
        <v>15</v>
      </c>
      <c r="BX6" s="79">
        <v>12</v>
      </c>
      <c r="BY6" s="79">
        <v>14</v>
      </c>
      <c r="BZ6" s="79">
        <v>13</v>
      </c>
      <c r="CA6" s="79">
        <v>14</v>
      </c>
      <c r="CB6" s="79">
        <v>12</v>
      </c>
      <c r="CC6" s="79">
        <v>11</v>
      </c>
      <c r="CD6" s="79">
        <v>15</v>
      </c>
      <c r="CE6" s="79">
        <v>11</v>
      </c>
      <c r="CF6" s="79">
        <v>9</v>
      </c>
      <c r="CG6" s="79">
        <v>7</v>
      </c>
      <c r="CH6" s="79">
        <v>11</v>
      </c>
      <c r="CI6" s="79">
        <v>8</v>
      </c>
      <c r="CJ6" s="79">
        <v>9</v>
      </c>
      <c r="CK6" s="79">
        <v>14</v>
      </c>
      <c r="CL6" s="79">
        <v>11</v>
      </c>
      <c r="CM6" s="79">
        <v>16</v>
      </c>
      <c r="CN6" s="79">
        <v>16</v>
      </c>
      <c r="CO6" s="79">
        <v>13</v>
      </c>
      <c r="CP6" s="79">
        <v>13</v>
      </c>
    </row>
    <row r="7" spans="2:94">
      <c r="B7" s="87" t="s">
        <v>310</v>
      </c>
      <c r="C7" s="79">
        <v>7</v>
      </c>
      <c r="D7" s="79">
        <v>3</v>
      </c>
      <c r="E7" s="79">
        <v>4</v>
      </c>
      <c r="F7" s="79">
        <v>4</v>
      </c>
      <c r="G7" s="79">
        <v>6</v>
      </c>
      <c r="H7" s="79">
        <v>5</v>
      </c>
      <c r="I7" s="79">
        <v>5</v>
      </c>
      <c r="J7" s="79">
        <v>5</v>
      </c>
      <c r="K7" s="79">
        <v>5</v>
      </c>
      <c r="L7" s="79">
        <v>5</v>
      </c>
      <c r="M7" s="79">
        <v>4</v>
      </c>
      <c r="N7" s="79">
        <v>5</v>
      </c>
      <c r="O7" s="79">
        <v>5</v>
      </c>
      <c r="P7" s="79">
        <v>5</v>
      </c>
      <c r="Q7" s="79">
        <v>8</v>
      </c>
      <c r="R7" s="79">
        <v>7</v>
      </c>
      <c r="S7" s="79">
        <v>8</v>
      </c>
      <c r="T7" s="79">
        <v>4</v>
      </c>
      <c r="U7" s="79">
        <v>6</v>
      </c>
      <c r="V7" s="79">
        <v>7</v>
      </c>
      <c r="W7" s="79">
        <v>4</v>
      </c>
      <c r="X7" s="79">
        <v>5</v>
      </c>
      <c r="Y7" s="79">
        <v>3</v>
      </c>
      <c r="Z7" s="79">
        <v>3</v>
      </c>
      <c r="AA7" s="79">
        <v>5</v>
      </c>
      <c r="AB7" s="79">
        <v>4</v>
      </c>
      <c r="AC7" s="79">
        <v>5</v>
      </c>
      <c r="AD7" s="79">
        <v>6</v>
      </c>
      <c r="AE7" s="79">
        <v>8</v>
      </c>
      <c r="AF7" s="79">
        <v>7</v>
      </c>
      <c r="AG7" s="79">
        <v>6</v>
      </c>
      <c r="AH7" s="79">
        <v>5</v>
      </c>
      <c r="AI7" s="79">
        <v>7</v>
      </c>
      <c r="AJ7" s="79">
        <v>4</v>
      </c>
      <c r="AK7" s="79">
        <v>5</v>
      </c>
      <c r="AL7" s="79">
        <v>9</v>
      </c>
      <c r="AM7" s="79">
        <v>5</v>
      </c>
      <c r="AN7" s="79">
        <v>3</v>
      </c>
      <c r="AO7" s="79">
        <v>7</v>
      </c>
      <c r="AP7" s="79">
        <v>4</v>
      </c>
      <c r="AQ7" s="79">
        <v>6</v>
      </c>
      <c r="AR7" s="79">
        <v>3</v>
      </c>
      <c r="AS7" s="79">
        <v>7</v>
      </c>
      <c r="AT7" s="79">
        <v>6</v>
      </c>
      <c r="AU7" s="79">
        <v>3</v>
      </c>
      <c r="AV7" s="79">
        <v>5</v>
      </c>
      <c r="AW7" s="79">
        <v>4</v>
      </c>
      <c r="AX7" s="79">
        <v>4</v>
      </c>
      <c r="AY7" s="79">
        <v>2</v>
      </c>
      <c r="AZ7" s="79">
        <v>4</v>
      </c>
      <c r="BA7" s="79">
        <v>4</v>
      </c>
      <c r="BB7" s="79">
        <v>1</v>
      </c>
      <c r="BC7" s="79">
        <v>2</v>
      </c>
      <c r="BD7" s="79">
        <v>3</v>
      </c>
      <c r="BE7" s="79">
        <v>3</v>
      </c>
      <c r="BF7" s="79">
        <v>6</v>
      </c>
      <c r="BG7" s="79">
        <v>4</v>
      </c>
      <c r="BH7" s="79">
        <v>4</v>
      </c>
      <c r="BI7" s="79">
        <v>3</v>
      </c>
      <c r="BJ7" s="79">
        <v>3</v>
      </c>
      <c r="BK7" s="79">
        <v>2</v>
      </c>
      <c r="BL7" s="79">
        <v>5</v>
      </c>
      <c r="BM7" s="79">
        <v>4</v>
      </c>
      <c r="BN7" s="79">
        <v>0</v>
      </c>
      <c r="BO7" s="79">
        <v>0</v>
      </c>
      <c r="BP7" s="79">
        <v>5</v>
      </c>
      <c r="BQ7" s="79">
        <v>4</v>
      </c>
      <c r="BR7" s="79">
        <v>4</v>
      </c>
      <c r="BS7" s="79">
        <v>4</v>
      </c>
      <c r="BT7" s="79">
        <v>2</v>
      </c>
      <c r="BU7" s="79">
        <v>4</v>
      </c>
      <c r="BV7" s="79">
        <v>8</v>
      </c>
      <c r="BW7" s="79">
        <v>5</v>
      </c>
      <c r="BX7" s="79">
        <v>6</v>
      </c>
      <c r="BY7" s="79">
        <v>5</v>
      </c>
      <c r="BZ7" s="79">
        <v>4</v>
      </c>
      <c r="CA7" s="79">
        <v>6</v>
      </c>
      <c r="CB7" s="79">
        <v>3</v>
      </c>
      <c r="CC7" s="79">
        <v>4</v>
      </c>
      <c r="CD7" s="79">
        <v>5</v>
      </c>
      <c r="CE7" s="79">
        <v>1</v>
      </c>
      <c r="CF7" s="79">
        <v>2</v>
      </c>
      <c r="CG7" s="79">
        <v>3</v>
      </c>
      <c r="CH7" s="79">
        <v>1</v>
      </c>
      <c r="CI7" s="79">
        <v>2</v>
      </c>
      <c r="CJ7" s="79">
        <v>4</v>
      </c>
      <c r="CK7" s="79">
        <v>4</v>
      </c>
      <c r="CL7" s="79">
        <v>4</v>
      </c>
      <c r="CM7" s="79">
        <v>3</v>
      </c>
      <c r="CN7" s="79">
        <v>4</v>
      </c>
      <c r="CO7" s="79">
        <v>6</v>
      </c>
      <c r="CP7" s="79">
        <v>5</v>
      </c>
    </row>
    <row r="9" spans="2:94">
      <c r="B9" s="46" t="s">
        <v>532</v>
      </c>
      <c r="C9" s="46"/>
      <c r="D9" s="46"/>
      <c r="E9" s="46"/>
      <c r="F9" s="46"/>
      <c r="G9" s="46"/>
      <c r="H9" s="46"/>
      <c r="I9" s="46"/>
      <c r="J9" s="46"/>
      <c r="K9" s="46"/>
    </row>
    <row r="10" spans="2:94">
      <c r="B10" s="26"/>
      <c r="C10" s="26" t="s">
        <v>313</v>
      </c>
      <c r="D10" s="26" t="s">
        <v>113</v>
      </c>
      <c r="E10" s="26" t="s">
        <v>527</v>
      </c>
      <c r="F10" s="26" t="s">
        <v>528</v>
      </c>
      <c r="G10" s="26" t="s">
        <v>316</v>
      </c>
      <c r="H10" s="26" t="s">
        <v>317</v>
      </c>
      <c r="I10" s="26" t="s">
        <v>318</v>
      </c>
      <c r="J10" s="26" t="s">
        <v>319</v>
      </c>
      <c r="K10" s="26" t="s">
        <v>320</v>
      </c>
    </row>
    <row r="11" spans="2:94">
      <c r="B11" s="75" t="s">
        <v>310</v>
      </c>
      <c r="C11" s="31" t="s">
        <v>80</v>
      </c>
      <c r="D11" s="77">
        <v>1.9999999999999999E-6</v>
      </c>
      <c r="E11" s="31">
        <v>5.2830000000000004</v>
      </c>
      <c r="F11" s="31">
        <v>3.609</v>
      </c>
      <c r="G11" s="31">
        <v>1.6739999999999999</v>
      </c>
      <c r="H11" s="31">
        <v>0.3306</v>
      </c>
      <c r="I11" s="31">
        <v>5.0629999999999997</v>
      </c>
      <c r="J11" s="31">
        <v>89.57</v>
      </c>
      <c r="K11" s="31">
        <v>6.0000000000000002E-6</v>
      </c>
    </row>
    <row r="12" spans="2:94">
      <c r="B12" s="75" t="s">
        <v>529</v>
      </c>
      <c r="C12" s="31" t="s">
        <v>89</v>
      </c>
      <c r="D12" s="77">
        <v>0.59539200000000003</v>
      </c>
      <c r="E12" s="31">
        <v>17.98</v>
      </c>
      <c r="F12" s="31">
        <v>18.350000000000001</v>
      </c>
      <c r="G12" s="31">
        <v>-0.36959999999999998</v>
      </c>
      <c r="H12" s="31">
        <v>0.69350000000000001</v>
      </c>
      <c r="I12" s="31">
        <v>0.53290000000000004</v>
      </c>
      <c r="J12" s="31">
        <v>90</v>
      </c>
      <c r="K12" s="31">
        <v>0.351576</v>
      </c>
    </row>
    <row r="13" spans="2:94">
      <c r="B13" s="75" t="s">
        <v>530</v>
      </c>
      <c r="C13" s="31" t="s">
        <v>89</v>
      </c>
      <c r="D13" s="77">
        <v>0.60916599999999999</v>
      </c>
      <c r="E13" s="31">
        <v>12.83</v>
      </c>
      <c r="F13" s="31">
        <v>12.46</v>
      </c>
      <c r="G13" s="31">
        <v>0.36959999999999998</v>
      </c>
      <c r="H13" s="31">
        <v>0.72030000000000005</v>
      </c>
      <c r="I13" s="31">
        <v>0.5131</v>
      </c>
      <c r="J13" s="31">
        <v>89.97</v>
      </c>
      <c r="K13" s="31">
        <v>0.351576</v>
      </c>
    </row>
    <row r="14" spans="2:94">
      <c r="B14" s="75" t="s">
        <v>308</v>
      </c>
      <c r="C14" s="31" t="s">
        <v>80</v>
      </c>
      <c r="D14" s="77">
        <v>3.0000000000000001E-6</v>
      </c>
      <c r="E14" s="31">
        <v>8.5</v>
      </c>
      <c r="F14" s="31">
        <v>14.02</v>
      </c>
      <c r="G14" s="31">
        <v>-5.5220000000000002</v>
      </c>
      <c r="H14" s="31">
        <v>1.079</v>
      </c>
      <c r="I14" s="31">
        <v>5.1189999999999998</v>
      </c>
      <c r="J14" s="31">
        <v>63.65</v>
      </c>
      <c r="K14" s="31">
        <v>6.0000000000000002E-6</v>
      </c>
    </row>
    <row r="19" spans="2:11">
      <c r="B19" s="14"/>
      <c r="C19" s="10"/>
      <c r="D19" s="10"/>
      <c r="E19" s="10"/>
      <c r="F19" s="10"/>
      <c r="G19" s="10"/>
      <c r="H19" s="10"/>
      <c r="I19" s="10"/>
      <c r="J19" s="10"/>
      <c r="K19" s="10"/>
    </row>
    <row r="20" spans="2:11">
      <c r="B20" s="14"/>
      <c r="C20" s="10"/>
      <c r="D20" s="10"/>
      <c r="E20" s="10"/>
      <c r="F20" s="10"/>
      <c r="G20" s="10"/>
      <c r="H20" s="10"/>
      <c r="I20" s="10"/>
      <c r="J20" s="10"/>
      <c r="K20" s="10"/>
    </row>
    <row r="21" spans="2:11">
      <c r="B21" s="14"/>
      <c r="C21" s="10"/>
      <c r="D21" s="10"/>
      <c r="E21" s="10"/>
      <c r="F21" s="10"/>
      <c r="G21" s="10"/>
      <c r="H21" s="10"/>
      <c r="I21" s="10"/>
      <c r="J21" s="10"/>
      <c r="K21" s="10"/>
    </row>
  </sheetData>
  <mergeCells count="2">
    <mergeCell ref="C3:AV3"/>
    <mergeCell ref="AW3:CP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4CAEB-CD7E-469A-BDDD-232793493F15}">
  <dimension ref="B2:Z33"/>
  <sheetViews>
    <sheetView topLeftCell="A10" workbookViewId="0">
      <selection activeCell="B26" sqref="B26"/>
    </sheetView>
  </sheetViews>
  <sheetFormatPr defaultRowHeight="15"/>
  <cols>
    <col min="1" max="1" width="5.7109375" style="12" customWidth="1"/>
    <col min="2" max="2" width="14.5703125" style="12" customWidth="1"/>
    <col min="3" max="16384" width="9.140625" style="12"/>
  </cols>
  <sheetData>
    <row r="2" spans="2:26" ht="30">
      <c r="B2" s="103" t="s">
        <v>577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2:26">
      <c r="B3" s="16"/>
      <c r="C3" s="16"/>
      <c r="D3" s="104" t="s">
        <v>533</v>
      </c>
      <c r="E3" s="104" t="s">
        <v>533</v>
      </c>
      <c r="F3" s="104" t="s">
        <v>533</v>
      </c>
      <c r="G3" s="104" t="s">
        <v>533</v>
      </c>
      <c r="H3" s="104" t="s">
        <v>533</v>
      </c>
      <c r="I3" s="104" t="s">
        <v>533</v>
      </c>
      <c r="J3" s="104" t="s">
        <v>533</v>
      </c>
      <c r="K3" s="105" t="s">
        <v>534</v>
      </c>
      <c r="L3" s="105" t="s">
        <v>534</v>
      </c>
      <c r="M3" s="105" t="s">
        <v>534</v>
      </c>
      <c r="N3" s="105" t="s">
        <v>534</v>
      </c>
      <c r="O3" s="105" t="s">
        <v>534</v>
      </c>
      <c r="P3" s="105" t="s">
        <v>534</v>
      </c>
      <c r="Q3" s="38" t="s">
        <v>535</v>
      </c>
      <c r="R3" s="38" t="s">
        <v>535</v>
      </c>
      <c r="S3" s="38" t="s">
        <v>535</v>
      </c>
      <c r="T3" s="38" t="s">
        <v>535</v>
      </c>
      <c r="U3" s="38" t="s">
        <v>535</v>
      </c>
      <c r="V3" s="38" t="s">
        <v>535</v>
      </c>
      <c r="W3" s="38" t="s">
        <v>535</v>
      </c>
      <c r="X3" s="38"/>
      <c r="Y3" s="16" t="s">
        <v>17</v>
      </c>
      <c r="Z3" s="103"/>
    </row>
    <row r="4" spans="2:26">
      <c r="B4" s="16"/>
      <c r="C4" s="16"/>
      <c r="D4" s="104" t="s">
        <v>557</v>
      </c>
      <c r="E4" s="104" t="s">
        <v>558</v>
      </c>
      <c r="F4" s="104" t="s">
        <v>559</v>
      </c>
      <c r="G4" s="104" t="s">
        <v>560</v>
      </c>
      <c r="H4" s="104" t="s">
        <v>561</v>
      </c>
      <c r="I4" s="104" t="s">
        <v>562</v>
      </c>
      <c r="J4" s="104" t="s">
        <v>563</v>
      </c>
      <c r="K4" s="105" t="s">
        <v>564</v>
      </c>
      <c r="L4" s="105" t="s">
        <v>558</v>
      </c>
      <c r="M4" s="105" t="s">
        <v>565</v>
      </c>
      <c r="N4" s="105" t="s">
        <v>566</v>
      </c>
      <c r="O4" s="105" t="s">
        <v>567</v>
      </c>
      <c r="P4" s="105" t="s">
        <v>568</v>
      </c>
      <c r="Q4" s="16" t="s">
        <v>569</v>
      </c>
      <c r="R4" s="16" t="s">
        <v>558</v>
      </c>
      <c r="S4" s="16" t="s">
        <v>570</v>
      </c>
      <c r="T4" s="16" t="s">
        <v>571</v>
      </c>
      <c r="U4" s="16" t="s">
        <v>572</v>
      </c>
      <c r="V4" s="16" t="s">
        <v>573</v>
      </c>
      <c r="W4" s="16" t="s">
        <v>574</v>
      </c>
      <c r="X4" s="16"/>
      <c r="Y4" s="16"/>
      <c r="Z4" s="103"/>
    </row>
    <row r="5" spans="2:26" ht="45">
      <c r="B5" s="102" t="s">
        <v>624</v>
      </c>
      <c r="C5" s="106" t="s">
        <v>555</v>
      </c>
      <c r="D5" s="104">
        <v>-2.8451524429875447E-2</v>
      </c>
      <c r="E5" s="104">
        <v>0.11493457441191374</v>
      </c>
      <c r="F5" s="104">
        <v>7.7479955461162348E-2</v>
      </c>
      <c r="G5" s="104">
        <v>9.8200532126390433E-2</v>
      </c>
      <c r="H5" s="104">
        <v>4.5628876596183233E-2</v>
      </c>
      <c r="I5" s="104">
        <v>7.0448817775968009E-2</v>
      </c>
      <c r="J5" s="104">
        <v>0.10484633760553613</v>
      </c>
      <c r="K5" s="105">
        <v>0.31924769016523019</v>
      </c>
      <c r="L5" s="105">
        <v>0.15825060405593916</v>
      </c>
      <c r="M5" s="105">
        <v>9.0902025651466198E-2</v>
      </c>
      <c r="N5" s="105">
        <v>0.19613937925552791</v>
      </c>
      <c r="O5" s="105">
        <v>0.140981091642947</v>
      </c>
      <c r="P5" s="105">
        <v>0.32780007106216369</v>
      </c>
      <c r="Q5" s="16">
        <v>0.12221902662238307</v>
      </c>
      <c r="R5" s="16">
        <v>0.15659076692143198</v>
      </c>
      <c r="S5" s="16">
        <v>0.21056364593258958</v>
      </c>
      <c r="T5" s="16">
        <v>-4.389094125378256E-2</v>
      </c>
      <c r="U5" s="16">
        <v>0.31725186040271103</v>
      </c>
      <c r="V5" s="16">
        <v>0.14316706965197581</v>
      </c>
      <c r="W5" s="16">
        <v>0.15963485174798117</v>
      </c>
      <c r="X5" s="16"/>
      <c r="Y5" s="16">
        <f>AVERAGE(D5:W5)</f>
        <v>0.13909723557029213</v>
      </c>
      <c r="Z5" s="103"/>
    </row>
    <row r="6" spans="2:26">
      <c r="B6" s="102" t="s">
        <v>624</v>
      </c>
      <c r="C6" s="69" t="s">
        <v>103</v>
      </c>
      <c r="D6" s="104">
        <v>7.4832798869319248E-2</v>
      </c>
      <c r="E6" s="104">
        <v>0.15756102182045584</v>
      </c>
      <c r="F6" s="104">
        <v>0.14680241670305738</v>
      </c>
      <c r="G6" s="104">
        <v>3.2997989366133899E-2</v>
      </c>
      <c r="H6" s="104">
        <v>3.8143965530054551E-2</v>
      </c>
      <c r="I6" s="104">
        <v>0.16943822854649593</v>
      </c>
      <c r="J6" s="104">
        <v>0.30850853230908953</v>
      </c>
      <c r="K6" s="105">
        <v>0.26249610306888832</v>
      </c>
      <c r="L6" s="105">
        <v>0.28350710382095234</v>
      </c>
      <c r="M6" s="105">
        <v>0.13023486135318665</v>
      </c>
      <c r="N6" s="105">
        <v>0.11587646540818475</v>
      </c>
      <c r="O6" s="105">
        <v>0.12140700956075223</v>
      </c>
      <c r="P6" s="105">
        <v>0.42532020442969404</v>
      </c>
      <c r="Q6" s="16">
        <v>0.37886269437850006</v>
      </c>
      <c r="R6" s="16">
        <v>0.26910885229220866</v>
      </c>
      <c r="S6" s="16">
        <v>0.53496707747472905</v>
      </c>
      <c r="T6" s="16">
        <v>0.24703202616764208</v>
      </c>
      <c r="U6" s="16">
        <v>0.46104555160479938</v>
      </c>
      <c r="V6" s="16">
        <v>0.15575287050873104</v>
      </c>
      <c r="W6" s="16">
        <v>0.30596193306015385</v>
      </c>
      <c r="X6" s="16"/>
      <c r="Y6" s="16">
        <f t="shared" ref="Y6" si="0">AVERAGE(D6:W6)</f>
        <v>0.23099288531365145</v>
      </c>
    </row>
    <row r="8" spans="2:26" ht="30">
      <c r="B8" s="12" t="s">
        <v>576</v>
      </c>
    </row>
    <row r="9" spans="2:26">
      <c r="B9" s="16"/>
      <c r="C9" s="16"/>
      <c r="D9" s="104" t="s">
        <v>533</v>
      </c>
      <c r="E9" s="104" t="s">
        <v>533</v>
      </c>
      <c r="F9" s="104" t="s">
        <v>533</v>
      </c>
      <c r="G9" s="104" t="s">
        <v>533</v>
      </c>
      <c r="H9" s="104" t="s">
        <v>533</v>
      </c>
      <c r="I9" s="104" t="s">
        <v>533</v>
      </c>
      <c r="J9" s="104" t="s">
        <v>533</v>
      </c>
      <c r="K9" s="104" t="s">
        <v>533</v>
      </c>
      <c r="L9" s="105" t="s">
        <v>534</v>
      </c>
      <c r="M9" s="105" t="s">
        <v>534</v>
      </c>
      <c r="N9" s="105" t="s">
        <v>534</v>
      </c>
      <c r="O9" s="105" t="s">
        <v>534</v>
      </c>
      <c r="P9" s="105" t="s">
        <v>534</v>
      </c>
      <c r="Q9" s="105" t="s">
        <v>534</v>
      </c>
      <c r="R9" s="38" t="s">
        <v>535</v>
      </c>
      <c r="S9" s="107" t="s">
        <v>535</v>
      </c>
      <c r="T9" s="38" t="s">
        <v>535</v>
      </c>
      <c r="U9" s="38" t="s">
        <v>535</v>
      </c>
      <c r="V9" s="38" t="s">
        <v>535</v>
      </c>
      <c r="W9" s="38" t="s">
        <v>535</v>
      </c>
      <c r="X9" s="38"/>
      <c r="Y9" s="16" t="s">
        <v>17</v>
      </c>
    </row>
    <row r="10" spans="2:26">
      <c r="B10" s="16"/>
      <c r="C10" s="16"/>
      <c r="D10" s="104" t="s">
        <v>536</v>
      </c>
      <c r="E10" s="104" t="s">
        <v>537</v>
      </c>
      <c r="F10" s="104" t="s">
        <v>538</v>
      </c>
      <c r="G10" s="104" t="s">
        <v>539</v>
      </c>
      <c r="H10" s="104" t="s">
        <v>540</v>
      </c>
      <c r="I10" s="104" t="s">
        <v>541</v>
      </c>
      <c r="J10" s="104" t="s">
        <v>542</v>
      </c>
      <c r="K10" s="104" t="s">
        <v>543</v>
      </c>
      <c r="L10" s="105" t="s">
        <v>544</v>
      </c>
      <c r="M10" s="105" t="s">
        <v>545</v>
      </c>
      <c r="N10" s="105" t="s">
        <v>546</v>
      </c>
      <c r="O10" s="105" t="s">
        <v>547</v>
      </c>
      <c r="P10" s="105" t="s">
        <v>548</v>
      </c>
      <c r="Q10" s="105" t="s">
        <v>549</v>
      </c>
      <c r="R10" s="16" t="s">
        <v>544</v>
      </c>
      <c r="S10" s="16" t="s">
        <v>550</v>
      </c>
      <c r="T10" s="16" t="s">
        <v>551</v>
      </c>
      <c r="U10" s="16" t="s">
        <v>552</v>
      </c>
      <c r="V10" s="16" t="s">
        <v>553</v>
      </c>
      <c r="W10" s="16" t="s">
        <v>554</v>
      </c>
      <c r="X10" s="16"/>
      <c r="Y10" s="16"/>
    </row>
    <row r="11" spans="2:26">
      <c r="B11" s="102" t="s">
        <v>624</v>
      </c>
      <c r="C11" s="69" t="s">
        <v>102</v>
      </c>
      <c r="D11" s="104">
        <v>3.3835013987545813E-2</v>
      </c>
      <c r="E11" s="104">
        <v>4.7288928802051967E-2</v>
      </c>
      <c r="F11" s="104">
        <v>0.11490419851332237</v>
      </c>
      <c r="G11" s="104">
        <v>6.8308782941937138E-2</v>
      </c>
      <c r="H11" s="104">
        <v>0.16819546496805474</v>
      </c>
      <c r="I11" s="104">
        <v>7.0959822484275611E-2</v>
      </c>
      <c r="J11" s="104">
        <v>2.2057231483430324E-2</v>
      </c>
      <c r="K11" s="104">
        <v>7.9382413470514876E-2</v>
      </c>
      <c r="L11" s="105">
        <v>0.27386161573847595</v>
      </c>
      <c r="M11" s="105">
        <v>8.8656804327087238E-2</v>
      </c>
      <c r="N11" s="105">
        <v>0.29451235308206647</v>
      </c>
      <c r="O11" s="105">
        <v>0.29033054519372886</v>
      </c>
      <c r="P11" s="105">
        <v>8.4468025391448889E-2</v>
      </c>
      <c r="Q11" s="105">
        <v>0.11946926175900061</v>
      </c>
      <c r="R11" s="16">
        <v>7.1347031627283508E-2</v>
      </c>
      <c r="S11" s="16">
        <v>0.11242329067632154</v>
      </c>
      <c r="T11" s="16">
        <v>0.15347725188540828</v>
      </c>
      <c r="U11" s="16">
        <v>3.8485380128860491E-2</v>
      </c>
      <c r="V11" s="16">
        <v>0.22531686139252202</v>
      </c>
      <c r="W11" s="16">
        <v>7.2161098434772836E-2</v>
      </c>
      <c r="X11" s="16"/>
      <c r="Y11" s="16">
        <f>AVERAGE(D11:W11)</f>
        <v>0.12147206881440546</v>
      </c>
    </row>
    <row r="12" spans="2:26">
      <c r="B12" s="102" t="s">
        <v>624</v>
      </c>
      <c r="C12" s="69" t="s">
        <v>103</v>
      </c>
      <c r="D12" s="104">
        <v>8.051376156668387E-2</v>
      </c>
      <c r="E12" s="104">
        <v>0.18456724591536314</v>
      </c>
      <c r="F12" s="104">
        <v>0.28570327849336874</v>
      </c>
      <c r="G12" s="104">
        <v>0.13766632043631322</v>
      </c>
      <c r="H12" s="104">
        <v>8.8409406283625647E-2</v>
      </c>
      <c r="I12" s="104">
        <v>0.10439706426289071</v>
      </c>
      <c r="J12" s="104">
        <v>0.20136281830158398</v>
      </c>
      <c r="K12" s="104">
        <v>0.19201723777753549</v>
      </c>
      <c r="L12" s="105">
        <v>0.6475476540065922</v>
      </c>
      <c r="M12" s="105">
        <v>0.25792514448582221</v>
      </c>
      <c r="N12" s="105">
        <v>0.25002522664553817</v>
      </c>
      <c r="O12" s="105">
        <v>0.49886735285263362</v>
      </c>
      <c r="P12" s="105">
        <v>0.15986110853756808</v>
      </c>
      <c r="Q12" s="105">
        <v>0.33152105960889383</v>
      </c>
      <c r="R12" s="16">
        <v>0.34490857622347976</v>
      </c>
      <c r="S12" s="16">
        <v>0.24213882296658418</v>
      </c>
      <c r="T12" s="16">
        <v>0.35371408075583732</v>
      </c>
      <c r="U12" s="16">
        <v>9.856457033787662E-2</v>
      </c>
      <c r="V12" s="16">
        <v>0.48180196229582933</v>
      </c>
      <c r="W12" s="16">
        <v>0.20960464556156916</v>
      </c>
      <c r="X12" s="16"/>
      <c r="Y12" s="16">
        <f t="shared" ref="Y12" si="1">AVERAGE(D12:W12)</f>
        <v>0.25755586686577953</v>
      </c>
    </row>
    <row r="15" spans="2:26" ht="30">
      <c r="B15" s="12" t="s">
        <v>575</v>
      </c>
    </row>
    <row r="16" spans="2:26">
      <c r="B16" s="16"/>
      <c r="C16" s="16"/>
      <c r="D16" s="104" t="s">
        <v>533</v>
      </c>
      <c r="E16" s="104" t="s">
        <v>533</v>
      </c>
      <c r="F16" s="104" t="s">
        <v>533</v>
      </c>
      <c r="G16" s="104" t="s">
        <v>533</v>
      </c>
      <c r="H16" s="104" t="s">
        <v>533</v>
      </c>
      <c r="I16" s="104" t="s">
        <v>533</v>
      </c>
      <c r="J16" s="104" t="s">
        <v>533</v>
      </c>
      <c r="K16" s="105" t="s">
        <v>534</v>
      </c>
      <c r="L16" s="105" t="s">
        <v>534</v>
      </c>
      <c r="M16" s="105" t="s">
        <v>534</v>
      </c>
      <c r="N16" s="105" t="s">
        <v>534</v>
      </c>
      <c r="O16" s="105" t="s">
        <v>534</v>
      </c>
      <c r="P16" s="105" t="s">
        <v>534</v>
      </c>
      <c r="Q16" s="38" t="s">
        <v>535</v>
      </c>
      <c r="R16" s="38" t="s">
        <v>535</v>
      </c>
      <c r="S16" s="38" t="s">
        <v>535</v>
      </c>
      <c r="T16" s="38" t="s">
        <v>535</v>
      </c>
      <c r="U16" s="38" t="s">
        <v>535</v>
      </c>
      <c r="V16" s="38" t="s">
        <v>535</v>
      </c>
      <c r="W16" s="38" t="s">
        <v>535</v>
      </c>
      <c r="X16" s="38"/>
      <c r="Y16" s="16" t="s">
        <v>17</v>
      </c>
    </row>
    <row r="17" spans="2:25">
      <c r="B17" s="16"/>
      <c r="C17" s="16"/>
      <c r="D17" s="104" t="s">
        <v>557</v>
      </c>
      <c r="E17" s="104" t="s">
        <v>558</v>
      </c>
      <c r="F17" s="104" t="s">
        <v>559</v>
      </c>
      <c r="G17" s="104" t="s">
        <v>560</v>
      </c>
      <c r="H17" s="104" t="s">
        <v>561</v>
      </c>
      <c r="I17" s="104" t="s">
        <v>562</v>
      </c>
      <c r="J17" s="104" t="s">
        <v>563</v>
      </c>
      <c r="K17" s="105" t="s">
        <v>564</v>
      </c>
      <c r="L17" s="105" t="s">
        <v>558</v>
      </c>
      <c r="M17" s="105" t="s">
        <v>565</v>
      </c>
      <c r="N17" s="105" t="s">
        <v>566</v>
      </c>
      <c r="O17" s="105" t="s">
        <v>567</v>
      </c>
      <c r="P17" s="105" t="s">
        <v>568</v>
      </c>
      <c r="Q17" s="16" t="s">
        <v>569</v>
      </c>
      <c r="R17" s="16" t="s">
        <v>558</v>
      </c>
      <c r="S17" s="16" t="s">
        <v>570</v>
      </c>
      <c r="T17" s="16" t="s">
        <v>571</v>
      </c>
      <c r="U17" s="16" t="s">
        <v>572</v>
      </c>
      <c r="V17" s="16" t="s">
        <v>573</v>
      </c>
      <c r="W17" s="16" t="s">
        <v>574</v>
      </c>
      <c r="X17" s="16"/>
      <c r="Y17" s="16"/>
    </row>
    <row r="18" spans="2:25">
      <c r="B18" s="102" t="s">
        <v>624</v>
      </c>
      <c r="C18" s="69" t="s">
        <v>102</v>
      </c>
      <c r="D18" s="104">
        <v>-6.5250133767767449E-2</v>
      </c>
      <c r="E18" s="104">
        <v>2.4935939991201011E-2</v>
      </c>
      <c r="F18" s="104">
        <v>4.2545078993507818E-2</v>
      </c>
      <c r="G18" s="104">
        <v>2.1010022784623501E-2</v>
      </c>
      <c r="H18" s="104">
        <v>5.8989629100515972E-2</v>
      </c>
      <c r="I18" s="104">
        <v>-6.5707121989279707E-2</v>
      </c>
      <c r="J18" s="104">
        <v>0.13686307742720152</v>
      </c>
      <c r="K18" s="105">
        <v>0.11960667574012543</v>
      </c>
      <c r="L18" s="105">
        <v>9.7314652718874503E-2</v>
      </c>
      <c r="M18" s="105">
        <v>6.6929090152318349E-2</v>
      </c>
      <c r="N18" s="105">
        <v>-9.284786768250267E-3</v>
      </c>
      <c r="O18" s="105">
        <v>6.390991965180999E-2</v>
      </c>
      <c r="P18" s="105">
        <v>0.12898508079780235</v>
      </c>
      <c r="Q18" s="16">
        <v>9.9841017519177372E-2</v>
      </c>
      <c r="R18" s="16">
        <v>5.0556618741546239E-2</v>
      </c>
      <c r="S18" s="16">
        <v>7.3681031769184016E-2</v>
      </c>
      <c r="T18" s="16">
        <v>1.7734553265298752E-2</v>
      </c>
      <c r="U18" s="16">
        <v>-6.2331753451964234E-2</v>
      </c>
      <c r="V18" s="16">
        <v>0.15052011737083684</v>
      </c>
      <c r="W18" s="16">
        <v>6.1834550699755755E-2</v>
      </c>
      <c r="X18" s="16"/>
      <c r="Y18" s="16">
        <f>AVERAGE(D18:W18)</f>
        <v>5.0634163037325888E-2</v>
      </c>
    </row>
    <row r="19" spans="2:25">
      <c r="B19" s="102" t="s">
        <v>624</v>
      </c>
      <c r="C19" s="69" t="s">
        <v>103</v>
      </c>
      <c r="D19" s="104">
        <v>0.12797313828159584</v>
      </c>
      <c r="E19" s="104">
        <v>0.25873317992274308</v>
      </c>
      <c r="F19" s="104">
        <v>0.12786445305676628</v>
      </c>
      <c r="G19" s="104">
        <v>7.174340865272838E-2</v>
      </c>
      <c r="H19" s="104">
        <v>3.5375308961462321E-2</v>
      </c>
      <c r="I19" s="104">
        <v>6.4694273569966473E-2</v>
      </c>
      <c r="J19" s="104">
        <v>0.34059859201689685</v>
      </c>
      <c r="K19" s="105">
        <v>0.48775279310176861</v>
      </c>
      <c r="L19" s="105">
        <v>0.31075425428176584</v>
      </c>
      <c r="M19" s="105">
        <v>0.27183291126265058</v>
      </c>
      <c r="N19" s="105">
        <v>0.19086187099647248</v>
      </c>
      <c r="O19" s="105">
        <v>0.3008993205666875</v>
      </c>
      <c r="P19" s="105">
        <v>0.41789098751938614</v>
      </c>
      <c r="Q19" s="16">
        <v>0.34611503647991698</v>
      </c>
      <c r="R19" s="16">
        <v>0.13337251245373677</v>
      </c>
      <c r="S19" s="16">
        <v>0.2560471178664766</v>
      </c>
      <c r="T19" s="16">
        <v>0.28118043147524141</v>
      </c>
      <c r="U19" s="16">
        <v>0.29860506973594614</v>
      </c>
      <c r="V19" s="16">
        <v>0.19825200398479681</v>
      </c>
      <c r="W19" s="16">
        <v>0.24338360180242485</v>
      </c>
      <c r="X19" s="16"/>
      <c r="Y19" s="16">
        <f t="shared" ref="Y19" si="2">AVERAGE(D19:W19)</f>
        <v>0.2381965132994715</v>
      </c>
    </row>
    <row r="22" spans="2:25" ht="30">
      <c r="B22" s="12" t="s">
        <v>578</v>
      </c>
    </row>
    <row r="23" spans="2:25">
      <c r="B23" s="16"/>
      <c r="C23" s="16"/>
      <c r="D23" s="104" t="s">
        <v>533</v>
      </c>
      <c r="E23" s="104" t="s">
        <v>533</v>
      </c>
      <c r="F23" s="104" t="s">
        <v>533</v>
      </c>
      <c r="G23" s="104" t="s">
        <v>533</v>
      </c>
      <c r="H23" s="104" t="s">
        <v>533</v>
      </c>
      <c r="I23" s="104" t="s">
        <v>533</v>
      </c>
      <c r="J23" s="104" t="s">
        <v>533</v>
      </c>
      <c r="K23" s="104" t="s">
        <v>533</v>
      </c>
      <c r="L23" s="105" t="s">
        <v>534</v>
      </c>
      <c r="M23" s="105" t="s">
        <v>534</v>
      </c>
      <c r="N23" s="105" t="s">
        <v>534</v>
      </c>
      <c r="O23" s="105" t="s">
        <v>534</v>
      </c>
      <c r="P23" s="105" t="s">
        <v>534</v>
      </c>
      <c r="Q23" s="105" t="s">
        <v>534</v>
      </c>
      <c r="R23" s="38" t="s">
        <v>535</v>
      </c>
      <c r="S23" s="38" t="s">
        <v>535</v>
      </c>
      <c r="T23" s="38" t="s">
        <v>535</v>
      </c>
      <c r="U23" s="38" t="s">
        <v>535</v>
      </c>
      <c r="V23" s="38" t="s">
        <v>535</v>
      </c>
      <c r="W23" s="38" t="s">
        <v>535</v>
      </c>
      <c r="X23" s="38"/>
      <c r="Y23" s="16" t="s">
        <v>17</v>
      </c>
    </row>
    <row r="24" spans="2:25">
      <c r="B24" s="16"/>
      <c r="C24" s="16"/>
      <c r="D24" s="104" t="s">
        <v>536</v>
      </c>
      <c r="E24" s="104" t="s">
        <v>537</v>
      </c>
      <c r="F24" s="104" t="s">
        <v>538</v>
      </c>
      <c r="G24" s="104" t="s">
        <v>539</v>
      </c>
      <c r="H24" s="104" t="s">
        <v>540</v>
      </c>
      <c r="I24" s="104" t="s">
        <v>541</v>
      </c>
      <c r="J24" s="104" t="s">
        <v>542</v>
      </c>
      <c r="K24" s="104" t="s">
        <v>543</v>
      </c>
      <c r="L24" s="105" t="s">
        <v>544</v>
      </c>
      <c r="M24" s="105" t="s">
        <v>545</v>
      </c>
      <c r="N24" s="105" t="s">
        <v>546</v>
      </c>
      <c r="O24" s="105" t="s">
        <v>547</v>
      </c>
      <c r="P24" s="105" t="s">
        <v>548</v>
      </c>
      <c r="Q24" s="105" t="s">
        <v>549</v>
      </c>
      <c r="R24" s="16" t="s">
        <v>544</v>
      </c>
      <c r="S24" s="16" t="s">
        <v>550</v>
      </c>
      <c r="T24" s="16" t="s">
        <v>551</v>
      </c>
      <c r="U24" s="16" t="s">
        <v>552</v>
      </c>
      <c r="V24" s="16" t="s">
        <v>553</v>
      </c>
      <c r="W24" s="16" t="s">
        <v>554</v>
      </c>
      <c r="X24" s="16"/>
      <c r="Y24" s="16"/>
    </row>
    <row r="25" spans="2:25">
      <c r="B25" s="102" t="s">
        <v>624</v>
      </c>
      <c r="C25" s="69" t="s">
        <v>102</v>
      </c>
      <c r="D25" s="104">
        <v>3.6750482290114635E-2</v>
      </c>
      <c r="E25" s="104">
        <v>0.13844906197062287</v>
      </c>
      <c r="F25" s="104">
        <v>0.11063119792862412</v>
      </c>
      <c r="G25" s="104">
        <v>6.6479480086933246E-2</v>
      </c>
      <c r="H25" s="104">
        <v>0.23341638414835533</v>
      </c>
      <c r="I25" s="104">
        <v>0.12273136399621941</v>
      </c>
      <c r="J25" s="104">
        <v>2.8422258929885508E-2</v>
      </c>
      <c r="K25" s="104">
        <v>8.6180250231376557E-2</v>
      </c>
      <c r="L25" s="105">
        <v>0.11834264057156214</v>
      </c>
      <c r="M25" s="105">
        <v>2.9328515164490546E-2</v>
      </c>
      <c r="N25" s="105">
        <v>-3.9326557334363688E-2</v>
      </c>
      <c r="O25" s="105">
        <v>0.11523478859250637</v>
      </c>
      <c r="P25" s="105">
        <v>5.7740447888835665E-2</v>
      </c>
      <c r="Q25" s="105">
        <v>5.79676386629163E-2</v>
      </c>
      <c r="R25" s="16">
        <v>3.853716319759215E-2</v>
      </c>
      <c r="S25" s="16">
        <v>6.6757888781767097E-2</v>
      </c>
      <c r="T25" s="16">
        <v>9.5838191680511983E-2</v>
      </c>
      <c r="U25" s="16">
        <v>0.13727655262480432</v>
      </c>
      <c r="V25" s="16">
        <v>0.10904249772516163</v>
      </c>
      <c r="W25" s="16">
        <v>2.1159480126042214E-3</v>
      </c>
      <c r="X25" s="16"/>
      <c r="Y25" s="16">
        <f>AVERAGE(D25:W25)</f>
        <v>8.0595809757526019E-2</v>
      </c>
    </row>
    <row r="26" spans="2:25">
      <c r="B26" s="102" t="s">
        <v>624</v>
      </c>
      <c r="C26" s="69" t="s">
        <v>103</v>
      </c>
      <c r="D26" s="104">
        <v>0.17178876793512685</v>
      </c>
      <c r="E26" s="104">
        <v>0.23078536579548661</v>
      </c>
      <c r="F26" s="104">
        <v>0.26136105915520869</v>
      </c>
      <c r="G26" s="104">
        <v>0.25595110885547873</v>
      </c>
      <c r="H26" s="104">
        <v>0.51685175380521786</v>
      </c>
      <c r="I26" s="104">
        <v>0.22449633058879154</v>
      </c>
      <c r="J26" s="104">
        <v>0.20494192358132801</v>
      </c>
      <c r="K26" s="104">
        <v>0.20495896519233284</v>
      </c>
      <c r="L26" s="105">
        <v>0.50259470164211961</v>
      </c>
      <c r="M26" s="105">
        <v>0.39701092805276206</v>
      </c>
      <c r="N26" s="105">
        <v>0.22842551708562658</v>
      </c>
      <c r="O26" s="105">
        <v>0.67188134903971697</v>
      </c>
      <c r="P26" s="105">
        <v>0.29069974413351796</v>
      </c>
      <c r="Q26" s="105">
        <v>0.25099110471781766</v>
      </c>
      <c r="R26" s="16">
        <v>0.33473528267317121</v>
      </c>
      <c r="S26" s="16">
        <v>0.64855532527380355</v>
      </c>
      <c r="T26" s="16">
        <v>0.40314381949072986</v>
      </c>
      <c r="U26" s="16">
        <v>0.54453506059038359</v>
      </c>
      <c r="V26" s="16">
        <v>0.60732452475102383</v>
      </c>
      <c r="W26" s="16">
        <v>0.38744476499295349</v>
      </c>
      <c r="X26" s="16"/>
      <c r="Y26" s="16">
        <f t="shared" ref="Y26" si="3">AVERAGE(D26:W26)</f>
        <v>0.36692386986762993</v>
      </c>
    </row>
    <row r="30" spans="2:25">
      <c r="B30" s="108" t="s">
        <v>581</v>
      </c>
      <c r="C30" s="16"/>
      <c r="D30" s="16"/>
      <c r="E30" s="16"/>
      <c r="F30" s="16"/>
      <c r="G30" s="16"/>
      <c r="H30" s="16"/>
      <c r="I30" s="16"/>
      <c r="J30" s="16"/>
      <c r="K30" s="16"/>
      <c r="M30" s="108" t="s">
        <v>583</v>
      </c>
      <c r="N30" s="16"/>
      <c r="O30" s="16"/>
      <c r="P30" s="16"/>
      <c r="Q30" s="16"/>
      <c r="R30" s="16"/>
      <c r="S30" s="16"/>
      <c r="T30" s="16"/>
      <c r="U30" s="16"/>
      <c r="V30" s="16"/>
    </row>
    <row r="31" spans="2:25" ht="39">
      <c r="B31" s="65"/>
      <c r="C31" s="65" t="s">
        <v>313</v>
      </c>
      <c r="D31" s="65" t="s">
        <v>113</v>
      </c>
      <c r="E31" s="65" t="s">
        <v>579</v>
      </c>
      <c r="F31" s="65" t="s">
        <v>580</v>
      </c>
      <c r="G31" s="65" t="s">
        <v>316</v>
      </c>
      <c r="H31" s="65" t="s">
        <v>317</v>
      </c>
      <c r="I31" s="65" t="s">
        <v>318</v>
      </c>
      <c r="J31" s="65" t="s">
        <v>319</v>
      </c>
      <c r="K31" s="65" t="s">
        <v>320</v>
      </c>
      <c r="M31" s="65"/>
      <c r="N31" s="65" t="s">
        <v>313</v>
      </c>
      <c r="O31" s="65" t="s">
        <v>113</v>
      </c>
      <c r="P31" s="65" t="s">
        <v>582</v>
      </c>
      <c r="Q31" s="65" t="s">
        <v>580</v>
      </c>
      <c r="R31" s="65" t="s">
        <v>316</v>
      </c>
      <c r="S31" s="65" t="s">
        <v>317</v>
      </c>
      <c r="T31" s="65" t="s">
        <v>318</v>
      </c>
      <c r="U31" s="65" t="s">
        <v>319</v>
      </c>
      <c r="V31" s="65" t="s">
        <v>320</v>
      </c>
    </row>
    <row r="32" spans="2:25" ht="39">
      <c r="B32" s="69" t="s">
        <v>102</v>
      </c>
      <c r="C32" s="67" t="s">
        <v>89</v>
      </c>
      <c r="D32" s="61">
        <v>0.55593599999999999</v>
      </c>
      <c r="E32" s="67">
        <v>0.1391</v>
      </c>
      <c r="F32" s="67">
        <v>0.1215</v>
      </c>
      <c r="G32" s="67">
        <v>1.763E-2</v>
      </c>
      <c r="H32" s="67">
        <v>2.9669999999999998E-2</v>
      </c>
      <c r="I32" s="67">
        <v>0.59409999999999996</v>
      </c>
      <c r="J32" s="67">
        <v>38</v>
      </c>
      <c r="K32" s="67">
        <v>0.95147300000000001</v>
      </c>
      <c r="M32" s="69" t="s">
        <v>555</v>
      </c>
      <c r="N32" s="67" t="s">
        <v>89</v>
      </c>
      <c r="O32" s="61">
        <v>0.13644400000000001</v>
      </c>
      <c r="P32" s="67">
        <v>5.0630000000000001E-2</v>
      </c>
      <c r="Q32" s="67">
        <v>8.0600000000000005E-2</v>
      </c>
      <c r="R32" s="67">
        <v>-2.9960000000000001E-2</v>
      </c>
      <c r="S32" s="67">
        <v>1.9689999999999999E-2</v>
      </c>
      <c r="T32" s="67">
        <v>1.5209999999999999</v>
      </c>
      <c r="U32" s="67">
        <v>38</v>
      </c>
      <c r="V32" s="67">
        <v>0.13780800000000001</v>
      </c>
    </row>
    <row r="33" spans="2:22">
      <c r="B33" s="69" t="s">
        <v>103</v>
      </c>
      <c r="C33" s="67" t="s">
        <v>89</v>
      </c>
      <c r="D33" s="61">
        <v>0.56890200000000002</v>
      </c>
      <c r="E33" s="67">
        <v>0.23100000000000001</v>
      </c>
      <c r="F33" s="67">
        <v>0.2576</v>
      </c>
      <c r="G33" s="67">
        <v>-2.656E-2</v>
      </c>
      <c r="H33" s="67">
        <v>4.6219999999999997E-2</v>
      </c>
      <c r="I33" s="67">
        <v>0.57469999999999999</v>
      </c>
      <c r="J33" s="67">
        <v>38</v>
      </c>
      <c r="K33" s="67">
        <v>0.95147300000000001</v>
      </c>
      <c r="M33" s="69" t="s">
        <v>556</v>
      </c>
      <c r="N33" s="67" t="s">
        <v>89</v>
      </c>
      <c r="O33" s="61">
        <v>6.8139999999999997E-3</v>
      </c>
      <c r="P33" s="67">
        <v>0.2382</v>
      </c>
      <c r="Q33" s="67">
        <v>0.3669</v>
      </c>
      <c r="R33" s="67">
        <v>-0.12870000000000001</v>
      </c>
      <c r="S33" s="67">
        <v>4.4979999999999999E-2</v>
      </c>
      <c r="T33" s="67">
        <v>2.8620000000000001</v>
      </c>
      <c r="U33" s="67">
        <v>38</v>
      </c>
      <c r="V33" s="67">
        <v>2.7529000000000001E-2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49DC2-8F95-4FF9-BE83-8B58A4D4FD86}">
  <dimension ref="B3:J73"/>
  <sheetViews>
    <sheetView workbookViewId="0">
      <selection activeCell="N53" sqref="N53"/>
    </sheetView>
  </sheetViews>
  <sheetFormatPr defaultRowHeight="15"/>
  <cols>
    <col min="2" max="2" width="19" customWidth="1"/>
    <col min="3" max="3" width="19.7109375" customWidth="1"/>
    <col min="9" max="9" width="14.5703125" customWidth="1"/>
    <col min="10" max="10" width="14.7109375" customWidth="1"/>
  </cols>
  <sheetData>
    <row r="3" spans="2:10">
      <c r="B3" t="s">
        <v>593</v>
      </c>
      <c r="I3" t="s">
        <v>586</v>
      </c>
    </row>
    <row r="5" spans="2:10" ht="15.75">
      <c r="B5" s="80" t="s">
        <v>592</v>
      </c>
      <c r="C5" s="81"/>
      <c r="I5" s="80" t="s">
        <v>587</v>
      </c>
      <c r="J5" s="81"/>
    </row>
    <row r="6" spans="2:10" ht="27.75">
      <c r="B6" s="68" t="s">
        <v>584</v>
      </c>
      <c r="C6" s="68" t="s">
        <v>360</v>
      </c>
      <c r="I6" s="68" t="s">
        <v>584</v>
      </c>
      <c r="J6" s="68" t="s">
        <v>360</v>
      </c>
    </row>
    <row r="7" spans="2:10">
      <c r="B7" s="79">
        <v>5</v>
      </c>
      <c r="C7" s="79">
        <v>3</v>
      </c>
      <c r="I7" s="79">
        <v>36</v>
      </c>
      <c r="J7" s="79">
        <v>39</v>
      </c>
    </row>
    <row r="8" spans="2:10">
      <c r="B8" s="79">
        <v>5</v>
      </c>
      <c r="C8" s="79">
        <v>7</v>
      </c>
      <c r="I8" s="79">
        <v>33</v>
      </c>
      <c r="J8" s="79">
        <v>29</v>
      </c>
    </row>
    <row r="9" spans="2:10">
      <c r="B9" s="79">
        <v>1</v>
      </c>
      <c r="C9" s="79">
        <v>4</v>
      </c>
      <c r="I9" s="79">
        <v>33</v>
      </c>
      <c r="J9" s="79">
        <v>32</v>
      </c>
    </row>
    <row r="10" spans="2:10">
      <c r="B10" s="79">
        <v>2</v>
      </c>
      <c r="C10" s="79">
        <v>6</v>
      </c>
      <c r="I10" s="79">
        <v>37</v>
      </c>
      <c r="J10" s="79">
        <v>32</v>
      </c>
    </row>
    <row r="11" spans="2:10">
      <c r="B11" s="79">
        <v>6</v>
      </c>
      <c r="C11" s="79">
        <v>7</v>
      </c>
      <c r="I11" s="79">
        <v>38</v>
      </c>
      <c r="J11" s="79">
        <v>39</v>
      </c>
    </row>
    <row r="12" spans="2:10">
      <c r="B12" s="79">
        <v>4</v>
      </c>
      <c r="C12" s="79">
        <v>5</v>
      </c>
      <c r="I12" s="79">
        <v>27</v>
      </c>
      <c r="J12" s="79">
        <v>33</v>
      </c>
    </row>
    <row r="13" spans="2:10">
      <c r="B13" s="79">
        <v>6</v>
      </c>
      <c r="C13" s="79">
        <v>7</v>
      </c>
      <c r="I13" s="79">
        <v>38</v>
      </c>
      <c r="J13" s="79">
        <v>29</v>
      </c>
    </row>
    <row r="14" spans="2:10">
      <c r="B14" s="79">
        <v>4</v>
      </c>
      <c r="C14" s="79">
        <v>7</v>
      </c>
      <c r="I14" s="79">
        <v>38</v>
      </c>
      <c r="J14" s="79">
        <v>31</v>
      </c>
    </row>
    <row r="15" spans="2:10">
      <c r="B15" s="79">
        <v>6</v>
      </c>
      <c r="C15" s="79">
        <v>7</v>
      </c>
      <c r="I15" s="79">
        <v>30</v>
      </c>
      <c r="J15" s="79">
        <v>32</v>
      </c>
    </row>
    <row r="16" spans="2:10">
      <c r="B16" s="79">
        <v>4</v>
      </c>
      <c r="C16" s="79">
        <v>6</v>
      </c>
      <c r="I16" s="79">
        <v>31</v>
      </c>
      <c r="J16" s="79">
        <v>41</v>
      </c>
    </row>
    <row r="17" spans="2:10">
      <c r="B17" s="79">
        <v>4</v>
      </c>
      <c r="C17" s="79">
        <v>4</v>
      </c>
      <c r="I17" s="79">
        <v>42</v>
      </c>
      <c r="J17" s="79">
        <v>32</v>
      </c>
    </row>
    <row r="18" spans="2:10">
      <c r="B18" s="79">
        <v>3</v>
      </c>
      <c r="C18" s="79">
        <v>4</v>
      </c>
      <c r="I18" s="79">
        <v>31</v>
      </c>
      <c r="J18" s="79">
        <v>38</v>
      </c>
    </row>
    <row r="19" spans="2:10">
      <c r="B19" s="79">
        <v>4</v>
      </c>
      <c r="C19" s="79">
        <v>3</v>
      </c>
      <c r="I19" s="79">
        <v>41</v>
      </c>
      <c r="J19" s="79">
        <v>36</v>
      </c>
    </row>
    <row r="20" spans="2:10">
      <c r="B20" s="79">
        <v>5</v>
      </c>
      <c r="C20" s="79">
        <v>10</v>
      </c>
      <c r="I20" s="79">
        <v>33</v>
      </c>
      <c r="J20" s="79">
        <v>31</v>
      </c>
    </row>
    <row r="21" spans="2:10">
      <c r="B21" s="79">
        <v>4</v>
      </c>
      <c r="C21" s="79">
        <v>4</v>
      </c>
      <c r="I21" s="79">
        <v>27</v>
      </c>
      <c r="J21" s="79">
        <v>37</v>
      </c>
    </row>
    <row r="22" spans="2:10">
      <c r="B22" s="79">
        <v>8</v>
      </c>
      <c r="C22" s="79">
        <v>4</v>
      </c>
      <c r="I22" s="79">
        <v>32</v>
      </c>
      <c r="J22" s="79">
        <v>34</v>
      </c>
    </row>
    <row r="23" spans="2:10">
      <c r="B23" s="79">
        <v>5</v>
      </c>
      <c r="C23" s="79">
        <v>4</v>
      </c>
      <c r="I23" s="79">
        <v>33</v>
      </c>
      <c r="J23" s="79">
        <v>34</v>
      </c>
    </row>
    <row r="24" spans="2:10">
      <c r="B24" s="79">
        <v>5</v>
      </c>
      <c r="C24" s="79">
        <v>7</v>
      </c>
      <c r="I24" s="79">
        <v>35</v>
      </c>
      <c r="J24" s="79">
        <v>26</v>
      </c>
    </row>
    <row r="25" spans="2:10">
      <c r="B25" s="79">
        <v>4</v>
      </c>
      <c r="C25" s="79">
        <v>6</v>
      </c>
      <c r="I25" s="79">
        <v>32</v>
      </c>
      <c r="J25" s="79">
        <v>33</v>
      </c>
    </row>
    <row r="26" spans="2:10">
      <c r="B26" s="79">
        <v>5</v>
      </c>
      <c r="C26" s="79">
        <v>6</v>
      </c>
      <c r="I26" s="79">
        <v>40</v>
      </c>
      <c r="J26" s="79">
        <v>33</v>
      </c>
    </row>
    <row r="27" spans="2:10">
      <c r="B27" s="79">
        <v>5</v>
      </c>
      <c r="C27" s="79">
        <v>6</v>
      </c>
      <c r="I27" s="79">
        <v>40</v>
      </c>
      <c r="J27" s="79">
        <v>39</v>
      </c>
    </row>
    <row r="28" spans="2:10">
      <c r="B28" s="79">
        <v>4</v>
      </c>
      <c r="C28" s="79">
        <v>7</v>
      </c>
      <c r="I28" s="79">
        <v>29</v>
      </c>
      <c r="J28" s="79">
        <v>32</v>
      </c>
    </row>
    <row r="29" spans="2:10">
      <c r="B29" s="79">
        <v>3</v>
      </c>
      <c r="C29" s="79">
        <v>8</v>
      </c>
      <c r="I29" s="79">
        <v>27</v>
      </c>
      <c r="J29" s="79">
        <v>33</v>
      </c>
    </row>
    <row r="30" spans="2:10">
      <c r="B30" s="79">
        <v>6</v>
      </c>
      <c r="C30" s="79">
        <v>6</v>
      </c>
      <c r="I30" s="79">
        <v>32</v>
      </c>
      <c r="J30" s="79">
        <v>38</v>
      </c>
    </row>
    <row r="31" spans="2:10">
      <c r="B31" s="79">
        <v>6</v>
      </c>
      <c r="C31" s="79">
        <v>11</v>
      </c>
      <c r="I31" s="79">
        <v>32</v>
      </c>
      <c r="J31" s="79"/>
    </row>
    <row r="32" spans="2:10">
      <c r="B32" s="79">
        <v>3</v>
      </c>
      <c r="C32" s="79">
        <v>6</v>
      </c>
      <c r="I32" s="79">
        <v>35</v>
      </c>
      <c r="J32" s="79"/>
    </row>
    <row r="33" spans="2:10">
      <c r="B33" s="79">
        <v>4</v>
      </c>
      <c r="C33" s="79">
        <v>7</v>
      </c>
      <c r="I33" s="79">
        <v>37</v>
      </c>
      <c r="J33" s="79"/>
    </row>
    <row r="34" spans="2:10">
      <c r="B34" s="79">
        <v>4</v>
      </c>
      <c r="C34" s="79">
        <v>7</v>
      </c>
      <c r="I34" s="79">
        <v>33</v>
      </c>
      <c r="J34" s="79"/>
    </row>
    <row r="35" spans="2:10">
      <c r="B35" s="79">
        <v>3</v>
      </c>
      <c r="C35" s="79">
        <v>6</v>
      </c>
      <c r="I35" s="79">
        <v>31</v>
      </c>
      <c r="J35" s="79"/>
    </row>
    <row r="36" spans="2:10">
      <c r="B36" s="79">
        <v>3</v>
      </c>
      <c r="C36" s="79"/>
      <c r="I36" s="79">
        <v>34</v>
      </c>
      <c r="J36" s="79"/>
    </row>
    <row r="37" spans="2:10">
      <c r="B37" s="79">
        <v>7</v>
      </c>
      <c r="C37" s="79"/>
      <c r="I37" s="79">
        <v>37</v>
      </c>
      <c r="J37" s="79"/>
    </row>
    <row r="38" spans="2:10">
      <c r="B38" s="79">
        <v>5</v>
      </c>
      <c r="C38" s="79"/>
      <c r="I38" s="79">
        <v>34</v>
      </c>
      <c r="J38" s="79"/>
    </row>
    <row r="39" spans="2:10">
      <c r="B39" s="79">
        <v>3</v>
      </c>
      <c r="C39" s="79"/>
    </row>
    <row r="40" spans="2:10">
      <c r="B40" s="79">
        <v>6</v>
      </c>
      <c r="C40" s="79"/>
    </row>
    <row r="41" spans="2:10">
      <c r="B41" s="79">
        <v>4</v>
      </c>
      <c r="C41" s="79"/>
      <c r="I41" s="69" t="s">
        <v>109</v>
      </c>
      <c r="J41" s="93" t="s">
        <v>585</v>
      </c>
    </row>
    <row r="42" spans="2:10">
      <c r="B42" s="79">
        <v>6</v>
      </c>
      <c r="C42" s="79"/>
      <c r="I42" s="69" t="s">
        <v>110</v>
      </c>
      <c r="J42" s="67" t="s">
        <v>110</v>
      </c>
    </row>
    <row r="43" spans="2:10" ht="26.25">
      <c r="I43" s="69" t="s">
        <v>111</v>
      </c>
      <c r="J43" s="93" t="s">
        <v>584</v>
      </c>
    </row>
    <row r="44" spans="2:10">
      <c r="B44" s="2"/>
      <c r="C44" s="2"/>
      <c r="I44" s="69"/>
      <c r="J44" s="67"/>
    </row>
    <row r="45" spans="2:10" ht="39">
      <c r="B45" s="87" t="s">
        <v>107</v>
      </c>
      <c r="C45" s="67" t="s">
        <v>598</v>
      </c>
      <c r="I45" s="69" t="s">
        <v>112</v>
      </c>
      <c r="J45" s="67"/>
    </row>
    <row r="46" spans="2:10">
      <c r="B46" s="87"/>
      <c r="C46" s="79"/>
      <c r="I46" s="69" t="s">
        <v>113</v>
      </c>
      <c r="J46" s="61">
        <v>0.90629999999999999</v>
      </c>
    </row>
    <row r="47" spans="2:10" ht="26.25">
      <c r="B47" s="87" t="s">
        <v>109</v>
      </c>
      <c r="C47" s="109" t="s">
        <v>585</v>
      </c>
      <c r="I47" s="69" t="s">
        <v>77</v>
      </c>
      <c r="J47" s="67" t="s">
        <v>88</v>
      </c>
    </row>
    <row r="48" spans="2:10" ht="39">
      <c r="B48" s="87" t="s">
        <v>110</v>
      </c>
      <c r="C48" s="79" t="s">
        <v>110</v>
      </c>
      <c r="I48" s="69" t="s">
        <v>114</v>
      </c>
      <c r="J48" s="67" t="s">
        <v>89</v>
      </c>
    </row>
    <row r="49" spans="2:10" ht="26.25">
      <c r="B49" s="87" t="s">
        <v>111</v>
      </c>
      <c r="C49" s="110" t="s">
        <v>584</v>
      </c>
      <c r="I49" s="69" t="s">
        <v>115</v>
      </c>
      <c r="J49" s="67" t="s">
        <v>116</v>
      </c>
    </row>
    <row r="50" spans="2:10">
      <c r="B50" s="87"/>
      <c r="C50" s="79"/>
      <c r="I50" s="69" t="s">
        <v>117</v>
      </c>
      <c r="J50" s="67" t="s">
        <v>588</v>
      </c>
    </row>
    <row r="51" spans="2:10">
      <c r="B51" s="87" t="s">
        <v>112</v>
      </c>
      <c r="C51" s="79"/>
      <c r="I51" s="69"/>
      <c r="J51" s="67"/>
    </row>
    <row r="52" spans="2:10" ht="26.25">
      <c r="B52" s="87" t="s">
        <v>113</v>
      </c>
      <c r="C52" s="77">
        <v>4.0000000000000002E-4</v>
      </c>
      <c r="I52" s="69" t="s">
        <v>119</v>
      </c>
      <c r="J52" s="67"/>
    </row>
    <row r="53" spans="2:10" ht="26.25">
      <c r="B53" s="87" t="s">
        <v>77</v>
      </c>
      <c r="C53" s="79" t="s">
        <v>165</v>
      </c>
      <c r="I53" s="69" t="s">
        <v>120</v>
      </c>
      <c r="J53" s="67">
        <v>34</v>
      </c>
    </row>
    <row r="54" spans="2:10" ht="26.25">
      <c r="B54" s="87" t="s">
        <v>114</v>
      </c>
      <c r="C54" s="79" t="s">
        <v>80</v>
      </c>
      <c r="I54" s="69" t="s">
        <v>121</v>
      </c>
      <c r="J54" s="67">
        <v>33.880000000000003</v>
      </c>
    </row>
    <row r="55" spans="2:10" ht="39">
      <c r="B55" s="87" t="s">
        <v>115</v>
      </c>
      <c r="C55" s="79" t="s">
        <v>116</v>
      </c>
      <c r="I55" s="69" t="s">
        <v>122</v>
      </c>
      <c r="J55" s="67" t="s">
        <v>589</v>
      </c>
    </row>
    <row r="56" spans="2:10" ht="26.25">
      <c r="B56" s="87" t="s">
        <v>117</v>
      </c>
      <c r="C56" s="79" t="s">
        <v>594</v>
      </c>
      <c r="I56" s="69" t="s">
        <v>83</v>
      </c>
      <c r="J56" s="67" t="s">
        <v>590</v>
      </c>
    </row>
    <row r="57" spans="2:10" ht="26.25">
      <c r="B57" s="87"/>
      <c r="C57" s="79"/>
      <c r="I57" s="69" t="s">
        <v>125</v>
      </c>
      <c r="J57" s="67">
        <v>2.5920000000000001E-4</v>
      </c>
    </row>
    <row r="58" spans="2:10">
      <c r="B58" s="87" t="s">
        <v>119</v>
      </c>
      <c r="C58" s="79"/>
      <c r="I58" s="69"/>
      <c r="J58" s="67"/>
    </row>
    <row r="59" spans="2:10" ht="39">
      <c r="B59" s="87" t="s">
        <v>120</v>
      </c>
      <c r="C59" s="79">
        <v>4.5</v>
      </c>
      <c r="I59" s="69" t="s">
        <v>126</v>
      </c>
      <c r="J59" s="67"/>
    </row>
    <row r="60" spans="2:10">
      <c r="B60" s="87" t="s">
        <v>121</v>
      </c>
      <c r="C60" s="79">
        <v>6.0339999999999998</v>
      </c>
      <c r="I60" s="69" t="s">
        <v>127</v>
      </c>
      <c r="J60" s="67" t="s">
        <v>591</v>
      </c>
    </row>
    <row r="61" spans="2:10">
      <c r="B61" s="87" t="s">
        <v>122</v>
      </c>
      <c r="C61" s="79" t="s">
        <v>595</v>
      </c>
      <c r="I61" s="69" t="s">
        <v>113</v>
      </c>
      <c r="J61" s="67">
        <v>0.74199999999999999</v>
      </c>
    </row>
    <row r="62" spans="2:10" ht="26.25">
      <c r="B62" s="87" t="s">
        <v>83</v>
      </c>
      <c r="C62" s="79" t="s">
        <v>596</v>
      </c>
      <c r="I62" s="69" t="s">
        <v>77</v>
      </c>
      <c r="J62" s="67" t="s">
        <v>88</v>
      </c>
    </row>
    <row r="63" spans="2:10" ht="39">
      <c r="B63" s="87" t="s">
        <v>125</v>
      </c>
      <c r="C63" s="79">
        <v>0.18379999999999999</v>
      </c>
      <c r="I63" s="69" t="s">
        <v>114</v>
      </c>
      <c r="J63" s="67" t="s">
        <v>89</v>
      </c>
    </row>
    <row r="64" spans="2:10">
      <c r="B64" s="87"/>
      <c r="C64" s="79"/>
      <c r="I64" s="69"/>
      <c r="J64" s="67"/>
    </row>
    <row r="65" spans="2:10">
      <c r="B65" s="87" t="s">
        <v>126</v>
      </c>
      <c r="C65" s="79"/>
      <c r="I65" s="69" t="s">
        <v>129</v>
      </c>
      <c r="J65" s="67"/>
    </row>
    <row r="66" spans="2:10" ht="26.25">
      <c r="B66" s="87" t="s">
        <v>127</v>
      </c>
      <c r="C66" s="79" t="s">
        <v>597</v>
      </c>
      <c r="I66" s="69" t="s">
        <v>130</v>
      </c>
      <c r="J66" s="67">
        <v>32</v>
      </c>
    </row>
    <row r="67" spans="2:10" ht="26.25">
      <c r="B67" s="87" t="s">
        <v>113</v>
      </c>
      <c r="C67" s="79">
        <v>0.13389999999999999</v>
      </c>
      <c r="I67" s="69" t="s">
        <v>131</v>
      </c>
      <c r="J67" s="67">
        <v>24</v>
      </c>
    </row>
    <row r="68" spans="2:10">
      <c r="B68" s="87" t="s">
        <v>77</v>
      </c>
      <c r="C68" s="79" t="s">
        <v>88</v>
      </c>
    </row>
    <row r="69" spans="2:10">
      <c r="B69" s="87" t="s">
        <v>114</v>
      </c>
      <c r="C69" s="79" t="s">
        <v>89</v>
      </c>
    </row>
    <row r="70" spans="2:10">
      <c r="B70" s="87"/>
      <c r="C70" s="79"/>
    </row>
    <row r="71" spans="2:10">
      <c r="B71" s="87" t="s">
        <v>129</v>
      </c>
      <c r="C71" s="79"/>
    </row>
    <row r="72" spans="2:10">
      <c r="B72" s="87" t="s">
        <v>130</v>
      </c>
      <c r="C72" s="79">
        <v>36</v>
      </c>
    </row>
    <row r="73" spans="2:10">
      <c r="B73" s="87" t="s">
        <v>131</v>
      </c>
      <c r="C73" s="79">
        <v>29</v>
      </c>
    </row>
  </sheetData>
  <mergeCells count="2">
    <mergeCell ref="I5:J5"/>
    <mergeCell ref="B5:C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A066F-48DD-450D-AF8E-0E6B1CAD37F9}">
  <dimension ref="B3:S20"/>
  <sheetViews>
    <sheetView workbookViewId="0">
      <selection activeCell="L31" sqref="L31"/>
    </sheetView>
  </sheetViews>
  <sheetFormatPr defaultRowHeight="15"/>
  <cols>
    <col min="1" max="16384" width="9.140625" style="6"/>
  </cols>
  <sheetData>
    <row r="3" spans="2:19">
      <c r="B3" s="6" t="s">
        <v>599</v>
      </c>
    </row>
    <row r="6" spans="2:19">
      <c r="B6" s="6" t="s">
        <v>615</v>
      </c>
    </row>
    <row r="7" spans="2:19">
      <c r="B7" s="102"/>
      <c r="C7" s="102"/>
      <c r="D7" s="102" t="s">
        <v>205</v>
      </c>
      <c r="E7" s="102" t="s">
        <v>207</v>
      </c>
      <c r="F7" s="102" t="s">
        <v>209</v>
      </c>
      <c r="G7" s="102" t="s">
        <v>211</v>
      </c>
      <c r="H7" s="102" t="s">
        <v>213</v>
      </c>
      <c r="I7" s="102" t="s">
        <v>218</v>
      </c>
      <c r="J7" s="102" t="s">
        <v>610</v>
      </c>
      <c r="K7" s="102" t="s">
        <v>611</v>
      </c>
      <c r="L7" s="102" t="s">
        <v>616</v>
      </c>
      <c r="M7" s="102" t="s">
        <v>612</v>
      </c>
      <c r="N7" s="102" t="s">
        <v>613</v>
      </c>
      <c r="O7" s="102" t="s">
        <v>617</v>
      </c>
      <c r="P7" s="102" t="s">
        <v>618</v>
      </c>
      <c r="Q7" s="102" t="s">
        <v>239</v>
      </c>
    </row>
    <row r="8" spans="2:19">
      <c r="B8" s="102" t="s">
        <v>624</v>
      </c>
      <c r="C8" s="111" t="s">
        <v>102</v>
      </c>
      <c r="D8" s="102">
        <v>4.9963796924610265E-3</v>
      </c>
      <c r="E8" s="102">
        <v>8.052353734603895E-3</v>
      </c>
      <c r="F8" s="102">
        <v>-2.7457415328531066E-3</v>
      </c>
      <c r="G8" s="102">
        <v>5.3290181739934343E-4</v>
      </c>
      <c r="H8" s="102">
        <v>7.3297530516140972E-3</v>
      </c>
      <c r="I8" s="102">
        <v>7.1509808746530257E-3</v>
      </c>
      <c r="J8" s="102">
        <v>6.8520882006103082E-2</v>
      </c>
      <c r="K8" s="102">
        <v>5.6171518702038091E-3</v>
      </c>
      <c r="L8" s="102">
        <v>1.1176990824272202E-2</v>
      </c>
      <c r="M8" s="102">
        <v>1.0195121146213254E-3</v>
      </c>
      <c r="N8" s="102">
        <v>-1.0708501072350463E-3</v>
      </c>
      <c r="O8" s="102">
        <v>1.2003225438027291E-2</v>
      </c>
      <c r="P8" s="102">
        <v>1.0041408669823299E-2</v>
      </c>
      <c r="Q8" s="102">
        <v>1.0201919111822635E-2</v>
      </c>
    </row>
    <row r="9" spans="2:19">
      <c r="B9" s="102" t="s">
        <v>624</v>
      </c>
      <c r="C9" s="111" t="s">
        <v>103</v>
      </c>
      <c r="D9" s="102">
        <v>0.2056832118202801</v>
      </c>
      <c r="E9" s="102">
        <v>0.18019772630373182</v>
      </c>
      <c r="F9" s="102">
        <v>0.15296968424414367</v>
      </c>
      <c r="G9" s="102">
        <v>0.15825985455078367</v>
      </c>
      <c r="H9" s="102">
        <v>4.5852531178242444E-2</v>
      </c>
      <c r="I9" s="102">
        <v>0.14003104827949381</v>
      </c>
      <c r="J9" s="102">
        <v>0.2663440406513703</v>
      </c>
      <c r="K9" s="102">
        <v>0.11885595074348848</v>
      </c>
      <c r="L9" s="102">
        <v>0.21541375196748427</v>
      </c>
      <c r="M9" s="102">
        <v>0.17496621904221529</v>
      </c>
      <c r="N9" s="102">
        <v>0.25795878227044872</v>
      </c>
      <c r="O9" s="102">
        <v>0.2626337761041847</v>
      </c>
      <c r="P9" s="102">
        <v>0.13437415671513064</v>
      </c>
      <c r="Q9" s="102">
        <v>0.17796467183623063</v>
      </c>
    </row>
    <row r="10" spans="2:19">
      <c r="C10" s="112"/>
    </row>
    <row r="11" spans="2:19">
      <c r="B11" s="6" t="s">
        <v>614</v>
      </c>
      <c r="C11" s="112"/>
    </row>
    <row r="12" spans="2:19">
      <c r="B12" s="102"/>
      <c r="C12" s="111"/>
      <c r="D12" s="102" t="s">
        <v>600</v>
      </c>
      <c r="E12" s="102" t="s">
        <v>601</v>
      </c>
      <c r="F12" s="102" t="s">
        <v>602</v>
      </c>
      <c r="G12" s="102" t="s">
        <v>603</v>
      </c>
      <c r="H12" s="102" t="s">
        <v>604</v>
      </c>
      <c r="I12" s="102" t="s">
        <v>605</v>
      </c>
      <c r="J12" s="102" t="s">
        <v>606</v>
      </c>
      <c r="K12" s="102" t="s">
        <v>607</v>
      </c>
      <c r="L12" s="102" t="s">
        <v>608</v>
      </c>
      <c r="M12" s="102" t="s">
        <v>609</v>
      </c>
      <c r="N12" s="102" t="s">
        <v>619</v>
      </c>
      <c r="O12" s="102" t="s">
        <v>620</v>
      </c>
      <c r="P12" s="102" t="s">
        <v>621</v>
      </c>
      <c r="Q12" s="102" t="s">
        <v>622</v>
      </c>
      <c r="R12" s="102" t="s">
        <v>623</v>
      </c>
      <c r="S12" s="102" t="s">
        <v>239</v>
      </c>
    </row>
    <row r="13" spans="2:19">
      <c r="B13" s="102" t="s">
        <v>624</v>
      </c>
      <c r="C13" s="111" t="s">
        <v>102</v>
      </c>
      <c r="D13" s="102">
        <v>-1.9547847509791258E-2</v>
      </c>
      <c r="E13" s="102">
        <v>2.6236751104337569E-2</v>
      </c>
      <c r="F13" s="102">
        <v>-3.7194482865786672E-2</v>
      </c>
      <c r="G13" s="102">
        <v>3.257139673832872E-2</v>
      </c>
      <c r="H13" s="102">
        <v>2.523758703504695E-2</v>
      </c>
      <c r="I13" s="102">
        <v>-1.6366699842477483E-3</v>
      </c>
      <c r="J13" s="102">
        <v>-1.9701989823560837E-2</v>
      </c>
      <c r="K13" s="102">
        <v>4.976110260486848E-3</v>
      </c>
      <c r="L13" s="102">
        <v>-5.3343747963149481E-2</v>
      </c>
      <c r="M13" s="102">
        <v>-1.6263196666181392E-2</v>
      </c>
      <c r="N13" s="102">
        <v>3.7363885428693844E-2</v>
      </c>
      <c r="O13" s="102">
        <v>-3.8167947715526146E-2</v>
      </c>
      <c r="P13" s="102">
        <v>2.863648754238984E-2</v>
      </c>
      <c r="Q13" s="102">
        <v>3.8726057536565217E-2</v>
      </c>
      <c r="R13" s="102">
        <v>2.664026849775036E-2</v>
      </c>
      <c r="S13" s="102">
        <v>2.3021774410237205E-3</v>
      </c>
    </row>
    <row r="14" spans="2:19">
      <c r="B14" s="102" t="s">
        <v>624</v>
      </c>
      <c r="C14" s="111" t="s">
        <v>103</v>
      </c>
      <c r="D14" s="102">
        <v>0.21386691899530944</v>
      </c>
      <c r="E14" s="102">
        <v>0.23335574234354853</v>
      </c>
      <c r="F14" s="102">
        <v>0.41740112722192418</v>
      </c>
      <c r="G14" s="102">
        <v>0.22995472790728083</v>
      </c>
      <c r="H14" s="102">
        <v>0.20102312424217919</v>
      </c>
      <c r="I14" s="102">
        <v>0.20171970155115951</v>
      </c>
      <c r="J14" s="102">
        <v>0.1113542712403516</v>
      </c>
      <c r="K14" s="102">
        <v>0.18868237346088446</v>
      </c>
      <c r="L14" s="102">
        <v>0.30588827021115256</v>
      </c>
      <c r="M14" s="102">
        <v>0.32755819468679459</v>
      </c>
      <c r="N14" s="102">
        <v>0.20144531594274345</v>
      </c>
      <c r="O14" s="102">
        <v>0.26228751522884425</v>
      </c>
      <c r="P14" s="102">
        <v>0.31141680276444617</v>
      </c>
      <c r="Q14" s="102">
        <v>0.1684963563620262</v>
      </c>
      <c r="R14" s="102">
        <v>0.31344814684319461</v>
      </c>
      <c r="S14" s="102">
        <v>0.245859905933456</v>
      </c>
    </row>
    <row r="18" spans="2:11">
      <c r="B18" s="85"/>
      <c r="C18" s="85" t="s">
        <v>313</v>
      </c>
      <c r="D18" s="76" t="s">
        <v>113</v>
      </c>
      <c r="E18" s="85" t="s">
        <v>527</v>
      </c>
      <c r="F18" s="85" t="s">
        <v>528</v>
      </c>
      <c r="G18" s="85" t="s">
        <v>316</v>
      </c>
      <c r="H18" s="85" t="s">
        <v>317</v>
      </c>
      <c r="I18" s="85" t="s">
        <v>318</v>
      </c>
      <c r="J18" s="85" t="s">
        <v>319</v>
      </c>
      <c r="K18" s="85" t="s">
        <v>320</v>
      </c>
    </row>
    <row r="19" spans="2:11">
      <c r="B19" s="87" t="s">
        <v>32</v>
      </c>
      <c r="C19" s="79" t="s">
        <v>89</v>
      </c>
      <c r="D19" s="77">
        <v>0.41230899999999998</v>
      </c>
      <c r="E19" s="79">
        <v>1.0200000000000001E-2</v>
      </c>
      <c r="F19" s="79">
        <v>2.3029999999999999E-3</v>
      </c>
      <c r="G19" s="79">
        <v>7.8989999999999998E-3</v>
      </c>
      <c r="H19" s="79">
        <v>9.4599999999999997E-3</v>
      </c>
      <c r="I19" s="79">
        <v>0.83499999999999996</v>
      </c>
      <c r="J19" s="79">
        <v>23.04</v>
      </c>
      <c r="K19" s="79">
        <v>0.41643200000000002</v>
      </c>
    </row>
    <row r="20" spans="2:11">
      <c r="B20" s="87" t="s">
        <v>625</v>
      </c>
      <c r="C20" s="79" t="s">
        <v>89</v>
      </c>
      <c r="D20" s="77">
        <v>1.7173999999999998E-2</v>
      </c>
      <c r="E20" s="79">
        <v>0.17799999999999999</v>
      </c>
      <c r="F20" s="79">
        <v>0.24590000000000001</v>
      </c>
      <c r="G20" s="79">
        <v>-6.7900000000000002E-2</v>
      </c>
      <c r="H20" s="79">
        <v>2.6669999999999999E-2</v>
      </c>
      <c r="I20" s="79">
        <v>2.5459999999999998</v>
      </c>
      <c r="J20" s="79">
        <v>25.95</v>
      </c>
      <c r="K20" s="79">
        <v>3.4692000000000001E-2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CD25E-C5B8-465E-9D35-2BBDEABF62C2}">
  <dimension ref="B2:Y65"/>
  <sheetViews>
    <sheetView workbookViewId="0">
      <selection activeCell="M28" sqref="M28"/>
    </sheetView>
  </sheetViews>
  <sheetFormatPr defaultRowHeight="15"/>
  <cols>
    <col min="1" max="1" width="1.85546875" customWidth="1"/>
    <col min="2" max="2" width="6.7109375" customWidth="1"/>
    <col min="3" max="3" width="3.28515625" customWidth="1"/>
    <col min="4" max="4" width="8.7109375" customWidth="1"/>
    <col min="6" max="6" width="9.7109375" customWidth="1"/>
    <col min="9" max="9" width="9.140625" style="4"/>
    <col min="10" max="10" width="9.140625" style="5"/>
    <col min="13" max="13" width="50.140625" customWidth="1"/>
  </cols>
  <sheetData>
    <row r="2" spans="2:25">
      <c r="B2" t="s">
        <v>31</v>
      </c>
      <c r="D2" t="s">
        <v>32</v>
      </c>
      <c r="F2" t="s">
        <v>33</v>
      </c>
    </row>
    <row r="3" spans="2:25">
      <c r="D3" t="s">
        <v>51</v>
      </c>
      <c r="F3" t="s">
        <v>51</v>
      </c>
      <c r="J3" s="5" t="s">
        <v>35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>
      <c r="C4" t="s">
        <v>18</v>
      </c>
      <c r="D4">
        <f>'[2]353i 55hpf'!F15</f>
        <v>51.541857142857147</v>
      </c>
      <c r="F4">
        <f>'[2]353i 55hpf'!F29</f>
        <v>30.738666666666671</v>
      </c>
      <c r="J4" s="5">
        <f>F4/D4</f>
        <v>0.5963825979624513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>
      <c r="C5" t="s">
        <v>1</v>
      </c>
      <c r="D5">
        <f>'[2]353i 55hpf'!Q15</f>
        <v>74.902333333333331</v>
      </c>
      <c r="F5">
        <f>'[2]353i 55hpf'!Q29</f>
        <v>46.773333333333333</v>
      </c>
      <c r="J5" s="5">
        <f>F5/D5</f>
        <v>0.62445762704321628</v>
      </c>
      <c r="L5" s="6"/>
      <c r="M5" s="6"/>
      <c r="N5" s="6"/>
      <c r="O5" s="9"/>
      <c r="P5" s="6"/>
      <c r="Q5" s="6"/>
      <c r="R5" s="6"/>
      <c r="S5" s="6"/>
      <c r="T5" s="6"/>
      <c r="U5" s="6"/>
      <c r="V5" s="6"/>
      <c r="W5" s="6"/>
      <c r="X5" s="6"/>
      <c r="Y5" s="6"/>
    </row>
    <row r="6" spans="2:25">
      <c r="C6" t="s">
        <v>2</v>
      </c>
      <c r="D6">
        <f>'[2]353i 55hpf'!AB15</f>
        <v>46.050000000000004</v>
      </c>
      <c r="F6">
        <f>'[2]353i 55hpf'!AB29</f>
        <v>22.434285714285711</v>
      </c>
      <c r="J6" s="5">
        <f>F6/D6</f>
        <v>0.48717232821467338</v>
      </c>
      <c r="L6" s="6"/>
      <c r="M6" s="6"/>
      <c r="N6" s="6"/>
      <c r="O6" s="9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>
      <c r="C7" t="s">
        <v>3</v>
      </c>
      <c r="D7">
        <f>'[2]353i 55hpf'!AM15</f>
        <v>41.806111111111107</v>
      </c>
      <c r="F7">
        <f>'[2]353i 55hpf'!AM29</f>
        <v>32.411999999999999</v>
      </c>
      <c r="J7" s="5">
        <f>F7/D7</f>
        <v>0.77529335158336776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2:25">
      <c r="C8" t="s">
        <v>4</v>
      </c>
      <c r="D8">
        <f>'[2]359i 55hpf'!F15</f>
        <v>64.242374999999996</v>
      </c>
      <c r="F8">
        <f>'[2]359i 55hpf'!F29</f>
        <v>53.29</v>
      </c>
      <c r="J8" s="5">
        <f>F8/D8</f>
        <v>0.8295147867743059</v>
      </c>
      <c r="L8" s="6"/>
      <c r="M8" s="6"/>
      <c r="N8" s="6"/>
      <c r="O8" s="6"/>
      <c r="P8" s="6"/>
    </row>
    <row r="9" spans="2:25">
      <c r="C9" t="s">
        <v>5</v>
      </c>
      <c r="D9">
        <f>'[2]471i 55hpf'!F17</f>
        <v>95.739714285714285</v>
      </c>
      <c r="F9">
        <f>'[2]471i 55hpf'!F33</f>
        <v>93.135999999999996</v>
      </c>
      <c r="J9" s="5">
        <f>F9/D9</f>
        <v>0.97280424006756405</v>
      </c>
      <c r="L9" s="6"/>
      <c r="M9" s="6"/>
      <c r="N9" s="6"/>
      <c r="O9" s="6"/>
      <c r="P9" s="6"/>
    </row>
    <row r="10" spans="2:25">
      <c r="C10" t="s">
        <v>6</v>
      </c>
      <c r="D10">
        <f>'[2]471i 55hpf'!Q17</f>
        <v>61.84</v>
      </c>
      <c r="F10">
        <f>'[2]471i 55hpf'!Q33</f>
        <v>67.972799999999992</v>
      </c>
      <c r="J10" s="5">
        <f>F10/D10</f>
        <v>1.0991720569210865</v>
      </c>
      <c r="L10" s="6"/>
      <c r="M10" s="6"/>
      <c r="N10" s="6"/>
      <c r="O10" s="6"/>
      <c r="P10" s="6"/>
    </row>
    <row r="11" spans="2:25">
      <c r="C11" t="s">
        <v>7</v>
      </c>
      <c r="D11">
        <f>'[2]471i 55hpf'!AB17</f>
        <v>61.666666666666664</v>
      </c>
      <c r="F11">
        <f>'[2]471i 55hpf'!AB33</f>
        <v>67.522428571428577</v>
      </c>
      <c r="J11" s="5">
        <f>F11/D11</f>
        <v>1.0949583011583013</v>
      </c>
      <c r="L11" s="6"/>
      <c r="M11" s="6"/>
      <c r="N11" s="6"/>
      <c r="O11" s="6"/>
      <c r="P11" s="6"/>
    </row>
    <row r="12" spans="2:25">
      <c r="C12" t="s">
        <v>8</v>
      </c>
      <c r="D12">
        <f>'[2]471i 55hpf'!AM17</f>
        <v>138.07999999999998</v>
      </c>
      <c r="F12">
        <f>'[2]471i 55hpf'!AM33</f>
        <v>157.127375</v>
      </c>
      <c r="J12" s="5">
        <f>F12/D12</f>
        <v>1.1379444887022017</v>
      </c>
    </row>
    <row r="13" spans="2:25">
      <c r="C13" t="s">
        <v>9</v>
      </c>
      <c r="D13">
        <f>'[2]473i 55hpf'!F17</f>
        <v>103.871</v>
      </c>
      <c r="F13">
        <f>'[2]473i 55hpf'!F33</f>
        <v>68.569600000000008</v>
      </c>
      <c r="J13" s="5">
        <f>F13/D13</f>
        <v>0.66014190678822782</v>
      </c>
    </row>
    <row r="14" spans="2:25">
      <c r="C14" t="s">
        <v>10</v>
      </c>
      <c r="D14">
        <f>'[2]473i 55hpf'!Q17</f>
        <v>56.867500000000007</v>
      </c>
      <c r="F14">
        <f>'[2]473i 55hpf'!Q33</f>
        <v>49.037142857142854</v>
      </c>
      <c r="J14" s="5">
        <f>F14/D14</f>
        <v>0.86230523334317222</v>
      </c>
    </row>
    <row r="15" spans="2:25">
      <c r="C15" t="s">
        <v>11</v>
      </c>
      <c r="D15">
        <f>'[2]473i 55hpf'!AB17</f>
        <v>67.044428571428583</v>
      </c>
      <c r="F15">
        <f>'[2]473i 55hpf'!AB33</f>
        <v>67.181799999999996</v>
      </c>
      <c r="J15" s="5">
        <f>F15/D15</f>
        <v>1.0020489611366448</v>
      </c>
      <c r="L15" t="s">
        <v>46</v>
      </c>
      <c r="P15" t="s">
        <v>37</v>
      </c>
    </row>
    <row r="16" spans="2:25">
      <c r="C16" t="s">
        <v>12</v>
      </c>
      <c r="D16">
        <f>'[2]473i 55hpf'!AM17</f>
        <v>63.903888888888901</v>
      </c>
      <c r="F16">
        <f>'[2]473i 55hpf'!AM33</f>
        <v>44.85342857142858</v>
      </c>
      <c r="J16" s="5">
        <f>F16/D16</f>
        <v>0.70188887329558647</v>
      </c>
      <c r="L16" t="s">
        <v>31</v>
      </c>
      <c r="M16" s="7" t="s">
        <v>47</v>
      </c>
      <c r="N16" s="7">
        <v>2.8600000000000001E-3</v>
      </c>
      <c r="P16" s="7">
        <v>7.4999999999999997E-3</v>
      </c>
    </row>
    <row r="17" spans="2:16">
      <c r="C17" t="s">
        <v>13</v>
      </c>
      <c r="D17">
        <f>'[2]473i 55hpf'!AX17</f>
        <v>59.133333333333333</v>
      </c>
      <c r="F17">
        <f>'[2]473i 55hpf'!AX33</f>
        <v>54.180625000000006</v>
      </c>
      <c r="J17" s="5">
        <f>F17/D17</f>
        <v>0.91624506764374303</v>
      </c>
      <c r="L17" t="s">
        <v>19</v>
      </c>
      <c r="M17" s="7" t="s">
        <v>48</v>
      </c>
      <c r="N17" s="7">
        <v>4.888E-3</v>
      </c>
      <c r="P17" s="7">
        <v>9.7999999999999997E-3</v>
      </c>
    </row>
    <row r="18" spans="2:16">
      <c r="C18" t="s">
        <v>14</v>
      </c>
      <c r="D18">
        <f>'[2]473i 55hpf'!BI17</f>
        <v>70.768333333333331</v>
      </c>
      <c r="F18">
        <f>'[2]473i 55hpf'!BI33</f>
        <v>66.117500000000007</v>
      </c>
      <c r="J18" s="5">
        <f>F18/D18</f>
        <v>0.93428086950378009</v>
      </c>
      <c r="L18" t="s">
        <v>40</v>
      </c>
      <c r="M18" s="8" t="s">
        <v>49</v>
      </c>
      <c r="N18" s="7">
        <v>0.10417999999999999</v>
      </c>
      <c r="P18" s="7">
        <v>0.17730000000000001</v>
      </c>
    </row>
    <row r="19" spans="2:16">
      <c r="C19" t="s">
        <v>15</v>
      </c>
      <c r="D19">
        <f>'[2]474i 55hpf'!F17</f>
        <v>65.200375000000008</v>
      </c>
      <c r="F19">
        <f>'[2]474i 55hpf'!F33</f>
        <v>48.03</v>
      </c>
      <c r="J19" s="5">
        <f>F19/D19</f>
        <v>0.73665220483777882</v>
      </c>
    </row>
    <row r="20" spans="2:16">
      <c r="C20" t="s">
        <v>16</v>
      </c>
      <c r="D20">
        <f>'[2]474i 55hpf'!Q17</f>
        <v>66.183333333333337</v>
      </c>
      <c r="F20">
        <f>'[2]474i 55hpf'!Q33</f>
        <v>53.896000000000001</v>
      </c>
      <c r="J20" s="5">
        <f>F20/D20</f>
        <v>0.81434399395618229</v>
      </c>
    </row>
    <row r="21" spans="2:16">
      <c r="L21" s="6"/>
      <c r="M21" s="6"/>
    </row>
    <row r="22" spans="2:16">
      <c r="B22" t="s">
        <v>42</v>
      </c>
      <c r="D22">
        <f t="shared" ref="D22" si="0">AVERAGE(D4:D20)</f>
        <v>69.931838235294137</v>
      </c>
      <c r="F22">
        <f t="shared" ref="F22" si="1">AVERAGE(F4:F20)</f>
        <v>60.192528571428568</v>
      </c>
      <c r="I22" s="4" t="s">
        <v>43</v>
      </c>
      <c r="J22" s="5">
        <f>AVERAGE(J4:J20)</f>
        <v>0.83797687581954605</v>
      </c>
      <c r="L22" s="6"/>
      <c r="M22" s="6"/>
    </row>
    <row r="23" spans="2:16">
      <c r="I23" s="4" t="s">
        <v>50</v>
      </c>
      <c r="J23" s="5">
        <f>COUNT(J4:J20)</f>
        <v>17</v>
      </c>
      <c r="L23" s="6"/>
      <c r="M23" s="6"/>
    </row>
    <row r="24" spans="2:16">
      <c r="L24" s="6"/>
      <c r="M24" s="6"/>
    </row>
    <row r="26" spans="2:16">
      <c r="B26" t="s">
        <v>19</v>
      </c>
      <c r="D26" t="s">
        <v>32</v>
      </c>
      <c r="F26" t="s">
        <v>33</v>
      </c>
    </row>
    <row r="27" spans="2:16">
      <c r="D27" t="s">
        <v>51</v>
      </c>
      <c r="F27" t="s">
        <v>51</v>
      </c>
      <c r="J27" s="5" t="s">
        <v>35</v>
      </c>
    </row>
    <row r="28" spans="2:16">
      <c r="C28" t="s">
        <v>18</v>
      </c>
      <c r="D28">
        <f>'[2]359i 65 hpf'!F15</f>
        <v>38.808</v>
      </c>
      <c r="F28">
        <f>'[2]359i 65 hpf'!F29</f>
        <v>48.778666666666673</v>
      </c>
      <c r="J28" s="5">
        <f>F28/D28</f>
        <v>1.2569229712086856</v>
      </c>
    </row>
    <row r="29" spans="2:16">
      <c r="C29" t="s">
        <v>1</v>
      </c>
      <c r="D29">
        <f>'[2]359i 65 hpf'!Q15</f>
        <v>22.857142857142858</v>
      </c>
      <c r="F29">
        <f>'[2]359i 65 hpf'!Q29</f>
        <v>12.552</v>
      </c>
      <c r="J29" s="5">
        <f>F29/D29</f>
        <v>0.54914999999999992</v>
      </c>
    </row>
    <row r="30" spans="2:16">
      <c r="C30" t="s">
        <v>2</v>
      </c>
      <c r="D30">
        <f>'[2]359i 65 hpf'!AB15</f>
        <v>29.444285714285716</v>
      </c>
      <c r="F30">
        <f>'[2]359i 65 hpf'!AB29</f>
        <v>33.54</v>
      </c>
      <c r="J30" s="5">
        <f>F30/D30</f>
        <v>1.1391004803260394</v>
      </c>
    </row>
    <row r="31" spans="2:16">
      <c r="C31" t="s">
        <v>3</v>
      </c>
      <c r="D31">
        <f>'[2]359i 65 hpf'!AM15</f>
        <v>81.922222222222217</v>
      </c>
      <c r="F31">
        <f>'[2]359i 65 hpf'!AM29</f>
        <v>43.302</v>
      </c>
      <c r="J31" s="5">
        <f>F31/D31</f>
        <v>0.52857452868574528</v>
      </c>
    </row>
    <row r="32" spans="2:16">
      <c r="C32" t="s">
        <v>4</v>
      </c>
      <c r="D32">
        <f>'[2]359i 65 hpf'!AX15</f>
        <v>120.38666666666667</v>
      </c>
      <c r="F32">
        <f>'[2]359i 65 hpf'!AX29</f>
        <v>59.211428571428577</v>
      </c>
      <c r="J32" s="5">
        <f>F32/D32</f>
        <v>0.49184374159454458</v>
      </c>
    </row>
    <row r="33" spans="2:10">
      <c r="C33" t="s">
        <v>5</v>
      </c>
      <c r="D33">
        <f>'[2]359i 65 hpf'!BI15</f>
        <v>117.00999999999999</v>
      </c>
      <c r="F33">
        <f>'[2]359i 65 hpf'!BI29</f>
        <v>65.577714285714279</v>
      </c>
      <c r="J33" s="5">
        <f>F33/D33</f>
        <v>0.56044538317848291</v>
      </c>
    </row>
    <row r="34" spans="2:10">
      <c r="C34" t="s">
        <v>6</v>
      </c>
      <c r="D34">
        <f>'[2]359i 65 hpf'!BT15</f>
        <v>126.59311111111111</v>
      </c>
      <c r="F34">
        <f>'[2]359i 65 hpf'!BT29</f>
        <v>85.25800000000001</v>
      </c>
      <c r="J34" s="5">
        <f>F34/D34</f>
        <v>0.67348056502986831</v>
      </c>
    </row>
    <row r="35" spans="2:10">
      <c r="C35" t="s">
        <v>7</v>
      </c>
      <c r="D35">
        <f>'[2]359i 65 hpf'!CE15</f>
        <v>80.123000000000005</v>
      </c>
      <c r="F35">
        <f>'[2]359i 65 hpf'!CE29</f>
        <v>65.13344444444445</v>
      </c>
      <c r="J35" s="5">
        <f>F35/D35</f>
        <v>0.81291819383253805</v>
      </c>
    </row>
    <row r="36" spans="2:10">
      <c r="C36" t="s">
        <v>8</v>
      </c>
      <c r="D36">
        <f>'[2]359i 65 hpf'!CP15</f>
        <v>29.891375</v>
      </c>
      <c r="F36">
        <f>'[2]359i 65 hpf'!CP29</f>
        <v>23.259999999999998</v>
      </c>
      <c r="J36" s="5">
        <f>F36/D36</f>
        <v>0.77815088800699195</v>
      </c>
    </row>
    <row r="37" spans="2:10">
      <c r="C37" t="s">
        <v>9</v>
      </c>
      <c r="D37">
        <f>'[2]359i 65 hpf'!DL15</f>
        <v>47.897500000000001</v>
      </c>
      <c r="F37">
        <f>'[2]359i 65 hpf'!DL29</f>
        <v>26.187999999999999</v>
      </c>
      <c r="J37" s="5">
        <f>F37/D37</f>
        <v>0.5467508742627486</v>
      </c>
    </row>
    <row r="38" spans="2:10">
      <c r="C38" t="s">
        <v>10</v>
      </c>
      <c r="D38">
        <f>'[2]359i 65 hpf'!DW15</f>
        <v>64.048666666666676</v>
      </c>
      <c r="F38">
        <f>'[2]359i 65 hpf'!DW29</f>
        <v>26.593999999999998</v>
      </c>
      <c r="J38" s="5">
        <f>F38/D38</f>
        <v>0.41521551320350142</v>
      </c>
    </row>
    <row r="40" spans="2:10">
      <c r="B40" t="s">
        <v>42</v>
      </c>
      <c r="D40">
        <f t="shared" ref="D40" si="2">AVERAGE(D28:D38)</f>
        <v>68.998360930735942</v>
      </c>
      <c r="F40">
        <f t="shared" ref="F40" si="3">AVERAGE(F28:F38)</f>
        <v>44.490477633477632</v>
      </c>
      <c r="I40" s="4" t="s">
        <v>43</v>
      </c>
      <c r="J40" s="5">
        <f>AVERAGE(J28:J38)</f>
        <v>0.70477755812083154</v>
      </c>
    </row>
    <row r="41" spans="2:10">
      <c r="I41" s="4" t="s">
        <v>50</v>
      </c>
      <c r="J41" s="5">
        <f>COUNT(J28:J38)</f>
        <v>11</v>
      </c>
    </row>
    <row r="44" spans="2:10">
      <c r="B44" t="s">
        <v>44</v>
      </c>
      <c r="D44" t="s">
        <v>32</v>
      </c>
      <c r="F44" t="s">
        <v>33</v>
      </c>
    </row>
    <row r="45" spans="2:10">
      <c r="D45" t="s">
        <v>51</v>
      </c>
      <c r="F45" t="s">
        <v>51</v>
      </c>
      <c r="J45" s="5" t="s">
        <v>35</v>
      </c>
    </row>
    <row r="46" spans="2:10">
      <c r="C46" t="s">
        <v>18</v>
      </c>
      <c r="D46">
        <f>'[2]360i 80 hpf'!F15</f>
        <v>57.020499999999998</v>
      </c>
      <c r="F46">
        <f>'[2]360i 80 hpf'!Q15</f>
        <v>62.844166666666666</v>
      </c>
      <c r="J46" s="5">
        <f>F46/D46</f>
        <v>1.1021328586502515</v>
      </c>
    </row>
    <row r="47" spans="2:10">
      <c r="C47" t="s">
        <v>1</v>
      </c>
      <c r="D47">
        <f>'[2]360i 80 hpf'!Q15</f>
        <v>62.844166666666666</v>
      </c>
      <c r="F47">
        <f>'[2]360i 80 hpf'!Q29</f>
        <v>72.496000000000009</v>
      </c>
      <c r="J47" s="5">
        <f>F47/D47</f>
        <v>1.1535835996446238</v>
      </c>
    </row>
    <row r="48" spans="2:10">
      <c r="C48" t="s">
        <v>2</v>
      </c>
      <c r="D48">
        <f>'[2]360i 80 hpf'!AB15</f>
        <v>22.053833333333333</v>
      </c>
      <c r="F48">
        <f>'[2]360i 80 hpf'!AB29</f>
        <v>27.2882</v>
      </c>
      <c r="J48" s="5">
        <f>F48/D48</f>
        <v>1.2373449815980593</v>
      </c>
    </row>
    <row r="49" spans="2:10">
      <c r="C49" t="s">
        <v>3</v>
      </c>
      <c r="D49">
        <f>'[2]360i 80 hpf'!AM15</f>
        <v>35.111000000000004</v>
      </c>
      <c r="F49">
        <f>'[2]360i 80 hpf'!AM29</f>
        <v>56.6496</v>
      </c>
      <c r="J49" s="5">
        <f>F49/D49</f>
        <v>1.6134430805160773</v>
      </c>
    </row>
    <row r="50" spans="2:10">
      <c r="C50" t="s">
        <v>4</v>
      </c>
      <c r="D50">
        <f>'[2]360i 80 hpf'!AX15</f>
        <v>94.614000000000004</v>
      </c>
      <c r="F50">
        <f>'[2]360i 80 hpf'!AX29</f>
        <v>64.87062499999999</v>
      </c>
      <c r="J50" s="5">
        <f>F50/D50</f>
        <v>0.68563452554590221</v>
      </c>
    </row>
    <row r="51" spans="2:10">
      <c r="C51" t="s">
        <v>5</v>
      </c>
      <c r="D51">
        <f>'[2]360i 80 hpf'!BI15</f>
        <v>106.25842857142857</v>
      </c>
      <c r="F51">
        <f>'[2]360i 80 hpf'!BI29</f>
        <v>136.89400000000001</v>
      </c>
      <c r="J51" s="5">
        <f>F51/D51</f>
        <v>1.2883119187856023</v>
      </c>
    </row>
    <row r="52" spans="2:10">
      <c r="C52" t="s">
        <v>6</v>
      </c>
      <c r="D52">
        <f>'[2]360i 80 hpf'!BT15</f>
        <v>60.701166666666666</v>
      </c>
      <c r="F52">
        <f>'[2]360i 80 hpf'!BT29</f>
        <v>99.10420000000002</v>
      </c>
      <c r="J52" s="5">
        <f>F52/D52</f>
        <v>1.6326572526063479</v>
      </c>
    </row>
    <row r="53" spans="2:10">
      <c r="C53" t="s">
        <v>7</v>
      </c>
      <c r="D53">
        <f>'[2]361i 80 hpf'!F15</f>
        <v>49.372</v>
      </c>
      <c r="F53">
        <f>'[2]361i 80 hpf'!F27</f>
        <v>50.13</v>
      </c>
      <c r="J53" s="5">
        <f>F53/D53</f>
        <v>1.0153528315644496</v>
      </c>
    </row>
    <row r="54" spans="2:10">
      <c r="C54" t="s">
        <v>8</v>
      </c>
      <c r="D54">
        <f>'[2]361i 80 hpf'!Q15</f>
        <v>136.88285714285715</v>
      </c>
      <c r="F54">
        <f>'[2]361i 80 hpf'!Q27</f>
        <v>102.42</v>
      </c>
      <c r="J54" s="5">
        <f>F54/D54</f>
        <v>0.74823102131123587</v>
      </c>
    </row>
    <row r="55" spans="2:10">
      <c r="C55" t="s">
        <v>9</v>
      </c>
      <c r="D55">
        <f>'[2]361i 80 hpf'!AB15</f>
        <v>79.653333333333322</v>
      </c>
      <c r="F55">
        <f>'[2]361i 80 hpf'!AB27</f>
        <v>98.5</v>
      </c>
      <c r="J55" s="5">
        <f>F55/D55</f>
        <v>1.2366086374288585</v>
      </c>
    </row>
    <row r="56" spans="2:10">
      <c r="C56" t="s">
        <v>10</v>
      </c>
      <c r="D56">
        <f>'[2]361i 80 hpf'!AM15</f>
        <v>58.008428571428567</v>
      </c>
      <c r="F56">
        <f>'[2]361i 80 hpf'!AM27</f>
        <v>51.218000000000004</v>
      </c>
      <c r="J56" s="5">
        <f>F56/D56</f>
        <v>0.88294065640707398</v>
      </c>
    </row>
    <row r="57" spans="2:10">
      <c r="C57" t="s">
        <v>11</v>
      </c>
      <c r="D57">
        <f>'[2]361i 80 hpf'!AX15</f>
        <v>63.1616</v>
      </c>
      <c r="F57">
        <f>'[2]361i 80 hpf'!AX27</f>
        <v>55.36</v>
      </c>
      <c r="J57" s="5">
        <f>F57/D57</f>
        <v>0.87648191306110046</v>
      </c>
    </row>
    <row r="58" spans="2:10">
      <c r="C58" t="s">
        <v>12</v>
      </c>
      <c r="D58">
        <f>'[2]361i 80 hpf'!BI15</f>
        <v>94.695999999999998</v>
      </c>
      <c r="F58">
        <f>'[2]361i 80 hpf'!BI27</f>
        <v>75.811000000000007</v>
      </c>
      <c r="J58" s="5">
        <f>F58/D58</f>
        <v>0.80057235786094461</v>
      </c>
    </row>
    <row r="59" spans="2:10">
      <c r="C59" t="s">
        <v>13</v>
      </c>
      <c r="D59">
        <f>'[2]361i 80 hpf'!BT15</f>
        <v>59.588428571428572</v>
      </c>
      <c r="F59">
        <f>'[2]361i 80 hpf'!BT27</f>
        <v>55.045999999999992</v>
      </c>
      <c r="J59" s="5">
        <f>F59/D59</f>
        <v>0.92376995533648654</v>
      </c>
    </row>
    <row r="60" spans="2:10">
      <c r="C60" t="s">
        <v>14</v>
      </c>
      <c r="D60">
        <f>'[2]361i 80 hpf'!CP15</f>
        <v>83.576800000000006</v>
      </c>
      <c r="F60">
        <f>'[2]361i 80 hpf'!CE27</f>
        <v>78.413333333333327</v>
      </c>
      <c r="J60" s="5">
        <f>F60/D60</f>
        <v>0.93821889966274519</v>
      </c>
    </row>
    <row r="61" spans="2:10">
      <c r="C61" t="s">
        <v>15</v>
      </c>
      <c r="D61">
        <f>'[2]361i 80 hpf'!CP15</f>
        <v>83.576800000000006</v>
      </c>
      <c r="F61">
        <f>'[2]361i 80 hpf'!CP27</f>
        <v>126.28775</v>
      </c>
      <c r="J61" s="5">
        <f>F61/D61</f>
        <v>1.5110383503556011</v>
      </c>
    </row>
    <row r="62" spans="2:10">
      <c r="C62" t="s">
        <v>16</v>
      </c>
      <c r="D62">
        <f>'[2]361i 80 hpf'!DA15</f>
        <v>51.678166666666669</v>
      </c>
      <c r="F62">
        <f>'[2]361i 80 hpf'!DA27</f>
        <v>79.840799999999987</v>
      </c>
      <c r="J62" s="5">
        <f>F62/D62</f>
        <v>1.5449619278289668</v>
      </c>
    </row>
    <row r="64" spans="2:10">
      <c r="B64" t="s">
        <v>42</v>
      </c>
      <c r="D64">
        <f t="shared" ref="D64" si="4">AVERAGE(D46:D63)</f>
        <v>70.517500560224093</v>
      </c>
      <c r="F64">
        <f t="shared" ref="F64" si="5">AVERAGE(F46:F63)</f>
        <v>76.069039705882346</v>
      </c>
      <c r="I64" s="4" t="s">
        <v>43</v>
      </c>
      <c r="J64" s="5">
        <f>AVERAGE(J46:J63)</f>
        <v>1.1288991040096665</v>
      </c>
    </row>
    <row r="65" spans="9:10">
      <c r="I65" s="4" t="s">
        <v>50</v>
      </c>
      <c r="J65" s="5">
        <f>COUNT(J46:J62)</f>
        <v>17</v>
      </c>
    </row>
  </sheetData>
  <conditionalFormatting sqref="P16">
    <cfRule type="cellIs" dxfId="23" priority="21" operator="between">
      <formula>0.0001</formula>
      <formula>0</formula>
    </cfRule>
    <cfRule type="cellIs" dxfId="22" priority="22" operator="between">
      <formula>0.001</formula>
      <formula>0.0001</formula>
    </cfRule>
    <cfRule type="cellIs" dxfId="21" priority="23" operator="between">
      <formula>0.01</formula>
      <formula>0.001</formula>
    </cfRule>
    <cfRule type="cellIs" dxfId="20" priority="24" operator="between">
      <formula>0.05</formula>
      <formula>0.01</formula>
    </cfRule>
  </conditionalFormatting>
  <conditionalFormatting sqref="P17">
    <cfRule type="cellIs" dxfId="19" priority="17" operator="between">
      <formula>0.0001</formula>
      <formula>0</formula>
    </cfRule>
    <cfRule type="cellIs" dxfId="18" priority="18" operator="between">
      <formula>0.001</formula>
      <formula>0.0001</formula>
    </cfRule>
    <cfRule type="cellIs" dxfId="17" priority="19" operator="between">
      <formula>0.01</formula>
      <formula>0.001</formula>
    </cfRule>
    <cfRule type="cellIs" dxfId="16" priority="20" operator="between">
      <formula>0.05</formula>
      <formula>0.01</formula>
    </cfRule>
  </conditionalFormatting>
  <conditionalFormatting sqref="P18">
    <cfRule type="cellIs" dxfId="15" priority="13" operator="between">
      <formula>0.0001</formula>
      <formula>0</formula>
    </cfRule>
    <cfRule type="cellIs" dxfId="14" priority="14" operator="between">
      <formula>0.001</formula>
      <formula>0.0001</formula>
    </cfRule>
    <cfRule type="cellIs" dxfId="13" priority="15" operator="between">
      <formula>0.01</formula>
      <formula>0.001</formula>
    </cfRule>
    <cfRule type="cellIs" dxfId="12" priority="16" operator="between">
      <formula>0.05</formula>
      <formula>0.01</formula>
    </cfRule>
  </conditionalFormatting>
  <conditionalFormatting sqref="N16">
    <cfRule type="cellIs" dxfId="11" priority="9" operator="between">
      <formula>0.0001</formula>
      <formula>0</formula>
    </cfRule>
    <cfRule type="cellIs" dxfId="10" priority="10" operator="between">
      <formula>0.001</formula>
      <formula>0.0001</formula>
    </cfRule>
    <cfRule type="cellIs" dxfId="9" priority="11" operator="between">
      <formula>0.01</formula>
      <formula>0.001</formula>
    </cfRule>
    <cfRule type="cellIs" dxfId="8" priority="12" operator="between">
      <formula>0.05</formula>
      <formula>0.01</formula>
    </cfRule>
  </conditionalFormatting>
  <conditionalFormatting sqref="N17">
    <cfRule type="cellIs" dxfId="7" priority="5" operator="between">
      <formula>0.0001</formula>
      <formula>0</formula>
    </cfRule>
    <cfRule type="cellIs" dxfId="6" priority="6" operator="between">
      <formula>0.001</formula>
      <formula>0.0001</formula>
    </cfRule>
    <cfRule type="cellIs" dxfId="5" priority="7" operator="between">
      <formula>0.01</formula>
      <formula>0.001</formula>
    </cfRule>
    <cfRule type="cellIs" dxfId="4" priority="8" operator="between">
      <formula>0.05</formula>
      <formula>0.01</formula>
    </cfRule>
  </conditionalFormatting>
  <conditionalFormatting sqref="N18">
    <cfRule type="cellIs" dxfId="3" priority="1" operator="between">
      <formula>0.0001</formula>
      <formula>0</formula>
    </cfRule>
    <cfRule type="cellIs" dxfId="2" priority="2" operator="between">
      <formula>0.001</formula>
      <formula>0.0001</formula>
    </cfRule>
    <cfRule type="cellIs" dxfId="1" priority="3" operator="between">
      <formula>0.01</formula>
      <formula>0.001</formula>
    </cfRule>
    <cfRule type="cellIs" dxfId="0" priority="4" operator="between">
      <formula>0.05</formula>
      <formula>0.01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40BF2-E282-4D41-847F-3C46BB9CFB4E}">
  <dimension ref="B2:G73"/>
  <sheetViews>
    <sheetView workbookViewId="0">
      <selection activeCell="I11" sqref="I11"/>
    </sheetView>
  </sheetViews>
  <sheetFormatPr defaultRowHeight="15"/>
  <cols>
    <col min="1" max="5" width="9.140625" style="12"/>
    <col min="6" max="6" width="17.85546875" style="12" customWidth="1"/>
    <col min="7" max="7" width="18" style="12" customWidth="1"/>
    <col min="8" max="16384" width="9.140625" style="12"/>
  </cols>
  <sheetData>
    <row r="2" spans="2:7">
      <c r="B2" s="12" t="s">
        <v>628</v>
      </c>
      <c r="F2" s="12" t="s">
        <v>629</v>
      </c>
    </row>
    <row r="5" spans="2:7" ht="41.25" customHeight="1">
      <c r="B5" s="97" t="s">
        <v>631</v>
      </c>
      <c r="C5" s="98"/>
      <c r="F5" s="97" t="s">
        <v>630</v>
      </c>
      <c r="G5" s="98"/>
    </row>
    <row r="6" spans="2:7" ht="26.25">
      <c r="B6" s="19" t="s">
        <v>626</v>
      </c>
      <c r="C6" s="19" t="s">
        <v>627</v>
      </c>
      <c r="F6" s="19" t="s">
        <v>626</v>
      </c>
      <c r="G6" s="19" t="s">
        <v>627</v>
      </c>
    </row>
    <row r="7" spans="2:7">
      <c r="B7" s="22">
        <v>4</v>
      </c>
      <c r="C7" s="22">
        <v>10</v>
      </c>
      <c r="F7" s="22">
        <v>28</v>
      </c>
      <c r="G7" s="22">
        <v>36</v>
      </c>
    </row>
    <row r="8" spans="2:7">
      <c r="B8" s="22">
        <v>7</v>
      </c>
      <c r="C8" s="22">
        <v>6</v>
      </c>
      <c r="F8" s="22">
        <v>32</v>
      </c>
      <c r="G8" s="22">
        <v>27</v>
      </c>
    </row>
    <row r="9" spans="2:7">
      <c r="B9" s="22">
        <v>5</v>
      </c>
      <c r="C9" s="22">
        <v>6</v>
      </c>
      <c r="F9" s="22">
        <v>30</v>
      </c>
      <c r="G9" s="22">
        <v>26</v>
      </c>
    </row>
    <row r="10" spans="2:7">
      <c r="B10" s="22">
        <v>3</v>
      </c>
      <c r="C10" s="22">
        <v>6</v>
      </c>
      <c r="F10" s="22">
        <v>32</v>
      </c>
      <c r="G10" s="22">
        <v>23</v>
      </c>
    </row>
    <row r="11" spans="2:7">
      <c r="B11" s="22">
        <v>6</v>
      </c>
      <c r="C11" s="22">
        <v>10</v>
      </c>
      <c r="F11" s="22">
        <v>29</v>
      </c>
      <c r="G11" s="22">
        <v>34</v>
      </c>
    </row>
    <row r="12" spans="2:7">
      <c r="B12" s="22">
        <v>4</v>
      </c>
      <c r="C12" s="22">
        <v>8</v>
      </c>
      <c r="F12" s="22">
        <v>32</v>
      </c>
      <c r="G12" s="22">
        <v>31</v>
      </c>
    </row>
    <row r="13" spans="2:7">
      <c r="B13" s="22">
        <v>7</v>
      </c>
      <c r="C13" s="22">
        <v>5</v>
      </c>
      <c r="F13" s="22">
        <v>29</v>
      </c>
      <c r="G13" s="22">
        <v>28</v>
      </c>
    </row>
    <row r="14" spans="2:7">
      <c r="B14" s="22">
        <v>4</v>
      </c>
      <c r="C14" s="22">
        <v>8</v>
      </c>
      <c r="F14" s="22">
        <v>34</v>
      </c>
      <c r="G14" s="22">
        <v>28</v>
      </c>
    </row>
    <row r="15" spans="2:7">
      <c r="B15" s="22">
        <v>5</v>
      </c>
      <c r="C15" s="22">
        <v>8</v>
      </c>
      <c r="F15" s="22">
        <v>34</v>
      </c>
      <c r="G15" s="22">
        <v>34</v>
      </c>
    </row>
    <row r="16" spans="2:7">
      <c r="B16" s="22">
        <v>8</v>
      </c>
      <c r="C16" s="22">
        <v>7</v>
      </c>
      <c r="F16" s="22">
        <v>31</v>
      </c>
      <c r="G16" s="22">
        <v>32</v>
      </c>
    </row>
    <row r="17" spans="2:7">
      <c r="B17" s="22">
        <v>7</v>
      </c>
      <c r="C17" s="22">
        <v>5</v>
      </c>
      <c r="F17" s="22">
        <v>27</v>
      </c>
      <c r="G17" s="22">
        <v>30</v>
      </c>
    </row>
    <row r="18" spans="2:7">
      <c r="B18" s="22">
        <v>7</v>
      </c>
      <c r="C18" s="22">
        <v>9</v>
      </c>
      <c r="F18" s="22">
        <v>32</v>
      </c>
      <c r="G18" s="22">
        <v>30</v>
      </c>
    </row>
    <row r="19" spans="2:7">
      <c r="B19" s="22">
        <v>6</v>
      </c>
      <c r="C19" s="22">
        <v>7</v>
      </c>
      <c r="F19" s="22">
        <v>38</v>
      </c>
      <c r="G19" s="22">
        <v>31</v>
      </c>
    </row>
    <row r="20" spans="2:7">
      <c r="B20" s="22">
        <v>6</v>
      </c>
      <c r="C20" s="22">
        <v>9</v>
      </c>
      <c r="F20" s="22">
        <v>34</v>
      </c>
      <c r="G20" s="22">
        <v>34</v>
      </c>
    </row>
    <row r="21" spans="2:7">
      <c r="B21" s="22">
        <v>4</v>
      </c>
      <c r="C21" s="22">
        <v>10</v>
      </c>
      <c r="F21" s="22">
        <v>31</v>
      </c>
      <c r="G21" s="22">
        <v>37</v>
      </c>
    </row>
    <row r="22" spans="2:7">
      <c r="B22" s="22">
        <v>7</v>
      </c>
      <c r="C22" s="22">
        <v>6</v>
      </c>
      <c r="F22" s="22">
        <v>35</v>
      </c>
      <c r="G22" s="22">
        <v>28</v>
      </c>
    </row>
    <row r="23" spans="2:7">
      <c r="B23" s="22">
        <v>5</v>
      </c>
      <c r="C23" s="22">
        <v>7</v>
      </c>
      <c r="F23" s="22">
        <v>33</v>
      </c>
      <c r="G23" s="22">
        <v>34</v>
      </c>
    </row>
    <row r="24" spans="2:7">
      <c r="B24" s="22">
        <v>6</v>
      </c>
      <c r="C24" s="22">
        <v>6</v>
      </c>
      <c r="F24" s="22">
        <v>28</v>
      </c>
      <c r="G24" s="22">
        <v>27</v>
      </c>
    </row>
    <row r="25" spans="2:7">
      <c r="B25" s="22">
        <v>3</v>
      </c>
      <c r="C25" s="22">
        <v>4</v>
      </c>
      <c r="F25" s="22">
        <v>30</v>
      </c>
      <c r="G25" s="22">
        <v>26</v>
      </c>
    </row>
    <row r="26" spans="2:7">
      <c r="B26" s="22">
        <v>4</v>
      </c>
      <c r="C26" s="22">
        <v>3</v>
      </c>
      <c r="F26" s="22">
        <v>31</v>
      </c>
      <c r="G26" s="22">
        <v>32</v>
      </c>
    </row>
    <row r="27" spans="2:7">
      <c r="B27" s="22">
        <v>4</v>
      </c>
      <c r="C27" s="22">
        <v>10</v>
      </c>
      <c r="F27" s="22">
        <v>28</v>
      </c>
      <c r="G27" s="22">
        <v>30</v>
      </c>
    </row>
    <row r="28" spans="2:7">
      <c r="B28" s="22">
        <v>6</v>
      </c>
      <c r="C28" s="22">
        <v>9</v>
      </c>
      <c r="F28" s="22">
        <v>30</v>
      </c>
      <c r="G28" s="22">
        <v>33</v>
      </c>
    </row>
    <row r="29" spans="2:7">
      <c r="B29" s="22">
        <v>5</v>
      </c>
      <c r="C29" s="22">
        <v>10</v>
      </c>
      <c r="F29" s="22">
        <v>29</v>
      </c>
      <c r="G29" s="22">
        <v>37</v>
      </c>
    </row>
    <row r="30" spans="2:7">
      <c r="B30" s="22">
        <v>2</v>
      </c>
      <c r="C30" s="22">
        <v>8</v>
      </c>
      <c r="F30" s="22">
        <v>27</v>
      </c>
      <c r="G30" s="22">
        <v>30</v>
      </c>
    </row>
    <row r="31" spans="2:7">
      <c r="B31" s="22">
        <v>5</v>
      </c>
      <c r="C31" s="22">
        <v>10</v>
      </c>
      <c r="F31" s="22">
        <v>28</v>
      </c>
      <c r="G31" s="22">
        <v>32</v>
      </c>
    </row>
    <row r="32" spans="2:7">
      <c r="B32" s="22"/>
      <c r="C32" s="22">
        <v>10</v>
      </c>
      <c r="F32" s="22">
        <v>30</v>
      </c>
      <c r="G32" s="22">
        <v>31</v>
      </c>
    </row>
    <row r="33" spans="2:7">
      <c r="B33" s="22"/>
      <c r="C33" s="22">
        <v>8</v>
      </c>
      <c r="F33" s="22"/>
      <c r="G33" s="22">
        <v>32</v>
      </c>
    </row>
    <row r="34" spans="2:7">
      <c r="B34" s="22"/>
      <c r="C34" s="22">
        <v>6</v>
      </c>
      <c r="F34" s="22"/>
      <c r="G34" s="22">
        <v>25</v>
      </c>
    </row>
    <row r="35" spans="2:7">
      <c r="B35" s="22"/>
      <c r="C35" s="22">
        <v>8</v>
      </c>
      <c r="F35" s="22"/>
      <c r="G35" s="22">
        <v>28</v>
      </c>
    </row>
    <row r="36" spans="2:7">
      <c r="B36" s="22"/>
      <c r="C36" s="22">
        <v>10</v>
      </c>
      <c r="F36" s="22"/>
      <c r="G36" s="22">
        <v>36</v>
      </c>
    </row>
    <row r="37" spans="2:7">
      <c r="B37" s="22"/>
      <c r="C37" s="22">
        <v>8</v>
      </c>
      <c r="F37" s="22"/>
      <c r="G37" s="22">
        <v>34</v>
      </c>
    </row>
    <row r="38" spans="2:7">
      <c r="B38" s="22"/>
      <c r="C38" s="22">
        <v>6</v>
      </c>
      <c r="F38" s="22"/>
      <c r="G38" s="22">
        <v>30</v>
      </c>
    </row>
    <row r="39" spans="2:7">
      <c r="B39" s="22"/>
      <c r="C39" s="22">
        <v>11</v>
      </c>
      <c r="F39" s="22"/>
      <c r="G39" s="22">
        <v>29</v>
      </c>
    </row>
    <row r="40" spans="2:7">
      <c r="B40" s="22"/>
      <c r="C40" s="22">
        <v>5</v>
      </c>
      <c r="F40" s="22"/>
      <c r="G40" s="22">
        <v>30</v>
      </c>
    </row>
    <row r="41" spans="2:7">
      <c r="B41" s="22"/>
      <c r="C41" s="22">
        <v>7</v>
      </c>
      <c r="F41" s="22"/>
      <c r="G41" s="22">
        <v>35</v>
      </c>
    </row>
    <row r="44" spans="2:7">
      <c r="F44" s="11"/>
      <c r="G44" s="11"/>
    </row>
    <row r="45" spans="2:7" ht="51.75">
      <c r="B45" s="69" t="s">
        <v>107</v>
      </c>
      <c r="C45" s="67" t="s">
        <v>641</v>
      </c>
      <c r="F45" s="58" t="s">
        <v>107</v>
      </c>
      <c r="G45" s="22" t="s">
        <v>636</v>
      </c>
    </row>
    <row r="46" spans="2:7">
      <c r="B46" s="69"/>
      <c r="C46" s="67"/>
      <c r="F46" s="58"/>
      <c r="G46" s="22"/>
    </row>
    <row r="47" spans="2:7" ht="26.25">
      <c r="B47" s="69" t="s">
        <v>109</v>
      </c>
      <c r="C47" s="67" t="s">
        <v>627</v>
      </c>
      <c r="F47" s="58" t="s">
        <v>109</v>
      </c>
      <c r="G47" s="22" t="s">
        <v>627</v>
      </c>
    </row>
    <row r="48" spans="2:7">
      <c r="B48" s="69" t="s">
        <v>110</v>
      </c>
      <c r="C48" s="67" t="s">
        <v>110</v>
      </c>
      <c r="F48" s="58" t="s">
        <v>110</v>
      </c>
      <c r="G48" s="22" t="s">
        <v>110</v>
      </c>
    </row>
    <row r="49" spans="2:7" ht="26.25">
      <c r="B49" s="69" t="s">
        <v>111</v>
      </c>
      <c r="C49" s="67" t="s">
        <v>626</v>
      </c>
      <c r="F49" s="58" t="s">
        <v>111</v>
      </c>
      <c r="G49" s="22" t="s">
        <v>626</v>
      </c>
    </row>
    <row r="50" spans="2:7">
      <c r="B50" s="69"/>
      <c r="C50" s="67"/>
      <c r="F50" s="58"/>
      <c r="G50" s="22"/>
    </row>
    <row r="51" spans="2:7" ht="26.25">
      <c r="B51" s="69" t="s">
        <v>112</v>
      </c>
      <c r="C51" s="67"/>
      <c r="F51" s="58" t="s">
        <v>112</v>
      </c>
      <c r="G51" s="22"/>
    </row>
    <row r="52" spans="2:7">
      <c r="B52" s="60" t="s">
        <v>113</v>
      </c>
      <c r="C52" s="61" t="s">
        <v>168</v>
      </c>
      <c r="F52" s="60" t="s">
        <v>113</v>
      </c>
      <c r="G52" s="61">
        <v>0.98939999999999995</v>
      </c>
    </row>
    <row r="53" spans="2:7" ht="26.25">
      <c r="B53" s="69" t="s">
        <v>77</v>
      </c>
      <c r="C53" s="67" t="s">
        <v>167</v>
      </c>
      <c r="F53" s="58" t="s">
        <v>77</v>
      </c>
      <c r="G53" s="22" t="s">
        <v>88</v>
      </c>
    </row>
    <row r="54" spans="2:7" ht="64.5">
      <c r="B54" s="69" t="s">
        <v>114</v>
      </c>
      <c r="C54" s="67" t="s">
        <v>80</v>
      </c>
      <c r="F54" s="58" t="s">
        <v>114</v>
      </c>
      <c r="G54" s="22" t="s">
        <v>89</v>
      </c>
    </row>
    <row r="55" spans="2:7" ht="39">
      <c r="B55" s="69" t="s">
        <v>115</v>
      </c>
      <c r="C55" s="67" t="s">
        <v>116</v>
      </c>
      <c r="F55" s="58" t="s">
        <v>115</v>
      </c>
      <c r="G55" s="22" t="s">
        <v>116</v>
      </c>
    </row>
    <row r="56" spans="2:7" ht="26.25">
      <c r="B56" s="69" t="s">
        <v>117</v>
      </c>
      <c r="C56" s="67" t="s">
        <v>637</v>
      </c>
      <c r="F56" s="58" t="s">
        <v>117</v>
      </c>
      <c r="G56" s="22" t="s">
        <v>632</v>
      </c>
    </row>
    <row r="57" spans="2:7">
      <c r="B57" s="69"/>
      <c r="C57" s="67"/>
      <c r="F57" s="58"/>
      <c r="G57" s="22"/>
    </row>
    <row r="58" spans="2:7" ht="51.75">
      <c r="B58" s="69" t="s">
        <v>119</v>
      </c>
      <c r="C58" s="67"/>
      <c r="F58" s="58" t="s">
        <v>119</v>
      </c>
      <c r="G58" s="22"/>
    </row>
    <row r="59" spans="2:7" ht="26.25">
      <c r="B59" s="69" t="s">
        <v>120</v>
      </c>
      <c r="C59" s="67">
        <v>5.2</v>
      </c>
      <c r="F59" s="58" t="s">
        <v>120</v>
      </c>
      <c r="G59" s="22">
        <v>30.85</v>
      </c>
    </row>
    <row r="60" spans="2:7" ht="26.25">
      <c r="B60" s="69" t="s">
        <v>121</v>
      </c>
      <c r="C60" s="67">
        <v>7.6</v>
      </c>
      <c r="F60" s="58" t="s">
        <v>121</v>
      </c>
      <c r="G60" s="22">
        <v>30.86</v>
      </c>
    </row>
    <row r="61" spans="2:7" ht="64.5">
      <c r="B61" s="69" t="s">
        <v>122</v>
      </c>
      <c r="C61" s="67" t="s">
        <v>638</v>
      </c>
      <c r="F61" s="58" t="s">
        <v>122</v>
      </c>
      <c r="G61" s="22" t="s">
        <v>633</v>
      </c>
    </row>
    <row r="62" spans="2:7" ht="39">
      <c r="B62" s="69" t="s">
        <v>83</v>
      </c>
      <c r="C62" s="67" t="s">
        <v>639</v>
      </c>
      <c r="F62" s="58" t="s">
        <v>83</v>
      </c>
      <c r="G62" s="22" t="s">
        <v>634</v>
      </c>
    </row>
    <row r="63" spans="2:7" ht="51.75">
      <c r="B63" s="69" t="s">
        <v>125</v>
      </c>
      <c r="C63" s="67">
        <v>0.30170000000000002</v>
      </c>
      <c r="F63" s="58" t="s">
        <v>125</v>
      </c>
      <c r="G63" s="22">
        <v>2.994E-6</v>
      </c>
    </row>
    <row r="64" spans="2:7">
      <c r="B64" s="69"/>
      <c r="C64" s="67"/>
      <c r="F64" s="58"/>
      <c r="G64" s="22"/>
    </row>
    <row r="65" spans="2:7" ht="39">
      <c r="B65" s="69" t="s">
        <v>126</v>
      </c>
      <c r="C65" s="67"/>
      <c r="F65" s="58" t="s">
        <v>126</v>
      </c>
      <c r="G65" s="22"/>
    </row>
    <row r="66" spans="2:7" ht="26.25">
      <c r="B66" s="69" t="s">
        <v>127</v>
      </c>
      <c r="C66" s="67" t="s">
        <v>640</v>
      </c>
      <c r="F66" s="58" t="s">
        <v>127</v>
      </c>
      <c r="G66" s="22" t="s">
        <v>635</v>
      </c>
    </row>
    <row r="67" spans="2:7">
      <c r="B67" s="69" t="s">
        <v>113</v>
      </c>
      <c r="C67" s="67">
        <v>0.1585</v>
      </c>
      <c r="F67" s="58" t="s">
        <v>113</v>
      </c>
      <c r="G67" s="22">
        <v>0.18279999999999999</v>
      </c>
    </row>
    <row r="68" spans="2:7" ht="26.25">
      <c r="B68" s="69" t="s">
        <v>77</v>
      </c>
      <c r="C68" s="67" t="s">
        <v>88</v>
      </c>
      <c r="F68" s="58" t="s">
        <v>77</v>
      </c>
      <c r="G68" s="22" t="s">
        <v>88</v>
      </c>
    </row>
    <row r="69" spans="2:7" ht="64.5">
      <c r="B69" s="69" t="s">
        <v>114</v>
      </c>
      <c r="C69" s="67" t="s">
        <v>89</v>
      </c>
      <c r="F69" s="58" t="s">
        <v>114</v>
      </c>
      <c r="G69" s="22" t="s">
        <v>89</v>
      </c>
    </row>
    <row r="70" spans="2:7">
      <c r="B70" s="69"/>
      <c r="C70" s="67"/>
      <c r="F70" s="58"/>
      <c r="G70" s="22"/>
    </row>
    <row r="71" spans="2:7" ht="26.25">
      <c r="B71" s="69" t="s">
        <v>129</v>
      </c>
      <c r="C71" s="67"/>
      <c r="F71" s="58" t="s">
        <v>129</v>
      </c>
      <c r="G71" s="22"/>
    </row>
    <row r="72" spans="2:7" ht="39">
      <c r="B72" s="69" t="s">
        <v>130</v>
      </c>
      <c r="C72" s="67">
        <v>25</v>
      </c>
      <c r="F72" s="58" t="s">
        <v>130</v>
      </c>
      <c r="G72" s="22">
        <v>26</v>
      </c>
    </row>
    <row r="73" spans="2:7" ht="39">
      <c r="B73" s="69" t="s">
        <v>131</v>
      </c>
      <c r="C73" s="67">
        <v>35</v>
      </c>
      <c r="F73" s="58" t="s">
        <v>131</v>
      </c>
      <c r="G73" s="22">
        <v>35</v>
      </c>
    </row>
  </sheetData>
  <mergeCells count="2">
    <mergeCell ref="B5:C5"/>
    <mergeCell ref="F5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C7B03-61B9-4566-8946-17ADC903C0F3}">
  <dimension ref="A1:W36"/>
  <sheetViews>
    <sheetView workbookViewId="0">
      <selection activeCell="K9" sqref="K9"/>
    </sheetView>
  </sheetViews>
  <sheetFormatPr defaultRowHeight="15"/>
  <cols>
    <col min="1" max="1" width="9.140625" style="15"/>
    <col min="2" max="2" width="11.5703125" style="15" bestFit="1" customWidth="1"/>
    <col min="3" max="3" width="9.140625" style="15"/>
    <col min="4" max="4" width="9.140625" style="16"/>
    <col min="5" max="8" width="9.140625" style="17"/>
    <col min="9" max="9" width="9.140625" style="16"/>
    <col min="10" max="13" width="9.140625" style="15"/>
    <col min="14" max="14" width="9.140625" style="16"/>
    <col min="15" max="18" width="9.140625" style="17"/>
    <col min="19" max="19" width="9.140625" style="16"/>
    <col min="20" max="23" width="9.140625" style="15"/>
    <col min="24" max="16384" width="9.140625" style="16"/>
  </cols>
  <sheetData>
    <row r="1" spans="1:23">
      <c r="A1" s="119" t="s">
        <v>644</v>
      </c>
      <c r="C1" s="120"/>
      <c r="E1" s="122" t="s">
        <v>643</v>
      </c>
      <c r="G1" s="122"/>
      <c r="H1" s="123"/>
      <c r="J1" s="119" t="s">
        <v>645</v>
      </c>
      <c r="L1" s="119"/>
      <c r="M1" s="120"/>
      <c r="O1" s="122" t="s">
        <v>646</v>
      </c>
      <c r="Q1" s="122"/>
      <c r="R1" s="123"/>
      <c r="T1" s="119" t="s">
        <v>647</v>
      </c>
      <c r="V1" s="119"/>
      <c r="W1" s="120"/>
    </row>
    <row r="2" spans="1:23">
      <c r="A2" s="118"/>
      <c r="B2" s="119"/>
      <c r="C2" s="120"/>
      <c r="E2" s="121"/>
      <c r="F2" s="122"/>
      <c r="G2" s="122"/>
      <c r="H2" s="123"/>
      <c r="J2" s="118"/>
      <c r="K2" s="119"/>
      <c r="L2" s="119"/>
      <c r="M2" s="120"/>
      <c r="O2" s="121"/>
      <c r="P2" s="122"/>
      <c r="Q2" s="122"/>
      <c r="R2" s="123"/>
      <c r="T2" s="118"/>
      <c r="U2" s="119"/>
      <c r="V2" s="119"/>
      <c r="W2" s="120"/>
    </row>
    <row r="3" spans="1:23">
      <c r="A3" s="32" t="s">
        <v>53</v>
      </c>
      <c r="B3" s="33"/>
      <c r="C3" s="34"/>
      <c r="E3" s="35" t="s">
        <v>56</v>
      </c>
      <c r="F3" s="36"/>
      <c r="G3" s="36"/>
      <c r="H3" s="37"/>
      <c r="J3" s="32" t="s">
        <v>62</v>
      </c>
      <c r="K3" s="33"/>
      <c r="L3" s="33"/>
      <c r="M3" s="34"/>
      <c r="O3" s="35" t="s">
        <v>19</v>
      </c>
      <c r="P3" s="36"/>
      <c r="Q3" s="36"/>
      <c r="R3" s="37"/>
      <c r="T3" s="32" t="s">
        <v>40</v>
      </c>
      <c r="U3" s="33"/>
      <c r="V3" s="33"/>
      <c r="W3" s="34"/>
    </row>
    <row r="4" spans="1:23">
      <c r="A4" s="39"/>
      <c r="B4" s="40"/>
      <c r="C4" s="41"/>
      <c r="E4" s="42"/>
      <c r="F4" s="43"/>
      <c r="G4" s="43"/>
      <c r="H4" s="44"/>
      <c r="J4" s="39"/>
      <c r="K4" s="40"/>
      <c r="L4" s="40"/>
      <c r="M4" s="41"/>
      <c r="O4" s="42"/>
      <c r="P4" s="43"/>
      <c r="Q4" s="43"/>
      <c r="R4" s="44"/>
      <c r="T4" s="39"/>
      <c r="U4" s="40"/>
      <c r="V4" s="40"/>
      <c r="W4" s="41"/>
    </row>
    <row r="5" spans="1:23">
      <c r="B5" s="32" t="s">
        <v>100</v>
      </c>
      <c r="C5" s="34"/>
      <c r="F5" s="35" t="s">
        <v>100</v>
      </c>
      <c r="G5" s="36"/>
      <c r="H5" s="37"/>
      <c r="K5" s="32" t="s">
        <v>100</v>
      </c>
      <c r="L5" s="33"/>
      <c r="M5" s="34"/>
      <c r="P5" s="35" t="s">
        <v>100</v>
      </c>
      <c r="Q5" s="36"/>
      <c r="R5" s="37"/>
      <c r="U5" s="32" t="s">
        <v>100</v>
      </c>
      <c r="V5" s="33"/>
      <c r="W5" s="34"/>
    </row>
    <row r="6" spans="1:23" ht="51.75">
      <c r="B6" s="18" t="s">
        <v>54</v>
      </c>
      <c r="C6" s="18" t="s">
        <v>55</v>
      </c>
      <c r="D6" s="19"/>
      <c r="F6" s="20" t="s">
        <v>54</v>
      </c>
      <c r="G6" s="20" t="s">
        <v>57</v>
      </c>
      <c r="H6" s="20" t="s">
        <v>55</v>
      </c>
      <c r="I6" s="19"/>
      <c r="K6" s="18" t="s">
        <v>63</v>
      </c>
      <c r="L6" s="18" t="s">
        <v>64</v>
      </c>
      <c r="M6" s="18" t="s">
        <v>55</v>
      </c>
      <c r="N6" s="19"/>
      <c r="P6" s="20" t="s">
        <v>63</v>
      </c>
      <c r="Q6" s="20" t="s">
        <v>64</v>
      </c>
      <c r="R6" s="20" t="s">
        <v>55</v>
      </c>
      <c r="S6" s="19"/>
      <c r="U6" s="18" t="s">
        <v>65</v>
      </c>
      <c r="V6" s="18" t="s">
        <v>66</v>
      </c>
      <c r="W6" s="18" t="s">
        <v>55</v>
      </c>
    </row>
    <row r="7" spans="1:23">
      <c r="A7" s="15" t="s">
        <v>18</v>
      </c>
      <c r="B7" s="21">
        <v>1.7472099999999999</v>
      </c>
      <c r="C7" s="21">
        <v>1.64418</v>
      </c>
      <c r="D7" s="22"/>
      <c r="E7" s="17" t="s">
        <v>18</v>
      </c>
      <c r="F7" s="23">
        <v>1.75082</v>
      </c>
      <c r="G7" s="23">
        <v>1.2554000000000001</v>
      </c>
      <c r="H7" s="23">
        <v>1.26169</v>
      </c>
      <c r="I7" s="22"/>
      <c r="J7" s="15" t="s">
        <v>18</v>
      </c>
      <c r="K7" s="21">
        <v>1.0325</v>
      </c>
      <c r="L7" s="21">
        <v>1.8340099999999999</v>
      </c>
      <c r="M7" s="21">
        <v>1.5406599999999999</v>
      </c>
      <c r="N7" s="22"/>
      <c r="O7" s="17" t="s">
        <v>18</v>
      </c>
      <c r="P7" s="23">
        <v>1.0958000000000001</v>
      </c>
      <c r="Q7" s="23">
        <v>2.3385199999999999</v>
      </c>
      <c r="R7" s="23">
        <v>4.5866800000000003</v>
      </c>
      <c r="S7" s="22"/>
      <c r="T7" s="15" t="s">
        <v>18</v>
      </c>
      <c r="U7" s="21">
        <v>1.553103908</v>
      </c>
      <c r="V7" s="21">
        <v>2.47431</v>
      </c>
      <c r="W7" s="21">
        <v>2.8967499999999999</v>
      </c>
    </row>
    <row r="8" spans="1:23">
      <c r="A8" s="15" t="s">
        <v>1</v>
      </c>
      <c r="B8" s="21">
        <v>1.50248</v>
      </c>
      <c r="C8" s="21">
        <v>1.3164199999999999</v>
      </c>
      <c r="D8" s="22"/>
      <c r="E8" s="17" t="s">
        <v>1</v>
      </c>
      <c r="F8" s="23">
        <v>1.18984</v>
      </c>
      <c r="G8" s="23">
        <v>0.92284999999999995</v>
      </c>
      <c r="H8" s="23">
        <v>1.1796199999999999</v>
      </c>
      <c r="I8" s="22"/>
      <c r="J8" s="15" t="s">
        <v>1</v>
      </c>
      <c r="K8" s="21">
        <v>0.91708000000000001</v>
      </c>
      <c r="L8" s="21">
        <v>1.29006</v>
      </c>
      <c r="M8" s="21">
        <v>1.28792</v>
      </c>
      <c r="N8" s="22"/>
      <c r="O8" s="17" t="s">
        <v>1</v>
      </c>
      <c r="P8" s="23">
        <v>1.1870499999999999</v>
      </c>
      <c r="Q8" s="23">
        <v>2.02366</v>
      </c>
      <c r="R8" s="23">
        <v>2.1962899999999999</v>
      </c>
      <c r="S8" s="22"/>
      <c r="T8" s="15" t="s">
        <v>1</v>
      </c>
      <c r="U8" s="21">
        <v>2.7000086740000002</v>
      </c>
      <c r="V8" s="21">
        <v>1.8061799999999999</v>
      </c>
      <c r="W8" s="21">
        <v>2.1055899999999999</v>
      </c>
    </row>
    <row r="9" spans="1:23">
      <c r="A9" s="15" t="s">
        <v>2</v>
      </c>
      <c r="B9" s="21">
        <v>1.65795</v>
      </c>
      <c r="C9" s="21">
        <v>1.3578699999999999</v>
      </c>
      <c r="D9" s="22"/>
      <c r="E9" s="17" t="s">
        <v>2</v>
      </c>
      <c r="F9" s="23">
        <v>1.1903999999999999</v>
      </c>
      <c r="G9" s="23">
        <v>0.60424999999999995</v>
      </c>
      <c r="H9" s="23">
        <v>1.5004500000000001</v>
      </c>
      <c r="I9" s="22"/>
      <c r="J9" s="15" t="s">
        <v>2</v>
      </c>
      <c r="K9" s="21">
        <v>0.77998000000000001</v>
      </c>
      <c r="L9" s="21">
        <v>1.70262</v>
      </c>
      <c r="M9" s="21">
        <v>1.8447100000000001</v>
      </c>
      <c r="N9" s="22"/>
      <c r="O9" s="17" t="s">
        <v>2</v>
      </c>
      <c r="P9" s="23">
        <v>0.95926</v>
      </c>
      <c r="Q9" s="23">
        <v>1.26359</v>
      </c>
      <c r="R9" s="23">
        <v>2.5973700000000002</v>
      </c>
      <c r="S9" s="22"/>
      <c r="T9" s="15" t="s">
        <v>2</v>
      </c>
      <c r="U9" s="21">
        <v>3.2281224179999999</v>
      </c>
      <c r="V9" s="21">
        <v>1.93089</v>
      </c>
      <c r="W9" s="21">
        <v>2.21312</v>
      </c>
    </row>
    <row r="10" spans="1:23">
      <c r="A10" s="15" t="s">
        <v>3</v>
      </c>
      <c r="B10" s="21">
        <v>2.0815800000000002</v>
      </c>
      <c r="C10" s="21">
        <v>1.68018</v>
      </c>
      <c r="D10" s="22"/>
      <c r="E10" s="17" t="s">
        <v>3</v>
      </c>
      <c r="F10" s="23">
        <v>0.97424999999999995</v>
      </c>
      <c r="G10" s="23">
        <v>0.50556000000000001</v>
      </c>
      <c r="H10" s="23">
        <v>0.96626999999999996</v>
      </c>
      <c r="I10" s="22"/>
      <c r="J10" s="15" t="s">
        <v>3</v>
      </c>
      <c r="K10" s="21">
        <v>1.0552299999999999</v>
      </c>
      <c r="L10" s="21">
        <v>2.6944699999999999</v>
      </c>
      <c r="M10" s="21">
        <v>4.80016</v>
      </c>
      <c r="N10" s="22"/>
      <c r="O10" s="17" t="s">
        <v>3</v>
      </c>
      <c r="P10" s="23">
        <v>1.5681700000000001</v>
      </c>
      <c r="Q10" s="23">
        <v>2.2197499999999999</v>
      </c>
      <c r="R10" s="23">
        <v>3.7749799999999998</v>
      </c>
      <c r="S10" s="22"/>
      <c r="T10" s="15" t="s">
        <v>3</v>
      </c>
      <c r="U10" s="21">
        <v>1.600772109</v>
      </c>
      <c r="V10" s="21">
        <v>2.0230399999999999</v>
      </c>
      <c r="W10" s="21">
        <v>2.1133199999999999</v>
      </c>
    </row>
    <row r="11" spans="1:23">
      <c r="A11" s="15" t="s">
        <v>4</v>
      </c>
      <c r="B11" s="21">
        <v>1.70427</v>
      </c>
      <c r="C11" s="21">
        <v>1.7382899999999999</v>
      </c>
      <c r="D11" s="22"/>
      <c r="E11" s="17" t="s">
        <v>4</v>
      </c>
      <c r="F11" s="23">
        <v>1.0624100000000001</v>
      </c>
      <c r="G11" s="23">
        <v>0.88499000000000005</v>
      </c>
      <c r="H11" s="23">
        <v>1.22071</v>
      </c>
      <c r="I11" s="22"/>
      <c r="J11" s="15" t="s">
        <v>4</v>
      </c>
      <c r="K11" s="21">
        <v>1.0476399999999999</v>
      </c>
      <c r="L11" s="21">
        <v>2.1785199999999998</v>
      </c>
      <c r="M11" s="21">
        <v>1.34931</v>
      </c>
      <c r="N11" s="22"/>
      <c r="O11" s="17" t="s">
        <v>4</v>
      </c>
      <c r="P11" s="23">
        <v>1.1488</v>
      </c>
      <c r="Q11" s="23">
        <v>1.9065000000000001</v>
      </c>
      <c r="R11" s="23">
        <v>2.0547200000000001</v>
      </c>
      <c r="S11" s="22"/>
      <c r="T11" s="15" t="s">
        <v>4</v>
      </c>
      <c r="U11" s="21">
        <v>3.4349941419999999</v>
      </c>
      <c r="V11" s="21">
        <v>3.7599100000000001</v>
      </c>
      <c r="W11" s="21">
        <v>2.0648399999999998</v>
      </c>
    </row>
    <row r="12" spans="1:23">
      <c r="A12" s="15" t="s">
        <v>5</v>
      </c>
      <c r="B12" s="21">
        <v>1.71665</v>
      </c>
      <c r="C12" s="21">
        <v>1.02206</v>
      </c>
      <c r="D12" s="22"/>
      <c r="E12" s="17" t="s">
        <v>5</v>
      </c>
      <c r="F12" s="23">
        <v>1.54498</v>
      </c>
      <c r="G12" s="23">
        <v>0.98190999999999995</v>
      </c>
      <c r="H12" s="23">
        <v>1.07718</v>
      </c>
      <c r="I12" s="22"/>
      <c r="J12" s="15" t="s">
        <v>5</v>
      </c>
      <c r="K12" s="21">
        <v>1.14547</v>
      </c>
      <c r="L12" s="21">
        <v>1.2565900000000001</v>
      </c>
      <c r="M12" s="21">
        <v>1.4735799999999999</v>
      </c>
      <c r="N12" s="22"/>
      <c r="O12" s="17" t="s">
        <v>5</v>
      </c>
      <c r="P12" s="23">
        <v>1.7264699999999999</v>
      </c>
      <c r="Q12" s="23">
        <v>1.6322099999999999</v>
      </c>
      <c r="R12" s="23">
        <v>3.4533700000000001</v>
      </c>
      <c r="S12" s="22"/>
      <c r="T12" s="15" t="s">
        <v>5</v>
      </c>
      <c r="U12" s="21">
        <v>2.1128213769999999</v>
      </c>
      <c r="V12" s="21">
        <v>2.3130299999999999</v>
      </c>
      <c r="W12" s="21">
        <v>1.6571899999999999</v>
      </c>
    </row>
    <row r="13" spans="1:23">
      <c r="A13" s="15" t="s">
        <v>6</v>
      </c>
      <c r="B13" s="21">
        <v>1.40212</v>
      </c>
      <c r="C13" s="21">
        <v>1.48613</v>
      </c>
      <c r="D13" s="22"/>
      <c r="E13" s="17" t="s">
        <v>6</v>
      </c>
      <c r="F13" s="23">
        <v>1.29349</v>
      </c>
      <c r="G13" s="23">
        <v>1.0370699999999999</v>
      </c>
      <c r="H13" s="23">
        <v>1.14602</v>
      </c>
      <c r="I13" s="22"/>
      <c r="J13" s="15" t="s">
        <v>6</v>
      </c>
      <c r="K13" s="21">
        <v>1.06416</v>
      </c>
      <c r="L13" s="21">
        <v>2.1858900000000001</v>
      </c>
      <c r="M13" s="21">
        <v>2.2340100000000001</v>
      </c>
      <c r="N13" s="22"/>
      <c r="O13" s="17" t="s">
        <v>6</v>
      </c>
      <c r="P13" s="23">
        <v>1.5579700000000001</v>
      </c>
      <c r="Q13" s="23">
        <v>2.24309</v>
      </c>
      <c r="R13" s="23">
        <v>2.0375700000000001</v>
      </c>
      <c r="S13" s="22"/>
      <c r="T13" s="15" t="s">
        <v>6</v>
      </c>
      <c r="U13" s="21">
        <v>1.612213608</v>
      </c>
      <c r="V13" s="21">
        <v>2.2770000000000001</v>
      </c>
      <c r="W13" s="21">
        <v>2.1452800000000001</v>
      </c>
    </row>
    <row r="14" spans="1:23">
      <c r="A14" s="15" t="s">
        <v>7</v>
      </c>
      <c r="B14" s="21">
        <v>1.76257</v>
      </c>
      <c r="C14" s="21">
        <v>1.6598999999999999</v>
      </c>
      <c r="D14" s="22"/>
      <c r="E14" s="17" t="s">
        <v>7</v>
      </c>
      <c r="F14" s="23">
        <v>1.6534500000000001</v>
      </c>
      <c r="G14" s="23">
        <v>1.3161099999999999</v>
      </c>
      <c r="H14" s="23">
        <v>1.77138</v>
      </c>
      <c r="I14" s="22"/>
      <c r="J14" s="15" t="s">
        <v>7</v>
      </c>
      <c r="K14" s="21">
        <v>1.1376200000000001</v>
      </c>
      <c r="L14" s="21">
        <v>1.9355</v>
      </c>
      <c r="M14" s="21">
        <v>2.5136400000000001</v>
      </c>
      <c r="N14" s="22"/>
      <c r="O14" s="17" t="s">
        <v>7</v>
      </c>
      <c r="P14" s="23">
        <v>1.7459899999999999</v>
      </c>
      <c r="Q14" s="23">
        <v>1.8692500000000001</v>
      </c>
      <c r="R14" s="23">
        <v>2.6120899999999998</v>
      </c>
      <c r="S14" s="22"/>
      <c r="T14" s="15" t="s">
        <v>7</v>
      </c>
      <c r="U14" s="21">
        <v>1.858821174</v>
      </c>
      <c r="V14" s="21">
        <v>2.6054300000000001</v>
      </c>
      <c r="W14" s="21">
        <v>1.6402300000000001</v>
      </c>
    </row>
    <row r="15" spans="1:23">
      <c r="A15" s="15" t="s">
        <v>8</v>
      </c>
      <c r="B15" s="21">
        <v>1.1512199999999999</v>
      </c>
      <c r="C15" s="21">
        <v>1.4730700000000001</v>
      </c>
      <c r="D15" s="22"/>
      <c r="J15" s="15" t="s">
        <v>8</v>
      </c>
      <c r="K15" s="21">
        <v>1.1335999999999999</v>
      </c>
      <c r="L15" s="21">
        <v>1.7827</v>
      </c>
      <c r="M15" s="21">
        <v>3.75143</v>
      </c>
      <c r="N15" s="22"/>
      <c r="T15" s="15" t="s">
        <v>8</v>
      </c>
      <c r="U15" s="21">
        <v>2.0025951370000001</v>
      </c>
      <c r="V15" s="21">
        <v>2.3699699999999999</v>
      </c>
      <c r="W15" s="21">
        <v>1.46085</v>
      </c>
    </row>
    <row r="16" spans="1:23">
      <c r="J16" s="15" t="s">
        <v>9</v>
      </c>
      <c r="K16" s="21">
        <v>0.80979000000000001</v>
      </c>
      <c r="L16" s="21">
        <v>1.2779400000000001</v>
      </c>
      <c r="M16" s="21">
        <v>1.2704800000000001</v>
      </c>
      <c r="N16" s="22"/>
    </row>
    <row r="17" spans="1:23">
      <c r="A17" s="15" t="s">
        <v>99</v>
      </c>
      <c r="B17" s="15">
        <f>AVERAGE(B7:B16)</f>
        <v>1.6362277777777778</v>
      </c>
      <c r="C17" s="15">
        <f t="shared" ref="C17:W17" si="0">AVERAGE(C7:C16)</f>
        <v>1.4864555555555556</v>
      </c>
      <c r="D17" s="38"/>
      <c r="E17" s="17" t="s">
        <v>99</v>
      </c>
      <c r="F17" s="17">
        <f t="shared" si="0"/>
        <v>1.3324549999999997</v>
      </c>
      <c r="G17" s="17">
        <f t="shared" si="0"/>
        <v>0.9385175</v>
      </c>
      <c r="H17" s="17">
        <f t="shared" si="0"/>
        <v>1.265415</v>
      </c>
      <c r="I17" s="38"/>
      <c r="J17" s="15" t="s">
        <v>99</v>
      </c>
      <c r="K17" s="15">
        <f t="shared" si="0"/>
        <v>1.0123070000000001</v>
      </c>
      <c r="L17" s="15">
        <f t="shared" si="0"/>
        <v>1.8138300000000001</v>
      </c>
      <c r="M17" s="15">
        <f t="shared" si="0"/>
        <v>2.2065899999999994</v>
      </c>
      <c r="N17" s="38"/>
      <c r="O17" s="17" t="s">
        <v>99</v>
      </c>
      <c r="P17" s="17">
        <f t="shared" si="0"/>
        <v>1.3736887499999999</v>
      </c>
      <c r="Q17" s="17">
        <f t="shared" si="0"/>
        <v>1.9370712500000002</v>
      </c>
      <c r="R17" s="17">
        <f t="shared" si="0"/>
        <v>2.9141337499999995</v>
      </c>
      <c r="S17" s="38"/>
      <c r="T17" s="15" t="s">
        <v>99</v>
      </c>
      <c r="U17" s="15">
        <f t="shared" si="0"/>
        <v>2.2337169496666665</v>
      </c>
      <c r="V17" s="15">
        <f t="shared" si="0"/>
        <v>2.3955288888888888</v>
      </c>
      <c r="W17" s="15">
        <f t="shared" si="0"/>
        <v>2.0330188888888889</v>
      </c>
    </row>
    <row r="19" spans="1:23">
      <c r="A19" s="24"/>
      <c r="B19" s="24" t="s">
        <v>54</v>
      </c>
      <c r="C19" s="24" t="s">
        <v>55</v>
      </c>
      <c r="E19" s="25"/>
      <c r="F19" s="25" t="s">
        <v>54</v>
      </c>
      <c r="G19" s="25" t="s">
        <v>57</v>
      </c>
      <c r="H19" s="25" t="s">
        <v>55</v>
      </c>
      <c r="I19" s="26"/>
      <c r="J19" s="24"/>
      <c r="K19" s="24" t="s">
        <v>63</v>
      </c>
      <c r="L19" s="24" t="s">
        <v>64</v>
      </c>
      <c r="M19" s="24" t="s">
        <v>55</v>
      </c>
      <c r="N19" s="26"/>
      <c r="O19" s="25"/>
      <c r="P19" s="25" t="s">
        <v>63</v>
      </c>
      <c r="Q19" s="25" t="s">
        <v>64</v>
      </c>
      <c r="R19" s="25" t="s">
        <v>55</v>
      </c>
      <c r="T19" s="24"/>
      <c r="U19" s="24" t="s">
        <v>65</v>
      </c>
      <c r="V19" s="24" t="s">
        <v>66</v>
      </c>
      <c r="W19" s="24" t="s">
        <v>55</v>
      </c>
    </row>
    <row r="20" spans="1:23">
      <c r="A20" s="27" t="s">
        <v>67</v>
      </c>
      <c r="B20" s="28">
        <v>1</v>
      </c>
      <c r="C20" s="28">
        <v>1</v>
      </c>
      <c r="E20" s="29" t="s">
        <v>67</v>
      </c>
      <c r="F20" s="30">
        <v>1</v>
      </c>
      <c r="G20" s="30">
        <v>1</v>
      </c>
      <c r="H20" s="30">
        <v>1</v>
      </c>
      <c r="I20" s="31"/>
      <c r="J20" s="27" t="s">
        <v>67</v>
      </c>
      <c r="K20" s="28">
        <v>1</v>
      </c>
      <c r="L20" s="28">
        <v>1</v>
      </c>
      <c r="M20" s="28">
        <v>1</v>
      </c>
      <c r="N20" s="31"/>
      <c r="O20" s="29" t="s">
        <v>67</v>
      </c>
      <c r="P20" s="30">
        <v>1</v>
      </c>
      <c r="Q20" s="30">
        <v>1</v>
      </c>
      <c r="R20" s="30">
        <v>1</v>
      </c>
      <c r="T20" s="27" t="s">
        <v>67</v>
      </c>
      <c r="U20" s="28">
        <v>1</v>
      </c>
      <c r="V20" s="28">
        <v>1</v>
      </c>
      <c r="W20" s="28">
        <v>1</v>
      </c>
    </row>
    <row r="21" spans="1:23">
      <c r="A21" s="27" t="s">
        <v>68</v>
      </c>
      <c r="B21" s="28">
        <v>1.704</v>
      </c>
      <c r="C21" s="28">
        <v>1.486</v>
      </c>
      <c r="E21" s="29" t="s">
        <v>68</v>
      </c>
      <c r="F21" s="30">
        <v>1.242</v>
      </c>
      <c r="G21" s="30">
        <v>0.95240000000000002</v>
      </c>
      <c r="H21" s="30">
        <v>1.2</v>
      </c>
      <c r="I21" s="31"/>
      <c r="J21" s="27" t="s">
        <v>68</v>
      </c>
      <c r="K21" s="28">
        <v>1.0509999999999999</v>
      </c>
      <c r="L21" s="28">
        <v>1.8080000000000001</v>
      </c>
      <c r="M21" s="28">
        <v>1.6930000000000001</v>
      </c>
      <c r="N21" s="31"/>
      <c r="O21" s="29" t="s">
        <v>68</v>
      </c>
      <c r="P21" s="30">
        <v>1.373</v>
      </c>
      <c r="Q21" s="30">
        <v>1.9650000000000001</v>
      </c>
      <c r="R21" s="30">
        <v>2.605</v>
      </c>
      <c r="T21" s="27" t="s">
        <v>68</v>
      </c>
      <c r="U21" s="28">
        <v>2.0030000000000001</v>
      </c>
      <c r="V21" s="28">
        <v>2.3130000000000002</v>
      </c>
      <c r="W21" s="28">
        <v>2.1059999999999999</v>
      </c>
    </row>
    <row r="22" spans="1:23">
      <c r="A22" s="27" t="s">
        <v>69</v>
      </c>
      <c r="B22" s="28">
        <v>9</v>
      </c>
      <c r="C22" s="28">
        <v>9</v>
      </c>
      <c r="E22" s="29" t="s">
        <v>69</v>
      </c>
      <c r="F22" s="30">
        <v>8</v>
      </c>
      <c r="G22" s="30">
        <v>8</v>
      </c>
      <c r="H22" s="30">
        <v>8</v>
      </c>
      <c r="I22" s="31"/>
      <c r="J22" s="27" t="s">
        <v>69</v>
      </c>
      <c r="K22" s="28">
        <v>10</v>
      </c>
      <c r="L22" s="28">
        <v>10</v>
      </c>
      <c r="M22" s="28">
        <v>10</v>
      </c>
      <c r="N22" s="31"/>
      <c r="O22" s="29" t="s">
        <v>69</v>
      </c>
      <c r="P22" s="30">
        <v>8</v>
      </c>
      <c r="Q22" s="30">
        <v>8</v>
      </c>
      <c r="R22" s="30">
        <v>8</v>
      </c>
      <c r="T22" s="27" t="s">
        <v>69</v>
      </c>
      <c r="U22" s="28">
        <v>9</v>
      </c>
      <c r="V22" s="28">
        <v>9</v>
      </c>
      <c r="W22" s="28">
        <v>9</v>
      </c>
    </row>
    <row r="23" spans="1:23">
      <c r="A23" s="27"/>
      <c r="B23" s="28"/>
      <c r="C23" s="28"/>
      <c r="E23" s="29"/>
      <c r="F23" s="30"/>
      <c r="G23" s="30"/>
      <c r="H23" s="30"/>
      <c r="I23" s="31"/>
      <c r="J23" s="27"/>
      <c r="K23" s="28"/>
      <c r="L23" s="28"/>
      <c r="M23" s="28"/>
      <c r="N23" s="31"/>
      <c r="O23" s="29"/>
      <c r="P23" s="30"/>
      <c r="Q23" s="30"/>
      <c r="R23" s="30"/>
      <c r="T23" s="27"/>
      <c r="U23" s="28"/>
      <c r="V23" s="28"/>
      <c r="W23" s="28"/>
    </row>
    <row r="24" spans="1:23">
      <c r="A24" s="27" t="s">
        <v>70</v>
      </c>
      <c r="B24" s="28"/>
      <c r="C24" s="28"/>
      <c r="E24" s="29" t="s">
        <v>70</v>
      </c>
      <c r="F24" s="30"/>
      <c r="G24" s="30"/>
      <c r="H24" s="30"/>
      <c r="I24" s="31"/>
      <c r="J24" s="27" t="s">
        <v>70</v>
      </c>
      <c r="K24" s="28"/>
      <c r="L24" s="28"/>
      <c r="M24" s="28"/>
      <c r="N24" s="31"/>
      <c r="O24" s="29" t="s">
        <v>70</v>
      </c>
      <c r="P24" s="30"/>
      <c r="Q24" s="30"/>
      <c r="R24" s="30"/>
      <c r="T24" s="27" t="s">
        <v>70</v>
      </c>
      <c r="U24" s="28"/>
      <c r="V24" s="28"/>
      <c r="W24" s="28"/>
    </row>
    <row r="25" spans="1:23">
      <c r="A25" s="27" t="s">
        <v>71</v>
      </c>
      <c r="B25" s="28">
        <v>45</v>
      </c>
      <c r="C25" s="28">
        <v>45</v>
      </c>
      <c r="E25" s="29" t="s">
        <v>71</v>
      </c>
      <c r="F25" s="30">
        <v>34</v>
      </c>
      <c r="G25" s="30">
        <v>-10</v>
      </c>
      <c r="H25" s="30">
        <v>34</v>
      </c>
      <c r="I25" s="31"/>
      <c r="J25" s="27" t="s">
        <v>71</v>
      </c>
      <c r="K25" s="28">
        <v>7</v>
      </c>
      <c r="L25" s="28">
        <v>55</v>
      </c>
      <c r="M25" s="28">
        <v>55</v>
      </c>
      <c r="N25" s="31"/>
      <c r="O25" s="29" t="s">
        <v>71</v>
      </c>
      <c r="P25" s="30">
        <v>34</v>
      </c>
      <c r="Q25" s="30">
        <v>36</v>
      </c>
      <c r="R25" s="30">
        <v>36</v>
      </c>
      <c r="T25" s="27" t="s">
        <v>71</v>
      </c>
      <c r="U25" s="28">
        <v>45</v>
      </c>
      <c r="V25" s="28">
        <v>45</v>
      </c>
      <c r="W25" s="28">
        <v>45</v>
      </c>
    </row>
    <row r="26" spans="1:23">
      <c r="A26" s="27" t="s">
        <v>72</v>
      </c>
      <c r="B26" s="28">
        <v>45</v>
      </c>
      <c r="C26" s="28">
        <v>45</v>
      </c>
      <c r="E26" s="29" t="s">
        <v>72</v>
      </c>
      <c r="F26" s="30">
        <v>35</v>
      </c>
      <c r="G26" s="30">
        <v>13</v>
      </c>
      <c r="H26" s="30">
        <v>35</v>
      </c>
      <c r="I26" s="31"/>
      <c r="J26" s="27" t="s">
        <v>72</v>
      </c>
      <c r="K26" s="28">
        <v>31</v>
      </c>
      <c r="L26" s="28">
        <v>55</v>
      </c>
      <c r="M26" s="28">
        <v>55</v>
      </c>
      <c r="N26" s="31"/>
      <c r="O26" s="29" t="s">
        <v>72</v>
      </c>
      <c r="P26" s="30">
        <v>35</v>
      </c>
      <c r="Q26" s="30">
        <v>36</v>
      </c>
      <c r="R26" s="30">
        <v>36</v>
      </c>
      <c r="T26" s="27" t="s">
        <v>72</v>
      </c>
      <c r="U26" s="28">
        <v>45</v>
      </c>
      <c r="V26" s="28">
        <v>45</v>
      </c>
      <c r="W26" s="28">
        <v>45</v>
      </c>
    </row>
    <row r="27" spans="1:23">
      <c r="A27" s="27" t="s">
        <v>73</v>
      </c>
      <c r="B27" s="28">
        <v>0</v>
      </c>
      <c r="C27" s="28">
        <v>0</v>
      </c>
      <c r="E27" s="29" t="s">
        <v>73</v>
      </c>
      <c r="F27" s="30">
        <v>-1</v>
      </c>
      <c r="G27" s="30">
        <v>-23</v>
      </c>
      <c r="H27" s="30">
        <v>-1</v>
      </c>
      <c r="I27" s="31"/>
      <c r="J27" s="27" t="s">
        <v>73</v>
      </c>
      <c r="K27" s="28">
        <v>-24</v>
      </c>
      <c r="L27" s="28">
        <v>0</v>
      </c>
      <c r="M27" s="28">
        <v>0</v>
      </c>
      <c r="N27" s="31"/>
      <c r="O27" s="29" t="s">
        <v>73</v>
      </c>
      <c r="P27" s="30">
        <v>-1</v>
      </c>
      <c r="Q27" s="30">
        <v>0</v>
      </c>
      <c r="R27" s="30">
        <v>0</v>
      </c>
      <c r="T27" s="27" t="s">
        <v>73</v>
      </c>
      <c r="U27" s="28">
        <v>0</v>
      </c>
      <c r="V27" s="28">
        <v>0</v>
      </c>
      <c r="W27" s="28">
        <v>0</v>
      </c>
    </row>
    <row r="28" spans="1:23">
      <c r="A28" s="27" t="s">
        <v>74</v>
      </c>
      <c r="B28" s="28">
        <v>3.8999999999999998E-3</v>
      </c>
      <c r="C28" s="28">
        <v>3.8999999999999998E-3</v>
      </c>
      <c r="E28" s="29" t="s">
        <v>74</v>
      </c>
      <c r="F28" s="30">
        <v>1.5599999999999999E-2</v>
      </c>
      <c r="G28" s="30">
        <v>0.54690000000000005</v>
      </c>
      <c r="H28" s="30">
        <v>1.5599999999999999E-2</v>
      </c>
      <c r="I28" s="31"/>
      <c r="J28" s="27" t="s">
        <v>74</v>
      </c>
      <c r="K28" s="28">
        <v>0.76949999999999996</v>
      </c>
      <c r="L28" s="28">
        <v>2E-3</v>
      </c>
      <c r="M28" s="28">
        <v>2E-3</v>
      </c>
      <c r="N28" s="31"/>
      <c r="O28" s="29" t="s">
        <v>74</v>
      </c>
      <c r="P28" s="30">
        <v>1.5599999999999999E-2</v>
      </c>
      <c r="Q28" s="30">
        <v>7.7999999999999996E-3</v>
      </c>
      <c r="R28" s="30">
        <v>7.7999999999999996E-3</v>
      </c>
      <c r="T28" s="27" t="s">
        <v>74</v>
      </c>
      <c r="U28" s="28">
        <v>3.8999999999999998E-3</v>
      </c>
      <c r="V28" s="28">
        <v>3.8999999999999998E-3</v>
      </c>
      <c r="W28" s="28">
        <v>3.8999999999999998E-3</v>
      </c>
    </row>
    <row r="29" spans="1:23">
      <c r="A29" s="27" t="s">
        <v>75</v>
      </c>
      <c r="B29" s="28" t="s">
        <v>76</v>
      </c>
      <c r="C29" s="28" t="s">
        <v>76</v>
      </c>
      <c r="E29" s="29" t="s">
        <v>75</v>
      </c>
      <c r="F29" s="30" t="s">
        <v>76</v>
      </c>
      <c r="G29" s="30" t="s">
        <v>76</v>
      </c>
      <c r="H29" s="30" t="s">
        <v>76</v>
      </c>
      <c r="I29" s="31"/>
      <c r="J29" s="27" t="s">
        <v>75</v>
      </c>
      <c r="K29" s="28" t="s">
        <v>76</v>
      </c>
      <c r="L29" s="28" t="s">
        <v>76</v>
      </c>
      <c r="M29" s="28" t="s">
        <v>76</v>
      </c>
      <c r="N29" s="31"/>
      <c r="O29" s="29" t="s">
        <v>75</v>
      </c>
      <c r="P29" s="30" t="s">
        <v>76</v>
      </c>
      <c r="Q29" s="30" t="s">
        <v>76</v>
      </c>
      <c r="R29" s="30" t="s">
        <v>76</v>
      </c>
      <c r="T29" s="27" t="s">
        <v>75</v>
      </c>
      <c r="U29" s="28" t="s">
        <v>76</v>
      </c>
      <c r="V29" s="28" t="s">
        <v>76</v>
      </c>
      <c r="W29" s="28" t="s">
        <v>76</v>
      </c>
    </row>
    <row r="30" spans="1:23">
      <c r="A30" s="27" t="s">
        <v>77</v>
      </c>
      <c r="B30" s="28" t="s">
        <v>78</v>
      </c>
      <c r="C30" s="28" t="s">
        <v>78</v>
      </c>
      <c r="E30" s="29" t="s">
        <v>77</v>
      </c>
      <c r="F30" s="30" t="s">
        <v>87</v>
      </c>
      <c r="G30" s="30" t="s">
        <v>88</v>
      </c>
      <c r="H30" s="30" t="s">
        <v>87</v>
      </c>
      <c r="I30" s="31"/>
      <c r="J30" s="27" t="s">
        <v>77</v>
      </c>
      <c r="K30" s="28" t="s">
        <v>88</v>
      </c>
      <c r="L30" s="28" t="s">
        <v>78</v>
      </c>
      <c r="M30" s="28" t="s">
        <v>78</v>
      </c>
      <c r="N30" s="31"/>
      <c r="O30" s="29" t="s">
        <v>77</v>
      </c>
      <c r="P30" s="30" t="s">
        <v>87</v>
      </c>
      <c r="Q30" s="30" t="s">
        <v>78</v>
      </c>
      <c r="R30" s="30" t="s">
        <v>78</v>
      </c>
      <c r="T30" s="27" t="s">
        <v>77</v>
      </c>
      <c r="U30" s="28" t="s">
        <v>78</v>
      </c>
      <c r="V30" s="28" t="s">
        <v>78</v>
      </c>
      <c r="W30" s="28" t="s">
        <v>78</v>
      </c>
    </row>
    <row r="31" spans="1:23">
      <c r="A31" s="27" t="s">
        <v>79</v>
      </c>
      <c r="B31" s="28" t="s">
        <v>80</v>
      </c>
      <c r="C31" s="28" t="s">
        <v>80</v>
      </c>
      <c r="E31" s="29" t="s">
        <v>79</v>
      </c>
      <c r="F31" s="30" t="s">
        <v>80</v>
      </c>
      <c r="G31" s="30" t="s">
        <v>89</v>
      </c>
      <c r="H31" s="30" t="s">
        <v>80</v>
      </c>
      <c r="I31" s="31"/>
      <c r="J31" s="27" t="s">
        <v>79</v>
      </c>
      <c r="K31" s="28" t="s">
        <v>89</v>
      </c>
      <c r="L31" s="28" t="s">
        <v>80</v>
      </c>
      <c r="M31" s="28" t="s">
        <v>80</v>
      </c>
      <c r="N31" s="31"/>
      <c r="O31" s="29" t="s">
        <v>79</v>
      </c>
      <c r="P31" s="30" t="s">
        <v>80</v>
      </c>
      <c r="Q31" s="30" t="s">
        <v>80</v>
      </c>
      <c r="R31" s="30" t="s">
        <v>80</v>
      </c>
      <c r="T31" s="27" t="s">
        <v>79</v>
      </c>
      <c r="U31" s="28" t="s">
        <v>80</v>
      </c>
      <c r="V31" s="28" t="s">
        <v>80</v>
      </c>
      <c r="W31" s="28" t="s">
        <v>80</v>
      </c>
    </row>
    <row r="32" spans="1:23">
      <c r="A32" s="27"/>
      <c r="B32" s="28"/>
      <c r="C32" s="28"/>
      <c r="E32" s="29"/>
      <c r="F32" s="30"/>
      <c r="G32" s="30"/>
      <c r="H32" s="30"/>
      <c r="I32" s="31"/>
      <c r="J32" s="27"/>
      <c r="K32" s="28"/>
      <c r="L32" s="28"/>
      <c r="M32" s="28"/>
      <c r="N32" s="31"/>
      <c r="O32" s="29"/>
      <c r="P32" s="30"/>
      <c r="Q32" s="30"/>
      <c r="R32" s="30"/>
      <c r="T32" s="27"/>
      <c r="U32" s="28"/>
      <c r="V32" s="28"/>
      <c r="W32" s="28"/>
    </row>
    <row r="33" spans="1:23">
      <c r="A33" s="27" t="s">
        <v>81</v>
      </c>
      <c r="B33" s="28"/>
      <c r="C33" s="28"/>
      <c r="E33" s="29" t="s">
        <v>81</v>
      </c>
      <c r="F33" s="30"/>
      <c r="G33" s="30"/>
      <c r="H33" s="30"/>
      <c r="I33" s="31"/>
      <c r="J33" s="27" t="s">
        <v>81</v>
      </c>
      <c r="K33" s="28"/>
      <c r="L33" s="28"/>
      <c r="M33" s="28"/>
      <c r="N33" s="31"/>
      <c r="O33" s="29" t="s">
        <v>81</v>
      </c>
      <c r="P33" s="30"/>
      <c r="Q33" s="30"/>
      <c r="R33" s="30"/>
      <c r="T33" s="27" t="s">
        <v>81</v>
      </c>
      <c r="U33" s="28"/>
      <c r="V33" s="28"/>
      <c r="W33" s="28"/>
    </row>
    <row r="34" spans="1:23">
      <c r="A34" s="27" t="s">
        <v>82</v>
      </c>
      <c r="B34" s="28">
        <v>0.70430000000000004</v>
      </c>
      <c r="C34" s="28">
        <v>0.48609999999999998</v>
      </c>
      <c r="E34" s="29" t="s">
        <v>82</v>
      </c>
      <c r="F34" s="30">
        <v>0.2419</v>
      </c>
      <c r="G34" s="30">
        <v>-4.7620000000000003E-2</v>
      </c>
      <c r="H34" s="30">
        <v>0.20019999999999999</v>
      </c>
      <c r="I34" s="31"/>
      <c r="J34" s="27" t="s">
        <v>82</v>
      </c>
      <c r="K34" s="28">
        <v>5.1429999999999997E-2</v>
      </c>
      <c r="L34" s="28">
        <v>0.80840000000000001</v>
      </c>
      <c r="M34" s="28">
        <v>0.69269999999999998</v>
      </c>
      <c r="N34" s="31"/>
      <c r="O34" s="29" t="s">
        <v>82</v>
      </c>
      <c r="P34" s="30">
        <v>0.3725</v>
      </c>
      <c r="Q34" s="30">
        <v>0.96509999999999996</v>
      </c>
      <c r="R34" s="30">
        <v>1.605</v>
      </c>
      <c r="T34" s="27" t="s">
        <v>82</v>
      </c>
      <c r="U34" s="28">
        <v>1.0029999999999999</v>
      </c>
      <c r="V34" s="28">
        <v>1.3129999999999999</v>
      </c>
      <c r="W34" s="28">
        <v>1.1060000000000001</v>
      </c>
    </row>
    <row r="35" spans="1:23">
      <c r="A35" s="27" t="s">
        <v>83</v>
      </c>
      <c r="B35" s="28" t="s">
        <v>84</v>
      </c>
      <c r="C35" s="28" t="s">
        <v>85</v>
      </c>
      <c r="E35" s="29" t="s">
        <v>83</v>
      </c>
      <c r="F35" s="30" t="s">
        <v>90</v>
      </c>
      <c r="G35" s="30" t="s">
        <v>91</v>
      </c>
      <c r="H35" s="30" t="s">
        <v>92</v>
      </c>
      <c r="I35" s="31"/>
      <c r="O35" s="29" t="s">
        <v>83</v>
      </c>
      <c r="P35" s="30" t="s">
        <v>93</v>
      </c>
      <c r="Q35" s="30" t="s">
        <v>94</v>
      </c>
      <c r="R35" s="30" t="s">
        <v>95</v>
      </c>
      <c r="T35" s="27" t="s">
        <v>83</v>
      </c>
      <c r="U35" s="28" t="s">
        <v>96</v>
      </c>
      <c r="V35" s="28" t="s">
        <v>97</v>
      </c>
      <c r="W35" s="28" t="s">
        <v>98</v>
      </c>
    </row>
    <row r="36" spans="1:23">
      <c r="A36" s="27" t="s">
        <v>86</v>
      </c>
      <c r="B36" s="28">
        <v>96.09</v>
      </c>
      <c r="C36" s="28">
        <v>96.09</v>
      </c>
      <c r="E36" s="29" t="s">
        <v>86</v>
      </c>
      <c r="F36" s="30">
        <v>99.22</v>
      </c>
      <c r="G36" s="30">
        <v>99.22</v>
      </c>
      <c r="H36" s="30">
        <v>99.22</v>
      </c>
      <c r="I36" s="31"/>
      <c r="O36" s="29" t="s">
        <v>86</v>
      </c>
      <c r="P36" s="30">
        <v>99.22</v>
      </c>
      <c r="Q36" s="30">
        <v>99.22</v>
      </c>
      <c r="R36" s="30">
        <v>99.22</v>
      </c>
      <c r="T36" s="27" t="s">
        <v>86</v>
      </c>
      <c r="U36" s="28">
        <v>96.09</v>
      </c>
      <c r="V36" s="28">
        <v>96.09</v>
      </c>
      <c r="W36" s="28">
        <v>96.09</v>
      </c>
    </row>
  </sheetData>
  <mergeCells count="10">
    <mergeCell ref="A3:C3"/>
    <mergeCell ref="E3:H3"/>
    <mergeCell ref="J3:M3"/>
    <mergeCell ref="O3:R3"/>
    <mergeCell ref="T3:W3"/>
    <mergeCell ref="U5:W5"/>
    <mergeCell ref="K5:M5"/>
    <mergeCell ref="P5:R5"/>
    <mergeCell ref="F5:H5"/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8122B-0F0C-4FFD-A9C2-04FE19B5BDBF}">
  <dimension ref="A2:Q65"/>
  <sheetViews>
    <sheetView workbookViewId="0">
      <selection activeCell="F28" sqref="F28"/>
    </sheetView>
  </sheetViews>
  <sheetFormatPr defaultRowHeight="15"/>
  <cols>
    <col min="1" max="1" width="15.140625" style="17" customWidth="1"/>
    <col min="2" max="3" width="9.140625" style="17"/>
    <col min="4" max="4" width="9.140625" style="16"/>
    <col min="5" max="5" width="16.7109375" style="15" customWidth="1"/>
    <col min="6" max="7" width="9.140625" style="15"/>
    <col min="8" max="8" width="9.140625" style="16"/>
    <col min="9" max="9" width="17.28515625" style="17" customWidth="1"/>
    <col min="10" max="17" width="9.140625" style="17"/>
    <col min="18" max="16384" width="9.140625" style="16"/>
  </cols>
  <sheetData>
    <row r="2" spans="1:12" ht="30" customHeight="1">
      <c r="B2" s="35" t="s">
        <v>101</v>
      </c>
      <c r="C2" s="37"/>
      <c r="F2" s="32" t="s">
        <v>19</v>
      </c>
      <c r="G2" s="34"/>
      <c r="J2" s="35" t="s">
        <v>40</v>
      </c>
      <c r="K2" s="36"/>
      <c r="L2" s="37"/>
    </row>
    <row r="3" spans="1:12">
      <c r="B3" s="115" t="s">
        <v>624</v>
      </c>
      <c r="C3" s="117"/>
      <c r="F3" s="113" t="s">
        <v>624</v>
      </c>
      <c r="G3" s="114"/>
      <c r="J3" s="115" t="s">
        <v>624</v>
      </c>
      <c r="K3" s="116"/>
      <c r="L3" s="117"/>
    </row>
    <row r="4" spans="1:12" ht="26.25">
      <c r="A4" s="17" t="s">
        <v>195</v>
      </c>
      <c r="B4" s="20" t="s">
        <v>102</v>
      </c>
      <c r="C4" s="20" t="s">
        <v>103</v>
      </c>
      <c r="D4" s="19"/>
      <c r="E4" s="15" t="s">
        <v>195</v>
      </c>
      <c r="F4" s="18" t="s">
        <v>102</v>
      </c>
      <c r="G4" s="18" t="s">
        <v>103</v>
      </c>
      <c r="H4" s="19"/>
      <c r="I4" s="17" t="s">
        <v>195</v>
      </c>
      <c r="J4" s="20" t="s">
        <v>104</v>
      </c>
      <c r="K4" s="20" t="s">
        <v>105</v>
      </c>
      <c r="L4" s="20" t="s">
        <v>106</v>
      </c>
    </row>
    <row r="5" spans="1:12">
      <c r="A5" s="17">
        <v>1</v>
      </c>
      <c r="B5" s="23">
        <v>0.53220999999999996</v>
      </c>
      <c r="C5" s="23">
        <v>0.63944000000000001</v>
      </c>
      <c r="D5" s="22"/>
      <c r="E5" s="15">
        <v>1</v>
      </c>
      <c r="F5" s="21">
        <v>0.27614</v>
      </c>
      <c r="G5" s="21">
        <v>0.54988000000000004</v>
      </c>
      <c r="H5" s="22"/>
      <c r="I5" s="17">
        <v>1</v>
      </c>
      <c r="J5" s="23">
        <v>5.953E-2</v>
      </c>
      <c r="K5" s="23">
        <v>0.65003999999999995</v>
      </c>
      <c r="L5" s="23">
        <v>9.9769999999999998E-2</v>
      </c>
    </row>
    <row r="6" spans="1:12">
      <c r="A6" s="17">
        <v>2</v>
      </c>
      <c r="B6" s="23">
        <v>0.52264999999999995</v>
      </c>
      <c r="C6" s="23">
        <v>0.35842000000000002</v>
      </c>
      <c r="D6" s="22"/>
      <c r="E6" s="15">
        <v>2</v>
      </c>
      <c r="F6" s="21">
        <v>0.43491999999999997</v>
      </c>
      <c r="G6" s="21">
        <v>0.55796999999999997</v>
      </c>
      <c r="H6" s="22"/>
      <c r="I6" s="17">
        <v>2</v>
      </c>
      <c r="J6" s="23">
        <v>0.78493000000000002</v>
      </c>
      <c r="K6" s="23">
        <v>0.77298</v>
      </c>
      <c r="L6" s="23">
        <v>0.98062000000000005</v>
      </c>
    </row>
    <row r="7" spans="1:12">
      <c r="A7" s="17">
        <v>3</v>
      </c>
      <c r="B7" s="23">
        <v>6.565E-2</v>
      </c>
      <c r="C7" s="23">
        <v>0.31117</v>
      </c>
      <c r="D7" s="22"/>
      <c r="E7" s="15">
        <v>3</v>
      </c>
      <c r="F7" s="21">
        <v>0.48383999999999999</v>
      </c>
      <c r="G7" s="21">
        <v>0.51319000000000004</v>
      </c>
      <c r="H7" s="22"/>
      <c r="I7" s="17">
        <v>3</v>
      </c>
      <c r="J7" s="23">
        <v>0.20494999999999999</v>
      </c>
      <c r="K7" s="23">
        <v>0.54696</v>
      </c>
      <c r="L7" s="23">
        <v>0.95657999999999999</v>
      </c>
    </row>
    <row r="8" spans="1:12">
      <c r="A8" s="17">
        <v>4</v>
      </c>
      <c r="B8" s="23">
        <v>0.31146000000000001</v>
      </c>
      <c r="C8" s="23">
        <v>0.35337000000000002</v>
      </c>
      <c r="D8" s="22"/>
      <c r="E8" s="15">
        <v>4</v>
      </c>
      <c r="F8" s="21">
        <v>0.49911</v>
      </c>
      <c r="G8" s="21">
        <v>0.80349999999999999</v>
      </c>
      <c r="H8" s="22"/>
      <c r="I8" s="17">
        <v>4</v>
      </c>
      <c r="J8" s="23">
        <v>0.63775999999999999</v>
      </c>
      <c r="K8" s="23">
        <v>0.63334999999999997</v>
      </c>
      <c r="L8" s="23">
        <v>0.67171000000000003</v>
      </c>
    </row>
    <row r="9" spans="1:12">
      <c r="A9" s="17">
        <v>5</v>
      </c>
      <c r="B9" s="23">
        <v>0.37458000000000002</v>
      </c>
      <c r="C9" s="23">
        <v>0.47481000000000001</v>
      </c>
      <c r="D9" s="22"/>
      <c r="E9" s="15">
        <v>5</v>
      </c>
      <c r="F9" s="21">
        <v>4.2659999999999997E-2</v>
      </c>
      <c r="G9" s="21">
        <v>0.14308000000000001</v>
      </c>
      <c r="H9" s="22"/>
      <c r="I9" s="17">
        <v>5</v>
      </c>
      <c r="J9" s="23">
        <v>0.20796999999999999</v>
      </c>
      <c r="K9" s="23">
        <v>0.21958</v>
      </c>
      <c r="L9" s="23">
        <v>-4.6890000000000001E-2</v>
      </c>
    </row>
    <row r="10" spans="1:12">
      <c r="A10" s="17">
        <v>6</v>
      </c>
      <c r="B10" s="23">
        <v>0.17498</v>
      </c>
      <c r="C10" s="23">
        <v>0.15042</v>
      </c>
      <c r="D10" s="22"/>
      <c r="E10" s="15">
        <v>6</v>
      </c>
      <c r="F10" s="21">
        <v>0.50090999999999997</v>
      </c>
      <c r="G10" s="21">
        <v>0.54505000000000003</v>
      </c>
      <c r="H10" s="22"/>
      <c r="I10" s="17">
        <v>6</v>
      </c>
      <c r="J10" s="23">
        <v>3.2000000000000002E-3</v>
      </c>
      <c r="K10" s="23">
        <v>0.25014999999999998</v>
      </c>
      <c r="L10" s="23">
        <v>0.33289999999999997</v>
      </c>
    </row>
    <row r="11" spans="1:12">
      <c r="A11" s="17">
        <v>7</v>
      </c>
      <c r="B11" s="23">
        <v>0.33183000000000001</v>
      </c>
      <c r="C11" s="23">
        <v>0.23415</v>
      </c>
      <c r="D11" s="22"/>
      <c r="E11" s="15">
        <v>7</v>
      </c>
      <c r="F11" s="21">
        <v>0.65100999999999998</v>
      </c>
      <c r="G11" s="21">
        <v>0.66637999999999997</v>
      </c>
      <c r="H11" s="22"/>
      <c r="I11" s="17">
        <v>7</v>
      </c>
      <c r="J11" s="23">
        <v>0.22275</v>
      </c>
      <c r="K11" s="23">
        <v>0.24310000000000001</v>
      </c>
      <c r="L11" s="23">
        <v>0.16950999999999999</v>
      </c>
    </row>
    <row r="12" spans="1:12">
      <c r="A12" s="17">
        <v>8</v>
      </c>
      <c r="B12" s="23">
        <v>0.31763000000000002</v>
      </c>
      <c r="C12" s="23">
        <v>0.22162000000000001</v>
      </c>
      <c r="D12" s="22"/>
      <c r="E12" s="15">
        <v>8</v>
      </c>
      <c r="F12" s="21">
        <v>0.15781999999999999</v>
      </c>
      <c r="G12" s="21">
        <v>0.30187000000000003</v>
      </c>
      <c r="H12" s="22"/>
      <c r="I12" s="17">
        <v>8</v>
      </c>
      <c r="J12" s="23">
        <v>0.18507999999999999</v>
      </c>
      <c r="K12" s="23">
        <v>-3.3160000000000002E-2</v>
      </c>
      <c r="L12" s="23">
        <v>-2.5799999999999998E-3</v>
      </c>
    </row>
    <row r="13" spans="1:12">
      <c r="A13" s="17">
        <v>9</v>
      </c>
      <c r="B13" s="23">
        <v>0.41874</v>
      </c>
      <c r="C13" s="23">
        <v>0.24945999999999999</v>
      </c>
      <c r="D13" s="22"/>
      <c r="E13" s="15">
        <v>9</v>
      </c>
      <c r="F13" s="21">
        <v>0.16027</v>
      </c>
      <c r="G13" s="21">
        <v>0.43470999999999999</v>
      </c>
      <c r="H13" s="22"/>
      <c r="I13" s="17">
        <v>9</v>
      </c>
      <c r="J13" s="23">
        <v>1.256E-2</v>
      </c>
      <c r="K13" s="23">
        <v>0.40100999999999998</v>
      </c>
      <c r="L13" s="23">
        <v>0.15873999999999999</v>
      </c>
    </row>
    <row r="14" spans="1:12">
      <c r="A14" s="17">
        <v>10</v>
      </c>
      <c r="B14" s="23">
        <v>0.215</v>
      </c>
      <c r="C14" s="23">
        <v>0.16863</v>
      </c>
      <c r="D14" s="22"/>
      <c r="E14" s="15">
        <v>10</v>
      </c>
      <c r="F14" s="21">
        <v>0.26937</v>
      </c>
      <c r="G14" s="21">
        <v>0.41746</v>
      </c>
      <c r="H14" s="22"/>
      <c r="I14" s="17">
        <v>10</v>
      </c>
      <c r="J14" s="23">
        <v>0.27195999999999998</v>
      </c>
      <c r="K14" s="23">
        <v>9.7300000000000008E-3</v>
      </c>
      <c r="L14" s="23">
        <v>0.19427</v>
      </c>
    </row>
    <row r="15" spans="1:12">
      <c r="A15" s="17">
        <v>11</v>
      </c>
      <c r="B15" s="23">
        <v>-1.5820000000000001E-2</v>
      </c>
      <c r="C15" s="23">
        <v>0.12121999999999999</v>
      </c>
      <c r="D15" s="22"/>
      <c r="E15" s="15">
        <v>11</v>
      </c>
      <c r="F15" s="21">
        <v>0.31143999999999999</v>
      </c>
      <c r="G15" s="21">
        <v>0.15323000000000001</v>
      </c>
      <c r="H15" s="22"/>
      <c r="I15" s="17">
        <v>11</v>
      </c>
      <c r="J15" s="23">
        <v>1.6080000000000001E-2</v>
      </c>
      <c r="K15" s="23">
        <v>1.5800399999999999</v>
      </c>
      <c r="L15" s="23">
        <v>0.89222999999999997</v>
      </c>
    </row>
    <row r="16" spans="1:12">
      <c r="A16" s="17">
        <v>12</v>
      </c>
      <c r="B16" s="23">
        <v>0.13092999999999999</v>
      </c>
      <c r="C16" s="23">
        <v>0.25840999999999997</v>
      </c>
      <c r="D16" s="22"/>
      <c r="E16" s="15">
        <v>12</v>
      </c>
      <c r="F16" s="21">
        <v>0.23608000000000001</v>
      </c>
      <c r="G16" s="21">
        <v>0.36403999999999997</v>
      </c>
      <c r="H16" s="22"/>
      <c r="I16" s="17">
        <v>12</v>
      </c>
      <c r="J16" s="23">
        <v>1.6199999999999999E-3</v>
      </c>
      <c r="K16" s="23">
        <v>0.71296999999999999</v>
      </c>
      <c r="L16" s="23">
        <v>7.6699999999999997E-3</v>
      </c>
    </row>
    <row r="17" spans="1:12">
      <c r="A17" s="17">
        <v>13</v>
      </c>
      <c r="B17" s="23">
        <v>2.7619999999999999E-2</v>
      </c>
      <c r="C17" s="23">
        <v>7.7530000000000002E-2</v>
      </c>
      <c r="D17" s="22"/>
      <c r="E17" s="15">
        <v>13</v>
      </c>
      <c r="F17" s="21">
        <v>0.28083999999999998</v>
      </c>
      <c r="G17" s="21">
        <v>0.18162</v>
      </c>
      <c r="H17" s="22"/>
      <c r="I17" s="17">
        <v>13</v>
      </c>
      <c r="J17" s="23">
        <v>0.11082</v>
      </c>
      <c r="K17" s="23">
        <v>0.57391000000000003</v>
      </c>
      <c r="L17" s="23">
        <v>0.60243000000000002</v>
      </c>
    </row>
    <row r="18" spans="1:12">
      <c r="A18" s="17">
        <v>14</v>
      </c>
      <c r="B18" s="23">
        <v>8.1449999999999995E-2</v>
      </c>
      <c r="C18" s="23">
        <v>0.15761</v>
      </c>
      <c r="D18" s="22"/>
      <c r="E18" s="15">
        <v>14</v>
      </c>
      <c r="F18" s="21">
        <v>0.10448</v>
      </c>
      <c r="G18" s="21">
        <v>0.23093</v>
      </c>
      <c r="H18" s="22"/>
      <c r="I18" s="17">
        <v>14</v>
      </c>
      <c r="J18" s="23">
        <v>5.858E-2</v>
      </c>
      <c r="K18" s="23">
        <v>0.16333</v>
      </c>
      <c r="L18" s="23">
        <v>9.7970000000000002E-2</v>
      </c>
    </row>
    <row r="19" spans="1:12">
      <c r="A19" s="17">
        <v>15</v>
      </c>
      <c r="B19" s="23">
        <v>0.39448</v>
      </c>
      <c r="C19" s="23">
        <v>0.19395000000000001</v>
      </c>
      <c r="D19" s="22"/>
      <c r="E19" s="15">
        <v>15</v>
      </c>
      <c r="F19" s="21">
        <v>0.20865</v>
      </c>
      <c r="G19" s="21">
        <v>0.33396999999999999</v>
      </c>
      <c r="H19" s="22"/>
      <c r="I19" s="17">
        <v>15</v>
      </c>
      <c r="J19" s="23">
        <v>0.18371000000000001</v>
      </c>
      <c r="K19" s="23">
        <v>0.26135000000000003</v>
      </c>
      <c r="L19" s="23">
        <v>0.35335</v>
      </c>
    </row>
    <row r="20" spans="1:12">
      <c r="A20" s="17">
        <v>16</v>
      </c>
      <c r="B20" s="23">
        <v>0.25772</v>
      </c>
      <c r="C20" s="23">
        <v>0.79693999999999998</v>
      </c>
      <c r="D20" s="22"/>
      <c r="I20" s="17">
        <v>16</v>
      </c>
      <c r="J20" s="23">
        <v>-9.4950000000000007E-2</v>
      </c>
      <c r="K20" s="23">
        <v>2.6700000000000001E-3</v>
      </c>
      <c r="L20" s="23">
        <v>-1.822E-2</v>
      </c>
    </row>
    <row r="21" spans="1:12">
      <c r="A21" s="17">
        <v>17</v>
      </c>
      <c r="B21" s="23">
        <v>8.4610000000000005E-2</v>
      </c>
      <c r="C21" s="23">
        <v>0.46398</v>
      </c>
      <c r="D21" s="22"/>
    </row>
    <row r="22" spans="1:12">
      <c r="A22" s="17">
        <v>18</v>
      </c>
      <c r="B22" s="23">
        <v>0.30434</v>
      </c>
      <c r="C22" s="23">
        <v>0.25096000000000002</v>
      </c>
      <c r="D22" s="22"/>
    </row>
    <row r="23" spans="1:12">
      <c r="A23" s="17">
        <v>19</v>
      </c>
      <c r="B23" s="23">
        <v>0.25958999999999999</v>
      </c>
      <c r="C23" s="23">
        <v>0.35236000000000001</v>
      </c>
      <c r="D23" s="22"/>
    </row>
    <row r="24" spans="1:12">
      <c r="A24" s="17">
        <v>20</v>
      </c>
      <c r="B24" s="23">
        <v>0.13124</v>
      </c>
      <c r="C24" s="23">
        <v>0.31075000000000003</v>
      </c>
      <c r="D24" s="22"/>
    </row>
    <row r="25" spans="1:12">
      <c r="A25" s="17">
        <v>21</v>
      </c>
      <c r="B25" s="23">
        <v>-2.835E-2</v>
      </c>
      <c r="C25" s="23">
        <v>0.21751999999999999</v>
      </c>
      <c r="D25" s="22"/>
    </row>
    <row r="26" spans="1:12">
      <c r="A26" s="17">
        <v>22</v>
      </c>
      <c r="B26" s="23">
        <v>6.4420000000000005E-2</v>
      </c>
      <c r="C26" s="23">
        <v>0.16742000000000001</v>
      </c>
      <c r="D26" s="22"/>
    </row>
    <row r="27" spans="1:12">
      <c r="A27" s="17">
        <v>23</v>
      </c>
      <c r="B27" s="23">
        <v>0.14724999999999999</v>
      </c>
      <c r="C27" s="23">
        <v>0.26278000000000001</v>
      </c>
      <c r="D27" s="22"/>
    </row>
    <row r="28" spans="1:12">
      <c r="A28" s="17">
        <v>24</v>
      </c>
      <c r="B28" s="23">
        <v>8.8020000000000001E-2</v>
      </c>
      <c r="C28" s="23">
        <v>0.24779999999999999</v>
      </c>
      <c r="D28" s="22"/>
    </row>
    <row r="29" spans="1:12">
      <c r="A29" s="17">
        <v>25</v>
      </c>
      <c r="B29" s="23">
        <v>0.13531000000000001</v>
      </c>
      <c r="C29" s="23">
        <v>0.26976</v>
      </c>
      <c r="D29" s="22"/>
    </row>
    <row r="30" spans="1:12">
      <c r="A30" s="17">
        <v>26</v>
      </c>
      <c r="B30" s="23">
        <v>6.8930000000000005E-2</v>
      </c>
      <c r="C30" s="23">
        <v>0.16420999999999999</v>
      </c>
      <c r="D30" s="22"/>
    </row>
    <row r="31" spans="1:12">
      <c r="A31" s="17">
        <v>27</v>
      </c>
      <c r="B31" s="23">
        <v>0.16875000000000001</v>
      </c>
      <c r="C31" s="23">
        <v>0.10914</v>
      </c>
      <c r="D31" s="22"/>
    </row>
    <row r="33" spans="1:17">
      <c r="A33" s="17" t="s">
        <v>99</v>
      </c>
      <c r="B33" s="17">
        <f>AVERAGE(B5:B31)</f>
        <v>0.20611925925925925</v>
      </c>
      <c r="C33" s="17">
        <f t="shared" ref="C33:L33" si="0">AVERAGE(C5:C31)</f>
        <v>0.28088259259259257</v>
      </c>
      <c r="E33" s="15" t="s">
        <v>99</v>
      </c>
      <c r="F33" s="15">
        <f t="shared" si="0"/>
        <v>0.307836</v>
      </c>
      <c r="G33" s="15">
        <f t="shared" si="0"/>
        <v>0.41312533333333329</v>
      </c>
      <c r="I33" s="17" t="s">
        <v>99</v>
      </c>
      <c r="J33" s="17">
        <f t="shared" si="0"/>
        <v>0.17915937500000004</v>
      </c>
      <c r="K33" s="17">
        <f t="shared" si="0"/>
        <v>0.43675062500000006</v>
      </c>
      <c r="L33" s="17">
        <f t="shared" si="0"/>
        <v>0.34062874999999998</v>
      </c>
    </row>
    <row r="37" spans="1:17" ht="45">
      <c r="A37" s="47" t="s">
        <v>107</v>
      </c>
      <c r="B37" s="23" t="s">
        <v>108</v>
      </c>
      <c r="E37" s="48" t="s">
        <v>107</v>
      </c>
      <c r="F37" s="21" t="s">
        <v>132</v>
      </c>
      <c r="I37" s="17" t="s">
        <v>163</v>
      </c>
    </row>
    <row r="38" spans="1:17">
      <c r="A38" s="47"/>
      <c r="B38" s="23"/>
      <c r="E38" s="48"/>
      <c r="F38" s="21"/>
      <c r="I38" s="47" t="s">
        <v>137</v>
      </c>
      <c r="J38" s="23">
        <v>1</v>
      </c>
      <c r="K38" s="23"/>
      <c r="L38" s="23"/>
      <c r="M38" s="23"/>
      <c r="N38" s="23"/>
      <c r="O38" s="23"/>
      <c r="P38" s="23"/>
      <c r="Q38" s="23"/>
    </row>
    <row r="39" spans="1:17" ht="39">
      <c r="A39" s="47" t="s">
        <v>109</v>
      </c>
      <c r="B39" s="23" t="s">
        <v>103</v>
      </c>
      <c r="E39" s="48" t="s">
        <v>109</v>
      </c>
      <c r="F39" s="21" t="s">
        <v>103</v>
      </c>
      <c r="I39" s="47" t="s">
        <v>138</v>
      </c>
      <c r="J39" s="23">
        <v>3</v>
      </c>
      <c r="K39" s="23"/>
      <c r="L39" s="23"/>
      <c r="M39" s="23"/>
      <c r="N39" s="23"/>
      <c r="O39" s="23"/>
      <c r="P39" s="23"/>
      <c r="Q39" s="23"/>
    </row>
    <row r="40" spans="1:17">
      <c r="A40" s="47" t="s">
        <v>110</v>
      </c>
      <c r="B40" s="23" t="s">
        <v>110</v>
      </c>
      <c r="E40" s="48" t="s">
        <v>110</v>
      </c>
      <c r="F40" s="21" t="s">
        <v>110</v>
      </c>
      <c r="I40" s="47" t="s">
        <v>139</v>
      </c>
      <c r="J40" s="23">
        <v>0.05</v>
      </c>
      <c r="K40" s="23"/>
      <c r="L40" s="23"/>
      <c r="M40" s="23"/>
      <c r="N40" s="23"/>
      <c r="O40" s="23"/>
      <c r="P40" s="23"/>
      <c r="Q40" s="23"/>
    </row>
    <row r="41" spans="1:17">
      <c r="A41" s="47" t="s">
        <v>111</v>
      </c>
      <c r="B41" s="23" t="s">
        <v>102</v>
      </c>
      <c r="E41" s="48" t="s">
        <v>111</v>
      </c>
      <c r="F41" s="21" t="s">
        <v>102</v>
      </c>
      <c r="I41" s="47"/>
      <c r="J41" s="23"/>
      <c r="K41" s="23"/>
      <c r="L41" s="23"/>
      <c r="M41" s="23"/>
      <c r="N41" s="23"/>
      <c r="O41" s="23"/>
      <c r="P41" s="23"/>
      <c r="Q41" s="23"/>
    </row>
    <row r="42" spans="1:17" ht="39">
      <c r="A42" s="47"/>
      <c r="B42" s="23"/>
      <c r="E42" s="48"/>
      <c r="F42" s="21"/>
      <c r="I42" s="47" t="s">
        <v>140</v>
      </c>
      <c r="J42" s="23" t="s">
        <v>141</v>
      </c>
      <c r="K42" s="23" t="s">
        <v>142</v>
      </c>
      <c r="L42" s="23" t="s">
        <v>143</v>
      </c>
      <c r="M42" s="23" t="s">
        <v>144</v>
      </c>
      <c r="N42" s="23" t="s">
        <v>145</v>
      </c>
      <c r="O42" s="23"/>
      <c r="P42" s="23"/>
      <c r="Q42" s="23"/>
    </row>
    <row r="43" spans="1:17" ht="39">
      <c r="A43" s="47" t="s">
        <v>112</v>
      </c>
      <c r="B43" s="23"/>
      <c r="E43" s="48" t="s">
        <v>112</v>
      </c>
      <c r="F43" s="21"/>
      <c r="I43" s="47" t="s">
        <v>146</v>
      </c>
      <c r="J43" s="23">
        <v>-0.2576</v>
      </c>
      <c r="K43" s="23" t="s">
        <v>147</v>
      </c>
      <c r="L43" s="23" t="s">
        <v>89</v>
      </c>
      <c r="M43" s="23" t="s">
        <v>88</v>
      </c>
      <c r="N43" s="23">
        <v>8.1699999999999995E-2</v>
      </c>
      <c r="O43" s="23" t="s">
        <v>148</v>
      </c>
      <c r="P43" s="23"/>
      <c r="Q43" s="23"/>
    </row>
    <row r="44" spans="1:17" ht="39">
      <c r="A44" s="47" t="s">
        <v>113</v>
      </c>
      <c r="B44" s="23">
        <v>8.8800000000000004E-2</v>
      </c>
      <c r="E44" s="48" t="s">
        <v>113</v>
      </c>
      <c r="F44" s="21">
        <v>0.1278</v>
      </c>
      <c r="I44" s="47" t="s">
        <v>149</v>
      </c>
      <c r="J44" s="23">
        <v>-0.1615</v>
      </c>
      <c r="K44" s="23" t="s">
        <v>150</v>
      </c>
      <c r="L44" s="23" t="s">
        <v>89</v>
      </c>
      <c r="M44" s="23" t="s">
        <v>88</v>
      </c>
      <c r="N44" s="23">
        <v>0.1321</v>
      </c>
      <c r="O44" s="23" t="s">
        <v>151</v>
      </c>
      <c r="P44" s="23"/>
      <c r="Q44" s="23"/>
    </row>
    <row r="45" spans="1:17" ht="26.25">
      <c r="A45" s="47" t="s">
        <v>77</v>
      </c>
      <c r="B45" s="23" t="s">
        <v>88</v>
      </c>
      <c r="E45" s="48" t="s">
        <v>77</v>
      </c>
      <c r="F45" s="21" t="s">
        <v>88</v>
      </c>
      <c r="I45" s="47" t="s">
        <v>152</v>
      </c>
      <c r="J45" s="23">
        <v>9.6119999999999997E-2</v>
      </c>
      <c r="K45" s="23" t="s">
        <v>153</v>
      </c>
      <c r="L45" s="23" t="s">
        <v>89</v>
      </c>
      <c r="M45" s="23" t="s">
        <v>88</v>
      </c>
      <c r="N45" s="23">
        <v>0.46879999999999999</v>
      </c>
      <c r="O45" s="23" t="s">
        <v>154</v>
      </c>
      <c r="P45" s="23"/>
      <c r="Q45" s="23"/>
    </row>
    <row r="46" spans="1:17" ht="64.5">
      <c r="A46" s="47" t="s">
        <v>114</v>
      </c>
      <c r="B46" s="23" t="s">
        <v>89</v>
      </c>
      <c r="E46" s="48" t="s">
        <v>114</v>
      </c>
      <c r="F46" s="21" t="s">
        <v>89</v>
      </c>
      <c r="I46" s="47"/>
      <c r="J46" s="23"/>
      <c r="K46" s="23"/>
      <c r="L46" s="23"/>
      <c r="M46" s="23"/>
      <c r="N46" s="23"/>
      <c r="O46" s="23"/>
      <c r="P46" s="23"/>
      <c r="Q46" s="23"/>
    </row>
    <row r="47" spans="1:17" ht="39">
      <c r="A47" s="47" t="s">
        <v>115</v>
      </c>
      <c r="B47" s="23" t="s">
        <v>116</v>
      </c>
      <c r="E47" s="48" t="s">
        <v>115</v>
      </c>
      <c r="F47" s="21" t="s">
        <v>116</v>
      </c>
      <c r="I47" s="47" t="s">
        <v>155</v>
      </c>
      <c r="J47" s="23" t="s">
        <v>156</v>
      </c>
      <c r="K47" s="23" t="s">
        <v>157</v>
      </c>
      <c r="L47" s="23" t="s">
        <v>141</v>
      </c>
      <c r="M47" s="23" t="s">
        <v>158</v>
      </c>
      <c r="N47" s="23" t="s">
        <v>159</v>
      </c>
      <c r="O47" s="23" t="s">
        <v>160</v>
      </c>
      <c r="P47" s="23" t="s">
        <v>161</v>
      </c>
      <c r="Q47" s="23" t="s">
        <v>162</v>
      </c>
    </row>
    <row r="48" spans="1:17" ht="26.25">
      <c r="A48" s="47" t="s">
        <v>117</v>
      </c>
      <c r="B48" s="23" t="s">
        <v>118</v>
      </c>
      <c r="E48" s="48" t="s">
        <v>117</v>
      </c>
      <c r="F48" s="21" t="s">
        <v>133</v>
      </c>
      <c r="I48" s="47" t="s">
        <v>146</v>
      </c>
      <c r="J48" s="23">
        <v>0.1792</v>
      </c>
      <c r="K48" s="23">
        <v>0.43680000000000002</v>
      </c>
      <c r="L48" s="23">
        <v>-0.2576</v>
      </c>
      <c r="M48" s="23">
        <v>0.1104</v>
      </c>
      <c r="N48" s="23">
        <v>16</v>
      </c>
      <c r="O48" s="23">
        <v>16</v>
      </c>
      <c r="P48" s="23">
        <v>3.2989999999999999</v>
      </c>
      <c r="Q48" s="23">
        <v>15</v>
      </c>
    </row>
    <row r="49" spans="1:17" ht="26.25">
      <c r="A49" s="47"/>
      <c r="B49" s="23"/>
      <c r="E49" s="48"/>
      <c r="F49" s="21"/>
      <c r="I49" s="47" t="s">
        <v>149</v>
      </c>
      <c r="J49" s="23">
        <v>0.1792</v>
      </c>
      <c r="K49" s="23">
        <v>0.34060000000000001</v>
      </c>
      <c r="L49" s="23">
        <v>-0.1615</v>
      </c>
      <c r="M49" s="23">
        <v>7.8359999999999999E-2</v>
      </c>
      <c r="N49" s="23">
        <v>16</v>
      </c>
      <c r="O49" s="23">
        <v>16</v>
      </c>
      <c r="P49" s="23">
        <v>2.9140000000000001</v>
      </c>
      <c r="Q49" s="23">
        <v>15</v>
      </c>
    </row>
    <row r="50" spans="1:17" ht="51.75">
      <c r="A50" s="47" t="s">
        <v>119</v>
      </c>
      <c r="B50" s="23"/>
      <c r="E50" s="48" t="s">
        <v>119</v>
      </c>
      <c r="F50" s="21"/>
      <c r="I50" s="47" t="s">
        <v>152</v>
      </c>
      <c r="J50" s="23">
        <v>0.43680000000000002</v>
      </c>
      <c r="K50" s="23">
        <v>0.34060000000000001</v>
      </c>
      <c r="L50" s="23">
        <v>9.6119999999999997E-2</v>
      </c>
      <c r="M50" s="23">
        <v>7.9810000000000006E-2</v>
      </c>
      <c r="N50" s="23">
        <v>16</v>
      </c>
      <c r="O50" s="23">
        <v>16</v>
      </c>
      <c r="P50" s="23">
        <v>1.7030000000000001</v>
      </c>
      <c r="Q50" s="23">
        <v>15</v>
      </c>
    </row>
    <row r="51" spans="1:17" ht="26.25">
      <c r="A51" s="47" t="s">
        <v>120</v>
      </c>
      <c r="B51" s="23">
        <v>0.20610000000000001</v>
      </c>
      <c r="E51" s="48" t="s">
        <v>120</v>
      </c>
      <c r="F51" s="21">
        <v>0.30780000000000002</v>
      </c>
    </row>
    <row r="52" spans="1:17" ht="26.25">
      <c r="A52" s="47" t="s">
        <v>121</v>
      </c>
      <c r="B52" s="23">
        <v>0.28089999999999998</v>
      </c>
      <c r="E52" s="48" t="s">
        <v>121</v>
      </c>
      <c r="F52" s="21">
        <v>0.41310000000000002</v>
      </c>
    </row>
    <row r="53" spans="1:17" ht="64.5">
      <c r="A53" s="47" t="s">
        <v>122</v>
      </c>
      <c r="B53" s="23" t="s">
        <v>123</v>
      </c>
      <c r="E53" s="48" t="s">
        <v>122</v>
      </c>
      <c r="F53" s="21" t="s">
        <v>134</v>
      </c>
    </row>
    <row r="54" spans="1:17" ht="39">
      <c r="A54" s="47" t="s">
        <v>83</v>
      </c>
      <c r="B54" s="23" t="s">
        <v>124</v>
      </c>
      <c r="E54" s="48" t="s">
        <v>83</v>
      </c>
      <c r="F54" s="21" t="s">
        <v>135</v>
      </c>
    </row>
    <row r="55" spans="1:17" ht="51.75">
      <c r="A55" s="47" t="s">
        <v>125</v>
      </c>
      <c r="B55" s="23">
        <v>5.4690000000000003E-2</v>
      </c>
      <c r="E55" s="48" t="s">
        <v>125</v>
      </c>
      <c r="F55" s="21">
        <v>8.0839999999999995E-2</v>
      </c>
    </row>
    <row r="56" spans="1:17">
      <c r="A56" s="47"/>
      <c r="B56" s="23"/>
      <c r="E56" s="48"/>
      <c r="F56" s="21"/>
    </row>
    <row r="57" spans="1:17" ht="39">
      <c r="A57" s="47" t="s">
        <v>126</v>
      </c>
      <c r="B57" s="23"/>
      <c r="E57" s="48" t="s">
        <v>126</v>
      </c>
      <c r="F57" s="21"/>
    </row>
    <row r="58" spans="1:17" ht="26.25">
      <c r="A58" s="47" t="s">
        <v>127</v>
      </c>
      <c r="B58" s="23" t="s">
        <v>128</v>
      </c>
      <c r="E58" s="48" t="s">
        <v>127</v>
      </c>
      <c r="F58" s="21" t="s">
        <v>136</v>
      </c>
    </row>
    <row r="59" spans="1:17">
      <c r="A59" s="47" t="s">
        <v>113</v>
      </c>
      <c r="B59" s="23">
        <v>0.87150000000000005</v>
      </c>
      <c r="E59" s="48" t="s">
        <v>113</v>
      </c>
      <c r="F59" s="21">
        <v>0.64090000000000003</v>
      </c>
    </row>
    <row r="60" spans="1:17" ht="26.25">
      <c r="A60" s="47" t="s">
        <v>77</v>
      </c>
      <c r="B60" s="23" t="s">
        <v>88</v>
      </c>
      <c r="E60" s="48" t="s">
        <v>77</v>
      </c>
      <c r="F60" s="21" t="s">
        <v>88</v>
      </c>
    </row>
    <row r="61" spans="1:17" ht="64.5">
      <c r="A61" s="47" t="s">
        <v>114</v>
      </c>
      <c r="B61" s="23" t="s">
        <v>89</v>
      </c>
      <c r="E61" s="48" t="s">
        <v>114</v>
      </c>
      <c r="F61" s="21" t="s">
        <v>89</v>
      </c>
    </row>
    <row r="62" spans="1:17">
      <c r="A62" s="47"/>
      <c r="B62" s="23"/>
      <c r="E62" s="48"/>
      <c r="F62" s="21"/>
    </row>
    <row r="63" spans="1:17" ht="26.25">
      <c r="A63" s="47" t="s">
        <v>129</v>
      </c>
      <c r="B63" s="23"/>
      <c r="E63" s="48" t="s">
        <v>129</v>
      </c>
      <c r="F63" s="21"/>
    </row>
    <row r="64" spans="1:17" ht="39">
      <c r="A64" s="47" t="s">
        <v>130</v>
      </c>
      <c r="B64" s="23">
        <v>27</v>
      </c>
      <c r="E64" s="48" t="s">
        <v>130</v>
      </c>
      <c r="F64" s="21">
        <v>15</v>
      </c>
    </row>
    <row r="65" spans="1:6" ht="39">
      <c r="A65" s="47" t="s">
        <v>131</v>
      </c>
      <c r="B65" s="23">
        <v>27</v>
      </c>
      <c r="E65" s="48" t="s">
        <v>131</v>
      </c>
      <c r="F65" s="21">
        <v>15</v>
      </c>
    </row>
  </sheetData>
  <mergeCells count="6">
    <mergeCell ref="B3:C3"/>
    <mergeCell ref="F3:G3"/>
    <mergeCell ref="J3:L3"/>
    <mergeCell ref="B2:C2"/>
    <mergeCell ref="F2:G2"/>
    <mergeCell ref="J2:L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2357A-5803-41B6-93D2-5D29B20CA06F}">
  <dimension ref="A2:Q65"/>
  <sheetViews>
    <sheetView workbookViewId="0">
      <selection activeCell="K28" sqref="K28"/>
    </sheetView>
  </sheetViews>
  <sheetFormatPr defaultRowHeight="15"/>
  <cols>
    <col min="1" max="3" width="9.140625" style="17"/>
    <col min="4" max="4" width="9.140625" style="16"/>
    <col min="5" max="7" width="9.140625" style="15"/>
    <col min="8" max="8" width="9.140625" style="16"/>
    <col min="9" max="17" width="9.140625" style="17"/>
    <col min="18" max="16384" width="9.140625" style="16"/>
  </cols>
  <sheetData>
    <row r="2" spans="1:12" ht="30" customHeight="1">
      <c r="B2" s="35" t="s">
        <v>101</v>
      </c>
      <c r="C2" s="37"/>
      <c r="F2" s="32" t="s">
        <v>19</v>
      </c>
      <c r="G2" s="34"/>
      <c r="J2" s="35" t="s">
        <v>40</v>
      </c>
      <c r="K2" s="36"/>
      <c r="L2" s="37"/>
    </row>
    <row r="3" spans="1:12">
      <c r="B3" s="115" t="s">
        <v>624</v>
      </c>
      <c r="C3" s="117"/>
      <c r="F3" s="113" t="s">
        <v>624</v>
      </c>
      <c r="G3" s="114"/>
      <c r="J3" s="115" t="s">
        <v>624</v>
      </c>
      <c r="K3" s="116"/>
      <c r="L3" s="117"/>
    </row>
    <row r="4" spans="1:12" ht="26.25">
      <c r="A4" s="17" t="s">
        <v>195</v>
      </c>
      <c r="B4" s="20" t="s">
        <v>102</v>
      </c>
      <c r="C4" s="20" t="s">
        <v>103</v>
      </c>
      <c r="E4" s="15" t="s">
        <v>195</v>
      </c>
      <c r="F4" s="18" t="s">
        <v>102</v>
      </c>
      <c r="G4" s="18" t="s">
        <v>103</v>
      </c>
      <c r="I4" s="17" t="s">
        <v>195</v>
      </c>
      <c r="J4" s="20" t="s">
        <v>104</v>
      </c>
      <c r="K4" s="20" t="s">
        <v>105</v>
      </c>
      <c r="L4" s="20" t="s">
        <v>106</v>
      </c>
    </row>
    <row r="5" spans="1:12">
      <c r="A5" s="17">
        <v>1</v>
      </c>
      <c r="B5" s="23">
        <v>0.21263000000000001</v>
      </c>
      <c r="C5" s="23">
        <v>0.63944000000000001</v>
      </c>
      <c r="E5" s="15">
        <v>1</v>
      </c>
      <c r="F5" s="21">
        <v>0.35021999999999998</v>
      </c>
      <c r="G5" s="21">
        <v>1.23803</v>
      </c>
      <c r="I5" s="17">
        <v>1</v>
      </c>
      <c r="J5" s="23">
        <v>0.11418</v>
      </c>
      <c r="K5" s="23">
        <v>0.43865999999999999</v>
      </c>
      <c r="L5" s="23">
        <v>0.49413000000000001</v>
      </c>
    </row>
    <row r="6" spans="1:12">
      <c r="A6" s="17">
        <v>2</v>
      </c>
      <c r="B6" s="23">
        <v>0.17906</v>
      </c>
      <c r="C6" s="23">
        <v>0.35842000000000002</v>
      </c>
      <c r="E6" s="15">
        <v>2</v>
      </c>
      <c r="F6" s="21">
        <v>0.45047999999999999</v>
      </c>
      <c r="G6" s="21">
        <v>0.87585999999999997</v>
      </c>
      <c r="I6" s="17">
        <v>2</v>
      </c>
      <c r="J6" s="23">
        <v>0.41689999999999999</v>
      </c>
      <c r="K6" s="23">
        <v>0.58460999999999996</v>
      </c>
      <c r="L6" s="23">
        <v>0.90691999999999995</v>
      </c>
    </row>
    <row r="7" spans="1:12">
      <c r="A7" s="17">
        <v>3</v>
      </c>
      <c r="B7" s="23">
        <v>0.22864999999999999</v>
      </c>
      <c r="C7" s="23">
        <v>0.31117</v>
      </c>
      <c r="E7" s="15">
        <v>3</v>
      </c>
      <c r="F7" s="21">
        <v>0.26202999999999999</v>
      </c>
      <c r="G7" s="21">
        <v>1.09534</v>
      </c>
      <c r="I7" s="17">
        <v>3</v>
      </c>
      <c r="J7" s="23">
        <v>0.23710999999999999</v>
      </c>
      <c r="K7" s="23">
        <v>0.78686999999999996</v>
      </c>
      <c r="L7" s="23">
        <v>1.1290899999999999</v>
      </c>
    </row>
    <row r="8" spans="1:12">
      <c r="A8" s="17">
        <v>4</v>
      </c>
      <c r="B8" s="23">
        <v>4.0689999999999997E-2</v>
      </c>
      <c r="C8" s="23">
        <v>0.35337000000000002</v>
      </c>
      <c r="E8" s="15">
        <v>4</v>
      </c>
      <c r="F8" s="21">
        <v>0.48531000000000002</v>
      </c>
      <c r="G8" s="21">
        <v>1.54017</v>
      </c>
      <c r="I8" s="17">
        <v>4</v>
      </c>
      <c r="J8" s="23">
        <v>0.12989000000000001</v>
      </c>
      <c r="K8" s="23">
        <v>0.29894999999999999</v>
      </c>
      <c r="L8" s="23">
        <v>1.1989799999999999</v>
      </c>
    </row>
    <row r="9" spans="1:12">
      <c r="A9" s="17">
        <v>5</v>
      </c>
      <c r="B9" s="23">
        <v>0.35393000000000002</v>
      </c>
      <c r="C9" s="23">
        <v>0.47481000000000001</v>
      </c>
      <c r="E9" s="15">
        <v>5</v>
      </c>
      <c r="F9" s="21">
        <v>0.10022</v>
      </c>
      <c r="G9" s="21">
        <v>0.50499000000000005</v>
      </c>
      <c r="I9" s="17">
        <v>5</v>
      </c>
      <c r="J9" s="23">
        <v>0.16811000000000001</v>
      </c>
      <c r="K9" s="23">
        <v>0.51307999999999998</v>
      </c>
      <c r="L9" s="23">
        <v>1.3141700000000001</v>
      </c>
    </row>
    <row r="10" spans="1:12">
      <c r="A10" s="17">
        <v>6</v>
      </c>
      <c r="B10" s="23">
        <v>0.12531999999999999</v>
      </c>
      <c r="C10" s="23">
        <v>0.15042</v>
      </c>
      <c r="E10" s="15">
        <v>6</v>
      </c>
      <c r="F10" s="21">
        <v>0.16822000000000001</v>
      </c>
      <c r="G10" s="21">
        <v>0.64700000000000002</v>
      </c>
      <c r="I10" s="17">
        <v>6</v>
      </c>
      <c r="J10" s="23">
        <v>0.11942999999999999</v>
      </c>
      <c r="K10" s="23">
        <v>0.95974999999999999</v>
      </c>
      <c r="L10" s="23">
        <v>1.14344</v>
      </c>
    </row>
    <row r="11" spans="1:12">
      <c r="A11" s="17">
        <v>7</v>
      </c>
      <c r="B11" s="23">
        <v>0.14721000000000001</v>
      </c>
      <c r="C11" s="23">
        <v>0.23415</v>
      </c>
      <c r="E11" s="15">
        <v>7</v>
      </c>
      <c r="F11" s="21">
        <v>0.34154000000000001</v>
      </c>
      <c r="G11" s="21">
        <v>0.98009999999999997</v>
      </c>
      <c r="I11" s="17">
        <v>7</v>
      </c>
      <c r="J11" s="23">
        <v>0.32641999999999999</v>
      </c>
      <c r="K11" s="23">
        <v>0.30534</v>
      </c>
      <c r="L11" s="23">
        <v>0.74580000000000002</v>
      </c>
    </row>
    <row r="12" spans="1:12">
      <c r="A12" s="17">
        <v>8</v>
      </c>
      <c r="B12" s="23">
        <v>0.21263000000000001</v>
      </c>
      <c r="C12" s="23">
        <v>0.22162000000000001</v>
      </c>
      <c r="E12" s="15">
        <v>8</v>
      </c>
      <c r="F12" s="21">
        <v>0.14563999999999999</v>
      </c>
      <c r="G12" s="21">
        <v>0.58279000000000003</v>
      </c>
      <c r="I12" s="17">
        <v>8</v>
      </c>
      <c r="J12" s="23">
        <v>0.22639000000000001</v>
      </c>
      <c r="K12" s="23">
        <v>0.49743999999999999</v>
      </c>
      <c r="L12" s="23">
        <v>1.22153</v>
      </c>
    </row>
    <row r="13" spans="1:12">
      <c r="A13" s="17">
        <v>9</v>
      </c>
      <c r="B13" s="23">
        <v>0.18676000000000001</v>
      </c>
      <c r="C13" s="23">
        <v>0.24945999999999999</v>
      </c>
      <c r="E13" s="15">
        <v>9</v>
      </c>
      <c r="F13" s="21">
        <v>5.2449999999999997E-2</v>
      </c>
      <c r="G13" s="21">
        <v>0.53742000000000001</v>
      </c>
      <c r="I13" s="17">
        <v>9</v>
      </c>
      <c r="J13" s="23">
        <v>-0.12944</v>
      </c>
      <c r="K13" s="23">
        <v>0.36823</v>
      </c>
      <c r="L13" s="23">
        <v>1.1823399999999999</v>
      </c>
    </row>
    <row r="14" spans="1:12">
      <c r="A14" s="17">
        <v>10</v>
      </c>
      <c r="B14" s="23">
        <v>3.6429999999999997E-2</v>
      </c>
      <c r="C14" s="23">
        <v>0.16863</v>
      </c>
      <c r="E14" s="15">
        <v>10</v>
      </c>
      <c r="F14" s="21">
        <v>4.1680000000000002E-2</v>
      </c>
      <c r="G14" s="21">
        <v>0.74651000000000001</v>
      </c>
      <c r="I14" s="17">
        <v>10</v>
      </c>
      <c r="J14" s="23">
        <v>0.24262</v>
      </c>
      <c r="K14" s="23">
        <v>0.27311000000000002</v>
      </c>
      <c r="L14" s="23">
        <v>1.1452899999999999</v>
      </c>
    </row>
    <row r="15" spans="1:12">
      <c r="A15" s="17">
        <v>11</v>
      </c>
      <c r="B15" s="23">
        <v>0.45904</v>
      </c>
      <c r="C15" s="23">
        <v>0.12121999999999999</v>
      </c>
      <c r="E15" s="15">
        <v>11</v>
      </c>
      <c r="F15" s="21">
        <v>3.4689999999999999E-2</v>
      </c>
      <c r="G15" s="21">
        <v>0.28459000000000001</v>
      </c>
      <c r="I15" s="17">
        <v>11</v>
      </c>
      <c r="J15" s="23">
        <v>0.14115</v>
      </c>
      <c r="K15" s="23">
        <v>0.36986000000000002</v>
      </c>
      <c r="L15" s="23">
        <v>0.78974</v>
      </c>
    </row>
    <row r="16" spans="1:12">
      <c r="A16" s="17">
        <v>12</v>
      </c>
      <c r="B16" s="23">
        <v>0.25897999999999999</v>
      </c>
      <c r="C16" s="23">
        <v>0.25840999999999997</v>
      </c>
      <c r="E16" s="15">
        <v>12</v>
      </c>
      <c r="F16" s="21">
        <v>0.18498000000000001</v>
      </c>
      <c r="G16" s="21">
        <v>0.24453</v>
      </c>
      <c r="I16" s="17">
        <v>12</v>
      </c>
      <c r="J16" s="23">
        <v>0.11101999999999999</v>
      </c>
      <c r="K16" s="23">
        <v>0.36565999999999999</v>
      </c>
      <c r="L16" s="23">
        <v>0.36820999999999998</v>
      </c>
    </row>
    <row r="17" spans="1:12">
      <c r="A17" s="17">
        <v>13</v>
      </c>
      <c r="B17" s="23">
        <v>1.856E-2</v>
      </c>
      <c r="C17" s="23">
        <v>7.7530000000000002E-2</v>
      </c>
      <c r="E17" s="15">
        <v>13</v>
      </c>
      <c r="F17" s="21">
        <v>9.7089999999999996E-2</v>
      </c>
      <c r="G17" s="21">
        <v>0.42209999999999998</v>
      </c>
      <c r="I17" s="17">
        <v>13</v>
      </c>
      <c r="J17" s="23">
        <v>2.589E-2</v>
      </c>
      <c r="K17" s="23">
        <v>0.15584999999999999</v>
      </c>
      <c r="L17" s="23">
        <v>0.39412000000000003</v>
      </c>
    </row>
    <row r="18" spans="1:12">
      <c r="A18" s="17">
        <v>14</v>
      </c>
      <c r="B18" s="23">
        <v>2.3140000000000001E-2</v>
      </c>
      <c r="C18" s="23">
        <v>0.15761</v>
      </c>
      <c r="E18" s="15">
        <v>14</v>
      </c>
      <c r="F18" s="21">
        <v>0.10742</v>
      </c>
      <c r="G18" s="21">
        <v>0.19303000000000001</v>
      </c>
      <c r="I18" s="17">
        <v>14</v>
      </c>
      <c r="J18" s="23">
        <v>2.5999999999999999E-2</v>
      </c>
      <c r="K18" s="23">
        <v>0.23985000000000001</v>
      </c>
      <c r="L18" s="23">
        <v>0.27912999999999999</v>
      </c>
    </row>
    <row r="19" spans="1:12">
      <c r="A19" s="17">
        <v>15</v>
      </c>
      <c r="B19" s="23">
        <v>6.6689999999999999E-2</v>
      </c>
      <c r="C19" s="23">
        <v>0.19395000000000001</v>
      </c>
      <c r="E19" s="15">
        <v>15</v>
      </c>
      <c r="F19" s="21">
        <v>0.12041</v>
      </c>
      <c r="G19" s="21">
        <v>0.51397000000000004</v>
      </c>
      <c r="I19" s="17">
        <v>15</v>
      </c>
      <c r="J19" s="23">
        <v>0.13338</v>
      </c>
      <c r="K19" s="23">
        <v>0.13422999999999999</v>
      </c>
      <c r="L19" s="23">
        <v>0.63283999999999996</v>
      </c>
    </row>
    <row r="20" spans="1:12">
      <c r="A20" s="17">
        <v>16</v>
      </c>
      <c r="B20" s="23">
        <v>0.28608</v>
      </c>
      <c r="C20" s="23">
        <v>0.79693999999999998</v>
      </c>
      <c r="I20" s="17">
        <v>16</v>
      </c>
      <c r="J20" s="23">
        <v>1.0664253E-2</v>
      </c>
      <c r="K20" s="23">
        <v>0.138694972</v>
      </c>
      <c r="L20" s="23">
        <v>0.54791162900000001</v>
      </c>
    </row>
    <row r="21" spans="1:12">
      <c r="A21" s="17">
        <v>17</v>
      </c>
      <c r="B21" s="23">
        <v>9.7250000000000003E-2</v>
      </c>
      <c r="C21" s="23">
        <v>0.46398</v>
      </c>
    </row>
    <row r="22" spans="1:12">
      <c r="A22" s="17">
        <v>18</v>
      </c>
      <c r="B22" s="23">
        <v>0.15493999999999999</v>
      </c>
      <c r="C22" s="23">
        <v>0.25096000000000002</v>
      </c>
    </row>
    <row r="23" spans="1:12">
      <c r="A23" s="17">
        <v>19</v>
      </c>
      <c r="B23" s="23">
        <v>9.5200000000000007E-2</v>
      </c>
      <c r="C23" s="23">
        <v>0.35236000000000001</v>
      </c>
    </row>
    <row r="24" spans="1:12">
      <c r="A24" s="17">
        <v>20</v>
      </c>
      <c r="B24" s="23">
        <v>0.12970999999999999</v>
      </c>
      <c r="C24" s="23">
        <v>0.31075000000000003</v>
      </c>
    </row>
    <row r="25" spans="1:12">
      <c r="A25" s="17">
        <v>21</v>
      </c>
      <c r="B25" s="23">
        <v>0.10301</v>
      </c>
      <c r="C25" s="23">
        <v>0.21751999999999999</v>
      </c>
    </row>
    <row r="26" spans="1:12">
      <c r="A26" s="17">
        <v>22</v>
      </c>
      <c r="B26" s="23">
        <v>0.10310999999999999</v>
      </c>
      <c r="C26" s="23">
        <v>0.16742000000000001</v>
      </c>
    </row>
    <row r="27" spans="1:12">
      <c r="A27" s="17">
        <v>23</v>
      </c>
      <c r="B27" s="23">
        <v>7.8109999999999999E-2</v>
      </c>
      <c r="C27" s="23">
        <v>0.26278000000000001</v>
      </c>
    </row>
    <row r="28" spans="1:12">
      <c r="A28" s="17">
        <v>24</v>
      </c>
      <c r="B28" s="23">
        <v>7.8799999999999995E-2</v>
      </c>
      <c r="C28" s="23">
        <v>0.24779999999999999</v>
      </c>
    </row>
    <row r="29" spans="1:12">
      <c r="A29" s="17">
        <v>25</v>
      </c>
      <c r="B29" s="23">
        <v>2.8320000000000001E-2</v>
      </c>
      <c r="C29" s="23">
        <v>0.26976</v>
      </c>
    </row>
    <row r="30" spans="1:12">
      <c r="A30" s="17">
        <v>26</v>
      </c>
      <c r="B30" s="23">
        <v>5.1090000000000003E-2</v>
      </c>
      <c r="C30" s="23">
        <v>0.16420999999999999</v>
      </c>
    </row>
    <row r="31" spans="1:12">
      <c r="A31" s="17">
        <v>27</v>
      </c>
      <c r="B31" s="23">
        <v>0.17562</v>
      </c>
      <c r="C31" s="23">
        <v>0.10914</v>
      </c>
    </row>
    <row r="33" spans="1:17">
      <c r="A33" s="17" t="s">
        <v>99</v>
      </c>
      <c r="B33" s="17">
        <f>AVERAGE(B5:B31)</f>
        <v>0.14559111111111114</v>
      </c>
      <c r="C33" s="17">
        <f t="shared" ref="C33:L33" si="0">AVERAGE(C5:C31)</f>
        <v>0.28088259259259257</v>
      </c>
      <c r="E33" s="15" t="s">
        <v>99</v>
      </c>
      <c r="F33" s="15">
        <f t="shared" si="0"/>
        <v>0.19615866666666665</v>
      </c>
      <c r="G33" s="15">
        <f t="shared" si="0"/>
        <v>0.69376199999999999</v>
      </c>
      <c r="I33" s="17" t="s">
        <v>99</v>
      </c>
      <c r="J33" s="17">
        <f t="shared" si="0"/>
        <v>0.14373214081249996</v>
      </c>
      <c r="K33" s="17">
        <f t="shared" si="0"/>
        <v>0.4018865607499999</v>
      </c>
      <c r="L33" s="17">
        <f t="shared" si="0"/>
        <v>0.84335260181249982</v>
      </c>
    </row>
    <row r="37" spans="1:17" ht="90">
      <c r="A37" s="47" t="s">
        <v>107</v>
      </c>
      <c r="B37" s="23" t="s">
        <v>175</v>
      </c>
      <c r="E37" s="48" t="s">
        <v>107</v>
      </c>
      <c r="F37" s="21" t="s">
        <v>170</v>
      </c>
      <c r="I37" s="17" t="s">
        <v>163</v>
      </c>
    </row>
    <row r="38" spans="1:17" ht="39">
      <c r="A38" s="47"/>
      <c r="B38" s="23"/>
      <c r="E38" s="48"/>
      <c r="F38" s="21"/>
      <c r="I38" s="47" t="s">
        <v>137</v>
      </c>
      <c r="J38" s="23">
        <v>1</v>
      </c>
      <c r="K38" s="23"/>
      <c r="L38" s="23"/>
      <c r="M38" s="23"/>
      <c r="N38" s="23"/>
      <c r="O38" s="23"/>
      <c r="P38" s="23"/>
      <c r="Q38" s="23"/>
    </row>
    <row r="39" spans="1:17" ht="64.5">
      <c r="A39" s="47" t="s">
        <v>109</v>
      </c>
      <c r="B39" s="23" t="s">
        <v>103</v>
      </c>
      <c r="E39" s="48" t="s">
        <v>109</v>
      </c>
      <c r="F39" s="21" t="s">
        <v>103</v>
      </c>
      <c r="I39" s="47" t="s">
        <v>138</v>
      </c>
      <c r="J39" s="23">
        <v>3</v>
      </c>
      <c r="K39" s="23"/>
      <c r="L39" s="23"/>
      <c r="M39" s="23"/>
      <c r="N39" s="23"/>
      <c r="O39" s="23"/>
      <c r="P39" s="23"/>
      <c r="Q39" s="23"/>
    </row>
    <row r="40" spans="1:17">
      <c r="A40" s="47" t="s">
        <v>110</v>
      </c>
      <c r="B40" s="23" t="s">
        <v>110</v>
      </c>
      <c r="E40" s="48" t="s">
        <v>110</v>
      </c>
      <c r="F40" s="21" t="s">
        <v>110</v>
      </c>
      <c r="I40" s="47" t="s">
        <v>139</v>
      </c>
      <c r="J40" s="23">
        <v>0.05</v>
      </c>
      <c r="K40" s="23"/>
      <c r="L40" s="23"/>
      <c r="M40" s="23"/>
      <c r="N40" s="23"/>
      <c r="O40" s="23"/>
      <c r="P40" s="23"/>
      <c r="Q40" s="23"/>
    </row>
    <row r="41" spans="1:17">
      <c r="A41" s="47" t="s">
        <v>111</v>
      </c>
      <c r="B41" s="23" t="s">
        <v>102</v>
      </c>
      <c r="E41" s="48" t="s">
        <v>111</v>
      </c>
      <c r="F41" s="21" t="s">
        <v>102</v>
      </c>
      <c r="I41" s="47"/>
      <c r="J41" s="23"/>
      <c r="K41" s="23"/>
      <c r="L41" s="23"/>
      <c r="M41" s="23"/>
      <c r="N41" s="23"/>
      <c r="O41" s="23"/>
      <c r="P41" s="23"/>
      <c r="Q41" s="23"/>
    </row>
    <row r="42" spans="1:17" ht="51.75">
      <c r="A42" s="47"/>
      <c r="B42" s="23"/>
      <c r="E42" s="48"/>
      <c r="F42" s="21"/>
      <c r="I42" s="47" t="s">
        <v>140</v>
      </c>
      <c r="J42" s="23" t="s">
        <v>141</v>
      </c>
      <c r="K42" s="23" t="s">
        <v>142</v>
      </c>
      <c r="L42" s="23" t="s">
        <v>143</v>
      </c>
      <c r="M42" s="23" t="s">
        <v>144</v>
      </c>
      <c r="N42" s="23" t="s">
        <v>145</v>
      </c>
      <c r="O42" s="23"/>
      <c r="P42" s="23"/>
      <c r="Q42" s="23"/>
    </row>
    <row r="43" spans="1:17" ht="51.75">
      <c r="A43" s="47" t="s">
        <v>112</v>
      </c>
      <c r="B43" s="23"/>
      <c r="E43" s="48" t="s">
        <v>112</v>
      </c>
      <c r="F43" s="21"/>
      <c r="I43" s="47" t="s">
        <v>146</v>
      </c>
      <c r="J43" s="23">
        <v>-0.25819999999999999</v>
      </c>
      <c r="K43" s="23" t="s">
        <v>164</v>
      </c>
      <c r="L43" s="23" t="s">
        <v>80</v>
      </c>
      <c r="M43" s="23" t="s">
        <v>165</v>
      </c>
      <c r="N43" s="23">
        <v>8.9999999999999998E-4</v>
      </c>
      <c r="O43" s="23" t="s">
        <v>148</v>
      </c>
      <c r="P43" s="23"/>
      <c r="Q43" s="23"/>
    </row>
    <row r="44" spans="1:17" ht="51.75">
      <c r="A44" s="47" t="s">
        <v>113</v>
      </c>
      <c r="B44" s="23">
        <v>5.9999999999999995E-4</v>
      </c>
      <c r="E44" s="48" t="s">
        <v>113</v>
      </c>
      <c r="F44" s="21" t="s">
        <v>168</v>
      </c>
      <c r="I44" s="47" t="s">
        <v>149</v>
      </c>
      <c r="J44" s="23">
        <v>-0.6996</v>
      </c>
      <c r="K44" s="23" t="s">
        <v>166</v>
      </c>
      <c r="L44" s="23" t="s">
        <v>80</v>
      </c>
      <c r="M44" s="23" t="s">
        <v>167</v>
      </c>
      <c r="N44" s="23" t="s">
        <v>168</v>
      </c>
      <c r="O44" s="23" t="s">
        <v>151</v>
      </c>
      <c r="P44" s="23"/>
      <c r="Q44" s="23"/>
    </row>
    <row r="45" spans="1:17" ht="51.75">
      <c r="A45" s="47" t="s">
        <v>77</v>
      </c>
      <c r="B45" s="23" t="s">
        <v>165</v>
      </c>
      <c r="E45" s="48" t="s">
        <v>77</v>
      </c>
      <c r="F45" s="21" t="s">
        <v>167</v>
      </c>
      <c r="I45" s="47" t="s">
        <v>152</v>
      </c>
      <c r="J45" s="23">
        <v>-0.4415</v>
      </c>
      <c r="K45" s="23" t="s">
        <v>169</v>
      </c>
      <c r="L45" s="23" t="s">
        <v>80</v>
      </c>
      <c r="M45" s="23" t="s">
        <v>167</v>
      </c>
      <c r="N45" s="23" t="s">
        <v>168</v>
      </c>
      <c r="O45" s="23" t="s">
        <v>154</v>
      </c>
      <c r="P45" s="23"/>
      <c r="Q45" s="23"/>
    </row>
    <row r="46" spans="1:17" ht="64.5">
      <c r="A46" s="47" t="s">
        <v>114</v>
      </c>
      <c r="B46" s="23" t="s">
        <v>80</v>
      </c>
      <c r="E46" s="48" t="s">
        <v>114</v>
      </c>
      <c r="F46" s="21" t="s">
        <v>80</v>
      </c>
      <c r="I46" s="47"/>
      <c r="J46" s="23"/>
      <c r="K46" s="23"/>
      <c r="L46" s="23"/>
      <c r="M46" s="23"/>
      <c r="N46" s="23"/>
      <c r="O46" s="23"/>
      <c r="P46" s="23"/>
      <c r="Q46" s="23"/>
    </row>
    <row r="47" spans="1:17" ht="39">
      <c r="A47" s="47" t="s">
        <v>115</v>
      </c>
      <c r="B47" s="23" t="s">
        <v>116</v>
      </c>
      <c r="E47" s="48" t="s">
        <v>115</v>
      </c>
      <c r="F47" s="21" t="s">
        <v>116</v>
      </c>
      <c r="I47" s="47" t="s">
        <v>155</v>
      </c>
      <c r="J47" s="23" t="s">
        <v>156</v>
      </c>
      <c r="K47" s="23" t="s">
        <v>157</v>
      </c>
      <c r="L47" s="23" t="s">
        <v>141</v>
      </c>
      <c r="M47" s="23" t="s">
        <v>158</v>
      </c>
      <c r="N47" s="23" t="s">
        <v>159</v>
      </c>
      <c r="O47" s="23" t="s">
        <v>160</v>
      </c>
      <c r="P47" s="23" t="s">
        <v>161</v>
      </c>
      <c r="Q47" s="23" t="s">
        <v>162</v>
      </c>
    </row>
    <row r="48" spans="1:17" ht="51.75">
      <c r="A48" s="47" t="s">
        <v>117</v>
      </c>
      <c r="B48" s="23" t="s">
        <v>176</v>
      </c>
      <c r="E48" s="48" t="s">
        <v>117</v>
      </c>
      <c r="F48" s="21" t="s">
        <v>171</v>
      </c>
      <c r="I48" s="47" t="s">
        <v>146</v>
      </c>
      <c r="J48" s="23">
        <v>0.14369999999999999</v>
      </c>
      <c r="K48" s="23">
        <v>0.40189999999999998</v>
      </c>
      <c r="L48" s="23">
        <v>-0.25819999999999999</v>
      </c>
      <c r="M48" s="23">
        <v>5.5590000000000001E-2</v>
      </c>
      <c r="N48" s="23">
        <v>16</v>
      </c>
      <c r="O48" s="23">
        <v>16</v>
      </c>
      <c r="P48" s="23">
        <v>6.5670000000000002</v>
      </c>
      <c r="Q48" s="23">
        <v>15</v>
      </c>
    </row>
    <row r="49" spans="1:17" ht="51.75">
      <c r="A49" s="47"/>
      <c r="B49" s="23"/>
      <c r="E49" s="48"/>
      <c r="F49" s="21"/>
      <c r="I49" s="47" t="s">
        <v>149</v>
      </c>
      <c r="J49" s="23">
        <v>0.14369999999999999</v>
      </c>
      <c r="K49" s="23">
        <v>0.84340000000000004</v>
      </c>
      <c r="L49" s="23">
        <v>-0.6996</v>
      </c>
      <c r="M49" s="23">
        <v>8.6120000000000002E-2</v>
      </c>
      <c r="N49" s="23">
        <v>16</v>
      </c>
      <c r="O49" s="23">
        <v>16</v>
      </c>
      <c r="P49" s="23">
        <v>11.49</v>
      </c>
      <c r="Q49" s="23">
        <v>15</v>
      </c>
    </row>
    <row r="50" spans="1:17" ht="51.75">
      <c r="A50" s="47" t="s">
        <v>119</v>
      </c>
      <c r="B50" s="23"/>
      <c r="E50" s="48" t="s">
        <v>119</v>
      </c>
      <c r="F50" s="21"/>
      <c r="I50" s="47" t="s">
        <v>152</v>
      </c>
      <c r="J50" s="23">
        <v>0.40189999999999998</v>
      </c>
      <c r="K50" s="23">
        <v>0.84340000000000004</v>
      </c>
      <c r="L50" s="23">
        <v>-0.4415</v>
      </c>
      <c r="M50" s="23">
        <v>7.5929999999999997E-2</v>
      </c>
      <c r="N50" s="23">
        <v>16</v>
      </c>
      <c r="O50" s="23">
        <v>16</v>
      </c>
      <c r="P50" s="23">
        <v>8.2219999999999995</v>
      </c>
      <c r="Q50" s="23">
        <v>15</v>
      </c>
    </row>
    <row r="51" spans="1:17" ht="26.25">
      <c r="A51" s="47" t="s">
        <v>120</v>
      </c>
      <c r="B51" s="23">
        <v>0.14560000000000001</v>
      </c>
      <c r="E51" s="48" t="s">
        <v>120</v>
      </c>
      <c r="F51" s="21">
        <v>0.19620000000000001</v>
      </c>
    </row>
    <row r="52" spans="1:17" ht="26.25">
      <c r="A52" s="47" t="s">
        <v>121</v>
      </c>
      <c r="B52" s="23">
        <v>0.28089999999999998</v>
      </c>
      <c r="E52" s="48" t="s">
        <v>121</v>
      </c>
      <c r="F52" s="21">
        <v>0.69379999999999997</v>
      </c>
    </row>
    <row r="53" spans="1:17" ht="64.5">
      <c r="A53" s="47" t="s">
        <v>122</v>
      </c>
      <c r="B53" s="23" t="s">
        <v>177</v>
      </c>
      <c r="E53" s="48" t="s">
        <v>122</v>
      </c>
      <c r="F53" s="21" t="s">
        <v>172</v>
      </c>
    </row>
    <row r="54" spans="1:17" ht="39">
      <c r="A54" s="47" t="s">
        <v>83</v>
      </c>
      <c r="B54" s="23" t="s">
        <v>178</v>
      </c>
      <c r="E54" s="48" t="s">
        <v>83</v>
      </c>
      <c r="F54" s="21" t="s">
        <v>173</v>
      </c>
    </row>
    <row r="55" spans="1:17" ht="51.75">
      <c r="A55" s="47" t="s">
        <v>125</v>
      </c>
      <c r="B55" s="23">
        <v>0.20330000000000001</v>
      </c>
      <c r="E55" s="48" t="s">
        <v>125</v>
      </c>
      <c r="F55" s="21">
        <v>0.43659999999999999</v>
      </c>
    </row>
    <row r="56" spans="1:17">
      <c r="A56" s="47"/>
      <c r="B56" s="23"/>
      <c r="E56" s="48"/>
      <c r="F56" s="21"/>
    </row>
    <row r="57" spans="1:17" ht="39">
      <c r="A57" s="47" t="s">
        <v>126</v>
      </c>
      <c r="B57" s="23"/>
      <c r="E57" s="48" t="s">
        <v>126</v>
      </c>
      <c r="F57" s="21"/>
    </row>
    <row r="58" spans="1:17" ht="26.25">
      <c r="A58" s="47" t="s">
        <v>127</v>
      </c>
      <c r="B58" s="23" t="s">
        <v>179</v>
      </c>
      <c r="E58" s="48" t="s">
        <v>127</v>
      </c>
      <c r="F58" s="21" t="s">
        <v>174</v>
      </c>
    </row>
    <row r="59" spans="1:17">
      <c r="A59" s="47" t="s">
        <v>113</v>
      </c>
      <c r="B59" s="23">
        <v>0.04</v>
      </c>
      <c r="E59" s="48" t="s">
        <v>113</v>
      </c>
      <c r="F59" s="21">
        <v>8.9999999999999998E-4</v>
      </c>
    </row>
    <row r="60" spans="1:17" ht="26.25">
      <c r="A60" s="47" t="s">
        <v>77</v>
      </c>
      <c r="B60" s="23" t="s">
        <v>87</v>
      </c>
      <c r="E60" s="48" t="s">
        <v>77</v>
      </c>
      <c r="F60" s="21" t="s">
        <v>165</v>
      </c>
    </row>
    <row r="61" spans="1:17" ht="64.5">
      <c r="A61" s="47" t="s">
        <v>114</v>
      </c>
      <c r="B61" s="23" t="s">
        <v>80</v>
      </c>
      <c r="E61" s="48" t="s">
        <v>114</v>
      </c>
      <c r="F61" s="21" t="s">
        <v>80</v>
      </c>
    </row>
    <row r="62" spans="1:17">
      <c r="A62" s="47"/>
      <c r="B62" s="23"/>
      <c r="E62" s="48"/>
      <c r="F62" s="21"/>
    </row>
    <row r="63" spans="1:17" ht="26.25">
      <c r="A63" s="47" t="s">
        <v>129</v>
      </c>
      <c r="B63" s="23"/>
      <c r="E63" s="48" t="s">
        <v>129</v>
      </c>
      <c r="F63" s="21"/>
    </row>
    <row r="64" spans="1:17" ht="39">
      <c r="A64" s="47" t="s">
        <v>130</v>
      </c>
      <c r="B64" s="23">
        <v>27</v>
      </c>
      <c r="E64" s="48" t="s">
        <v>130</v>
      </c>
      <c r="F64" s="21">
        <v>15</v>
      </c>
    </row>
    <row r="65" spans="1:6" ht="39">
      <c r="A65" s="47" t="s">
        <v>131</v>
      </c>
      <c r="B65" s="23">
        <v>27</v>
      </c>
      <c r="E65" s="48" t="s">
        <v>131</v>
      </c>
      <c r="F65" s="21">
        <v>15</v>
      </c>
    </row>
  </sheetData>
  <mergeCells count="6">
    <mergeCell ref="B3:C3"/>
    <mergeCell ref="F3:G3"/>
    <mergeCell ref="J3:L3"/>
    <mergeCell ref="J2:L2"/>
    <mergeCell ref="F2:G2"/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8502F-CD32-4B26-918E-3B129B84D4EE}">
  <dimension ref="B2:I32"/>
  <sheetViews>
    <sheetView workbookViewId="0">
      <selection activeCell="I30" sqref="I30"/>
    </sheetView>
  </sheetViews>
  <sheetFormatPr defaultRowHeight="15"/>
  <sheetData>
    <row r="2" spans="2:9">
      <c r="B2" s="46"/>
      <c r="C2" s="49" t="s">
        <v>194</v>
      </c>
      <c r="D2" s="49"/>
    </row>
    <row r="3" spans="2:9">
      <c r="B3" s="46" t="s">
        <v>195</v>
      </c>
      <c r="C3" s="26" t="s">
        <v>192</v>
      </c>
      <c r="D3" s="19" t="s">
        <v>193</v>
      </c>
    </row>
    <row r="4" spans="2:9">
      <c r="B4" s="46">
        <v>1</v>
      </c>
      <c r="C4" s="31">
        <v>171.429</v>
      </c>
      <c r="D4" s="31">
        <v>244.8979592</v>
      </c>
    </row>
    <row r="5" spans="2:9">
      <c r="B5" s="46">
        <v>2</v>
      </c>
      <c r="C5" s="31">
        <v>246.57499999999999</v>
      </c>
      <c r="D5" s="31">
        <v>150</v>
      </c>
    </row>
    <row r="6" spans="2:9">
      <c r="B6" s="46">
        <v>3</v>
      </c>
      <c r="C6" s="31">
        <v>230.76900000000001</v>
      </c>
      <c r="D6" s="31">
        <v>206.8965517</v>
      </c>
      <c r="I6" t="s">
        <v>196</v>
      </c>
    </row>
    <row r="7" spans="2:9">
      <c r="B7" s="46">
        <v>4</v>
      </c>
      <c r="C7" s="31">
        <v>240</v>
      </c>
      <c r="D7" s="31">
        <v>209.30232559999999</v>
      </c>
    </row>
    <row r="8" spans="2:9">
      <c r="B8" s="46">
        <v>5</v>
      </c>
      <c r="C8" s="31">
        <v>260.87</v>
      </c>
      <c r="D8" s="31">
        <v>195.65217390000001</v>
      </c>
    </row>
    <row r="9" spans="2:9">
      <c r="B9" s="46">
        <v>6</v>
      </c>
      <c r="C9" s="31">
        <v>240</v>
      </c>
      <c r="D9" s="31">
        <v>214.2857143</v>
      </c>
    </row>
    <row r="10" spans="2:9">
      <c r="B10" s="46">
        <v>7</v>
      </c>
      <c r="C10" s="31">
        <v>236.84200000000001</v>
      </c>
      <c r="D10" s="31">
        <v>214.2857143</v>
      </c>
    </row>
    <row r="11" spans="2:9">
      <c r="B11" s="46">
        <v>8</v>
      </c>
      <c r="C11" s="31">
        <v>196.721</v>
      </c>
      <c r="D11" s="31">
        <v>243.24324319999999</v>
      </c>
    </row>
    <row r="12" spans="2:9">
      <c r="B12" s="46">
        <v>9</v>
      </c>
      <c r="C12" s="31">
        <v>230.76900000000001</v>
      </c>
      <c r="D12" s="31">
        <v>60</v>
      </c>
    </row>
    <row r="13" spans="2:9">
      <c r="B13" s="46">
        <v>10</v>
      </c>
      <c r="C13" s="31">
        <v>222.22200000000001</v>
      </c>
      <c r="D13" s="31">
        <v>257.14285710000001</v>
      </c>
    </row>
    <row r="14" spans="2:9">
      <c r="B14" s="46">
        <v>11</v>
      </c>
      <c r="C14" s="31">
        <v>240</v>
      </c>
      <c r="D14" s="31">
        <v>197.80219779999999</v>
      </c>
    </row>
    <row r="15" spans="2:9">
      <c r="B15" s="46">
        <v>12</v>
      </c>
      <c r="C15" s="31">
        <v>214.286</v>
      </c>
      <c r="D15" s="31">
        <v>139.53488369999999</v>
      </c>
    </row>
    <row r="16" spans="2:9">
      <c r="B16" s="46">
        <v>13</v>
      </c>
      <c r="C16" s="31">
        <v>206.89699999999999</v>
      </c>
      <c r="D16" s="31">
        <v>129.03225810000001</v>
      </c>
    </row>
    <row r="17" spans="2:4">
      <c r="B17" s="46">
        <v>14</v>
      </c>
      <c r="C17" s="31">
        <v>230.76900000000001</v>
      </c>
      <c r="D17" s="31">
        <v>203.38983049999999</v>
      </c>
    </row>
    <row r="18" spans="2:4">
      <c r="B18" s="46">
        <v>15</v>
      </c>
      <c r="C18" s="31">
        <v>246.57499999999999</v>
      </c>
      <c r="D18" s="31">
        <v>240</v>
      </c>
    </row>
    <row r="19" spans="2:4">
      <c r="B19" s="46">
        <v>16</v>
      </c>
      <c r="C19" s="31">
        <v>222.22200000000001</v>
      </c>
      <c r="D19" s="31">
        <v>210.52631579999999</v>
      </c>
    </row>
    <row r="20" spans="2:4">
      <c r="B20" s="46">
        <v>17</v>
      </c>
      <c r="C20" s="31">
        <v>235.29400000000001</v>
      </c>
      <c r="D20" s="31">
        <v>190.4761905</v>
      </c>
    </row>
    <row r="21" spans="2:4">
      <c r="B21" s="46">
        <v>18</v>
      </c>
      <c r="C21" s="31">
        <v>218.18199999999999</v>
      </c>
      <c r="D21" s="31">
        <v>200</v>
      </c>
    </row>
    <row r="22" spans="2:4">
      <c r="B22" s="46">
        <v>19</v>
      </c>
      <c r="C22" s="31">
        <v>196.721</v>
      </c>
      <c r="D22" s="31">
        <v>122.4489796</v>
      </c>
    </row>
    <row r="23" spans="2:4">
      <c r="B23" s="46">
        <v>20</v>
      </c>
      <c r="C23" s="31">
        <v>162.16200000000001</v>
      </c>
      <c r="D23" s="31">
        <v>115.3846154</v>
      </c>
    </row>
    <row r="24" spans="2:4">
      <c r="B24" s="46">
        <v>21</v>
      </c>
      <c r="C24" s="31">
        <v>222.22200000000001</v>
      </c>
      <c r="D24" s="31">
        <v>166.66666670000001</v>
      </c>
    </row>
    <row r="25" spans="2:4">
      <c r="B25" s="46">
        <v>22</v>
      </c>
      <c r="C25" s="31">
        <v>150</v>
      </c>
      <c r="D25" s="31">
        <v>142.85714290000001</v>
      </c>
    </row>
    <row r="26" spans="2:4">
      <c r="B26" s="46">
        <v>23</v>
      </c>
      <c r="C26" s="31">
        <v>166.667</v>
      </c>
      <c r="D26" s="31">
        <v>92.307692309999993</v>
      </c>
    </row>
    <row r="27" spans="2:4">
      <c r="B27" s="46">
        <v>24</v>
      </c>
      <c r="C27" s="31">
        <v>176.471</v>
      </c>
      <c r="D27" s="31"/>
    </row>
    <row r="28" spans="2:4">
      <c r="B28" s="46">
        <v>25</v>
      </c>
      <c r="C28" s="31">
        <v>162.16200000000001</v>
      </c>
      <c r="D28" s="31"/>
    </row>
    <row r="29" spans="2:4">
      <c r="B29" s="46">
        <v>26</v>
      </c>
      <c r="C29" s="31">
        <v>162.16200000000001</v>
      </c>
      <c r="D29" s="31"/>
    </row>
    <row r="30" spans="2:4">
      <c r="B30" s="46"/>
      <c r="C30" s="46"/>
      <c r="D30" s="46"/>
    </row>
    <row r="31" spans="2:4">
      <c r="B31" s="46" t="s">
        <v>34</v>
      </c>
      <c r="C31" s="46">
        <f>AVERAGE(C4:C29)</f>
        <v>211.11496153846159</v>
      </c>
      <c r="D31" s="46">
        <f>AVERAGE(D4:D29)</f>
        <v>180.26666576565216</v>
      </c>
    </row>
    <row r="32" spans="2:4">
      <c r="B32" s="46" t="s">
        <v>61</v>
      </c>
      <c r="C32" s="46">
        <f>COUNT(C4:C29)</f>
        <v>26</v>
      </c>
      <c r="D32" s="46">
        <f>COUNT(D4:D29)</f>
        <v>23</v>
      </c>
    </row>
  </sheetData>
  <mergeCells count="1">
    <mergeCell ref="C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91BDF-5685-4998-A7FE-5EBA1399E54D}">
  <dimension ref="A1:AF73"/>
  <sheetViews>
    <sheetView workbookViewId="0">
      <selection activeCell="C6" sqref="C6"/>
    </sheetView>
  </sheetViews>
  <sheetFormatPr defaultRowHeight="15"/>
  <cols>
    <col min="2" max="2" width="11" customWidth="1"/>
    <col min="19" max="20" width="8.28515625" customWidth="1"/>
    <col min="21" max="22" width="12.42578125" customWidth="1"/>
    <col min="23" max="23" width="8.28515625" customWidth="1"/>
    <col min="24" max="24" width="12.42578125" customWidth="1"/>
  </cols>
  <sheetData>
    <row r="1" spans="2:32"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2:32"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2:32"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2:32">
      <c r="B4" s="46"/>
      <c r="C4" s="49" t="s">
        <v>180</v>
      </c>
      <c r="D4" s="49"/>
      <c r="E4" s="49" t="s">
        <v>181</v>
      </c>
      <c r="F4" s="49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2:32">
      <c r="B5" s="46"/>
      <c r="C5" s="46" t="s">
        <v>182</v>
      </c>
      <c r="D5" s="46" t="s">
        <v>183</v>
      </c>
      <c r="E5" s="46" t="s">
        <v>182</v>
      </c>
      <c r="F5" s="46" t="s">
        <v>183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32">
      <c r="B6" s="46" t="s">
        <v>184</v>
      </c>
      <c r="C6" s="46">
        <v>8</v>
      </c>
      <c r="D6" s="46">
        <v>2</v>
      </c>
      <c r="E6" s="46">
        <v>5</v>
      </c>
      <c r="F6" s="46">
        <v>3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2:32">
      <c r="B7" s="46" t="s">
        <v>185</v>
      </c>
      <c r="C7" s="46">
        <v>1</v>
      </c>
      <c r="D7" s="46">
        <v>3</v>
      </c>
      <c r="E7" s="46">
        <v>2</v>
      </c>
      <c r="F7" s="46">
        <v>3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2:32">
      <c r="B8" s="46" t="s">
        <v>186</v>
      </c>
      <c r="C8" s="46">
        <v>5</v>
      </c>
      <c r="D8" s="46">
        <v>2</v>
      </c>
      <c r="E8" s="46">
        <v>0</v>
      </c>
      <c r="F8" s="46">
        <v>5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2:32">
      <c r="B9" s="46" t="s">
        <v>187</v>
      </c>
      <c r="C9" s="46">
        <v>3</v>
      </c>
      <c r="D9" s="46">
        <v>0</v>
      </c>
      <c r="E9" s="46">
        <v>0</v>
      </c>
      <c r="F9" s="46">
        <v>4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2:32">
      <c r="B10" s="46" t="s">
        <v>188</v>
      </c>
      <c r="C10" s="46">
        <v>0</v>
      </c>
      <c r="D10" s="46">
        <v>2</v>
      </c>
      <c r="E10" s="46">
        <v>0</v>
      </c>
      <c r="F10" s="46">
        <v>1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2:32">
      <c r="B11" s="45" t="s">
        <v>189</v>
      </c>
      <c r="C11" s="45">
        <v>17</v>
      </c>
      <c r="D11" s="45">
        <v>9</v>
      </c>
      <c r="E11" s="45">
        <v>7</v>
      </c>
      <c r="F11" s="45">
        <v>16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2:32"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2:32"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2:32">
      <c r="B14" s="46"/>
      <c r="C14" s="46" t="s">
        <v>180</v>
      </c>
      <c r="D14" s="46" t="s">
        <v>181</v>
      </c>
      <c r="F14" s="46"/>
      <c r="G14" s="46" t="s">
        <v>180</v>
      </c>
      <c r="H14" s="46" t="s">
        <v>181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2:32">
      <c r="B15" s="46" t="s">
        <v>182</v>
      </c>
      <c r="C15" s="46">
        <v>17</v>
      </c>
      <c r="D15" s="46">
        <v>7</v>
      </c>
      <c r="F15" s="46" t="s">
        <v>182</v>
      </c>
      <c r="G15" s="50">
        <v>0.65384615384615385</v>
      </c>
      <c r="H15" s="50">
        <v>0.30434782608695654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2:32">
      <c r="B16" s="46" t="s">
        <v>183</v>
      </c>
      <c r="C16" s="46">
        <v>9</v>
      </c>
      <c r="D16" s="46">
        <v>16</v>
      </c>
      <c r="F16" s="46" t="s">
        <v>183</v>
      </c>
      <c r="G16" s="50">
        <v>0.34615384615384615</v>
      </c>
      <c r="H16" s="50">
        <v>0.69565217391304346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>
      <c r="B17" s="46" t="s">
        <v>189</v>
      </c>
      <c r="C17" s="46">
        <v>26</v>
      </c>
      <c r="D17" s="46">
        <v>23</v>
      </c>
      <c r="F17" s="46" t="s">
        <v>189</v>
      </c>
      <c r="G17" s="50">
        <v>1</v>
      </c>
      <c r="H17" s="50">
        <v>1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>
      <c r="C19" s="7" t="s">
        <v>190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>
      <c r="C20" s="51" t="s">
        <v>191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>
      <c r="A22" s="6"/>
      <c r="B22" s="9"/>
      <c r="C22" s="6"/>
      <c r="D22" s="6"/>
      <c r="E22" s="6"/>
      <c r="F22" s="6"/>
      <c r="G22" s="6"/>
      <c r="H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>
      <c r="A23" s="6"/>
      <c r="B23" s="6"/>
      <c r="C23" s="6"/>
      <c r="D23" s="6"/>
      <c r="E23" s="6"/>
      <c r="F23" s="6"/>
      <c r="G23" s="6"/>
      <c r="H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>
      <c r="A24" s="6"/>
      <c r="B24" s="6"/>
      <c r="C24" s="6"/>
      <c r="D24" s="6"/>
      <c r="E24" s="6"/>
      <c r="F24" s="6"/>
      <c r="G24" s="6"/>
      <c r="H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>
      <c r="A25" s="6"/>
      <c r="B25" s="6"/>
      <c r="C25" s="6"/>
      <c r="D25" s="6"/>
      <c r="E25" s="6"/>
      <c r="F25" s="6"/>
      <c r="G25" s="6"/>
      <c r="H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>
      <c r="A27" s="52"/>
      <c r="B27" s="52"/>
      <c r="C27" s="53"/>
      <c r="D27" s="53"/>
      <c r="E27" s="53"/>
      <c r="F27" s="53"/>
      <c r="G27" s="53"/>
      <c r="H27" s="53"/>
      <c r="I27" s="52"/>
      <c r="J27" s="52"/>
      <c r="K27" s="52"/>
      <c r="L27" s="52"/>
      <c r="M27" s="52"/>
      <c r="N27" s="52"/>
      <c r="O27" s="52"/>
      <c r="P27" s="52"/>
      <c r="Q27" s="52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8:32"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8:32"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8:32"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8:32"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8:32"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8:32"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8:32"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8:32"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8:32"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8:32"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8:32"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8:32"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8:32"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8:32"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52"/>
      <c r="AD62" s="6"/>
      <c r="AE62" s="6"/>
      <c r="AF62" s="6"/>
    </row>
    <row r="63" spans="18:32"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52"/>
      <c r="AD63" s="6"/>
      <c r="AE63" s="6"/>
      <c r="AF63" s="6"/>
    </row>
    <row r="64" spans="18:32"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8:32"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8:32"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8:32"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8:32"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8:32"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8:32"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8:32"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8:32"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8:32"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</sheetData>
  <mergeCells count="4">
    <mergeCell ref="C4:D4"/>
    <mergeCell ref="E4:F4"/>
    <mergeCell ref="C27:E27"/>
    <mergeCell ref="F27:H27"/>
  </mergeCells>
  <hyperlinks>
    <hyperlink ref="C20" r:id="rId1" xr:uid="{394D03A3-29C3-4B00-8988-2812E00B0231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85EBB-2B09-49D5-AF31-65D19804912D}">
  <dimension ref="B1:K51"/>
  <sheetViews>
    <sheetView workbookViewId="0">
      <selection activeCell="D26" sqref="D26"/>
    </sheetView>
  </sheetViews>
  <sheetFormatPr defaultRowHeight="15"/>
  <cols>
    <col min="1" max="1" width="9.140625" style="12"/>
    <col min="2" max="2" width="19.7109375" style="12" customWidth="1"/>
    <col min="3" max="3" width="11.5703125" style="12" bestFit="1" customWidth="1"/>
    <col min="4" max="5" width="9.140625" style="12"/>
    <col min="6" max="6" width="21" style="12" customWidth="1"/>
    <col min="7" max="9" width="9.140625" style="12"/>
    <col min="10" max="10" width="18.140625" style="12" customWidth="1"/>
    <col min="11" max="16384" width="9.140625" style="12"/>
  </cols>
  <sheetData>
    <row r="1" spans="2:6">
      <c r="B1" s="16"/>
      <c r="C1" s="59" t="s">
        <v>100</v>
      </c>
      <c r="D1" s="59"/>
      <c r="E1" s="59"/>
      <c r="F1" s="59"/>
    </row>
    <row r="2" spans="2:6" ht="26.25">
      <c r="B2" s="16"/>
      <c r="C2" s="19" t="s">
        <v>235</v>
      </c>
      <c r="D2" s="19" t="s">
        <v>236</v>
      </c>
      <c r="E2" s="19" t="s">
        <v>237</v>
      </c>
      <c r="F2" s="19" t="s">
        <v>238</v>
      </c>
    </row>
    <row r="3" spans="2:6">
      <c r="B3" s="16"/>
      <c r="C3" s="22">
        <v>0.65892899999999999</v>
      </c>
      <c r="D3" s="22">
        <v>0.59720300000000004</v>
      </c>
      <c r="E3" s="22">
        <v>0.596804</v>
      </c>
      <c r="F3" s="22">
        <v>0.59571600000000002</v>
      </c>
    </row>
    <row r="4" spans="2:6">
      <c r="B4" s="16"/>
      <c r="C4" s="22">
        <v>0.98637799999999998</v>
      </c>
      <c r="D4" s="22">
        <v>0.71694599999999997</v>
      </c>
      <c r="E4" s="22">
        <v>0.700206</v>
      </c>
      <c r="F4" s="22">
        <v>0.67725599999999997</v>
      </c>
    </row>
    <row r="5" spans="2:6">
      <c r="B5" s="16"/>
      <c r="C5" s="22">
        <v>0.97767300000000001</v>
      </c>
      <c r="D5" s="22">
        <v>0.40264</v>
      </c>
      <c r="E5" s="22">
        <v>0.65650200000000003</v>
      </c>
      <c r="F5" s="22">
        <v>0.62471600000000005</v>
      </c>
    </row>
    <row r="6" spans="2:6">
      <c r="B6" s="16"/>
      <c r="C6" s="22">
        <v>0.81833199999999995</v>
      </c>
      <c r="D6" s="22">
        <v>0.35678399999999999</v>
      </c>
      <c r="E6" s="22">
        <v>0.74091600000000002</v>
      </c>
      <c r="F6" s="22">
        <v>0.76157600000000003</v>
      </c>
    </row>
    <row r="7" spans="2:6">
      <c r="B7" s="16"/>
      <c r="C7" s="22">
        <v>0.85322500000000001</v>
      </c>
      <c r="D7" s="22">
        <v>0.54806600000000005</v>
      </c>
      <c r="E7" s="22">
        <v>0.65302499999999997</v>
      </c>
      <c r="F7" s="22">
        <v>0.36427599999999999</v>
      </c>
    </row>
    <row r="8" spans="2:6">
      <c r="B8" s="16"/>
      <c r="C8" s="22">
        <v>0.73656900000000003</v>
      </c>
      <c r="D8" s="22">
        <v>0.52147299999999996</v>
      </c>
      <c r="E8" s="22"/>
      <c r="F8" s="22">
        <v>0.49851200000000001</v>
      </c>
    </row>
    <row r="9" spans="2:6">
      <c r="B9" s="16"/>
      <c r="C9" s="22">
        <v>0.81898199999999999</v>
      </c>
      <c r="D9" s="22"/>
      <c r="E9" s="22"/>
      <c r="F9" s="22">
        <v>0.46634300000000001</v>
      </c>
    </row>
    <row r="10" spans="2:6">
      <c r="B10" s="16"/>
      <c r="C10" s="22">
        <v>0.62026499999999996</v>
      </c>
      <c r="D10" s="22"/>
      <c r="E10" s="22"/>
      <c r="F10" s="22">
        <v>0.44987300000000002</v>
      </c>
    </row>
    <row r="11" spans="2:6">
      <c r="B11" s="16"/>
      <c r="C11" s="22">
        <v>1.1181270000000001</v>
      </c>
      <c r="D11" s="22"/>
      <c r="E11" s="22"/>
      <c r="F11" s="22">
        <v>0.239207</v>
      </c>
    </row>
    <row r="12" spans="2:6">
      <c r="B12" s="16"/>
      <c r="C12" s="22">
        <v>0.49807000000000001</v>
      </c>
      <c r="D12" s="22"/>
      <c r="E12" s="22"/>
      <c r="F12" s="22">
        <v>0.596391</v>
      </c>
    </row>
    <row r="13" spans="2:6">
      <c r="B13" s="16"/>
      <c r="C13" s="22">
        <v>0.68551799999999996</v>
      </c>
      <c r="D13" s="22"/>
      <c r="E13" s="22"/>
      <c r="F13" s="22">
        <v>0.39163100000000001</v>
      </c>
    </row>
    <row r="14" spans="2:6">
      <c r="B14" s="16"/>
      <c r="C14" s="22"/>
      <c r="D14" s="22"/>
      <c r="E14" s="22"/>
      <c r="F14" s="22">
        <v>0.19092700000000001</v>
      </c>
    </row>
    <row r="15" spans="2:6">
      <c r="B15" s="16"/>
      <c r="C15" s="22"/>
      <c r="D15" s="22"/>
      <c r="E15" s="22"/>
      <c r="F15" s="22">
        <v>0.63402199999999997</v>
      </c>
    </row>
    <row r="16" spans="2:6">
      <c r="B16" s="16"/>
      <c r="C16" s="22"/>
      <c r="D16" s="22"/>
      <c r="E16" s="22"/>
      <c r="F16" s="22">
        <v>0.376334</v>
      </c>
    </row>
    <row r="17" spans="2:11">
      <c r="B17" s="16"/>
      <c r="C17" s="22"/>
      <c r="D17" s="22"/>
      <c r="E17" s="22"/>
      <c r="F17" s="22">
        <v>0.77774399999999999</v>
      </c>
    </row>
    <row r="18" spans="2:11">
      <c r="B18" s="16"/>
      <c r="C18" s="22"/>
      <c r="D18" s="22"/>
      <c r="E18" s="22"/>
      <c r="F18" s="22">
        <v>0.32756000000000002</v>
      </c>
    </row>
    <row r="19" spans="2:11">
      <c r="B19" s="16"/>
      <c r="C19" s="16"/>
      <c r="D19" s="16"/>
      <c r="E19" s="16"/>
      <c r="F19" s="16"/>
    </row>
    <row r="20" spans="2:11">
      <c r="B20" s="16" t="s">
        <v>239</v>
      </c>
      <c r="C20" s="16">
        <f>AVERAGE(C3:C18)</f>
        <v>0.79746072727272732</v>
      </c>
      <c r="D20" s="16">
        <f t="shared" ref="D20:F20" si="0">AVERAGE(D3:D18)</f>
        <v>0.52385199999999987</v>
      </c>
      <c r="E20" s="16">
        <f t="shared" si="0"/>
        <v>0.66949059999999994</v>
      </c>
      <c r="F20" s="16">
        <f t="shared" si="0"/>
        <v>0.49825525000000004</v>
      </c>
    </row>
    <row r="23" spans="2:11" ht="39">
      <c r="B23" s="58" t="s">
        <v>107</v>
      </c>
      <c r="C23" s="22" t="s">
        <v>240</v>
      </c>
      <c r="F23" s="58" t="s">
        <v>107</v>
      </c>
      <c r="G23" s="22" t="s">
        <v>240</v>
      </c>
      <c r="J23" s="58" t="s">
        <v>107</v>
      </c>
      <c r="K23" s="22" t="s">
        <v>258</v>
      </c>
    </row>
    <row r="24" spans="2:11">
      <c r="B24" s="58"/>
      <c r="C24" s="22"/>
      <c r="F24" s="58"/>
      <c r="G24" s="22"/>
      <c r="J24" s="58"/>
      <c r="K24" s="22"/>
    </row>
    <row r="25" spans="2:11" ht="26.25">
      <c r="B25" s="58" t="s">
        <v>109</v>
      </c>
      <c r="C25" s="22" t="s">
        <v>236</v>
      </c>
      <c r="F25" s="58" t="s">
        <v>247</v>
      </c>
      <c r="G25" s="22" t="s">
        <v>238</v>
      </c>
      <c r="J25" s="58" t="s">
        <v>109</v>
      </c>
      <c r="K25" s="22" t="s">
        <v>259</v>
      </c>
    </row>
    <row r="26" spans="2:11">
      <c r="B26" s="58" t="s">
        <v>110</v>
      </c>
      <c r="C26" s="22" t="s">
        <v>110</v>
      </c>
      <c r="F26" s="58" t="s">
        <v>110</v>
      </c>
      <c r="G26" s="22" t="s">
        <v>110</v>
      </c>
      <c r="J26" s="58" t="s">
        <v>110</v>
      </c>
      <c r="K26" s="22" t="s">
        <v>110</v>
      </c>
    </row>
    <row r="27" spans="2:11" ht="26.25">
      <c r="B27" s="58" t="s">
        <v>111</v>
      </c>
      <c r="C27" s="22" t="s">
        <v>235</v>
      </c>
      <c r="F27" s="58" t="s">
        <v>248</v>
      </c>
      <c r="G27" s="22" t="s">
        <v>237</v>
      </c>
      <c r="J27" s="58" t="s">
        <v>111</v>
      </c>
      <c r="K27" s="22" t="s">
        <v>260</v>
      </c>
    </row>
    <row r="28" spans="2:11">
      <c r="B28" s="58"/>
      <c r="C28" s="22"/>
      <c r="F28" s="58"/>
      <c r="G28" s="22"/>
      <c r="J28" s="58"/>
      <c r="K28" s="22"/>
    </row>
    <row r="29" spans="2:11" ht="51.75">
      <c r="B29" s="58" t="s">
        <v>241</v>
      </c>
      <c r="C29" s="22"/>
      <c r="F29" s="58" t="s">
        <v>241</v>
      </c>
      <c r="G29" s="22"/>
      <c r="J29" s="58" t="s">
        <v>241</v>
      </c>
      <c r="K29" s="22"/>
    </row>
    <row r="30" spans="2:11">
      <c r="B30" s="60" t="s">
        <v>113</v>
      </c>
      <c r="C30" s="61">
        <v>3.2000000000000002E-3</v>
      </c>
      <c r="D30" s="62"/>
      <c r="E30" s="62"/>
      <c r="F30" s="60" t="s">
        <v>113</v>
      </c>
      <c r="G30" s="61">
        <v>3.0999999999999999E-3</v>
      </c>
      <c r="H30" s="62"/>
      <c r="I30" s="62"/>
      <c r="J30" s="60" t="s">
        <v>113</v>
      </c>
      <c r="K30" s="61">
        <v>1.5800000000000002E-2</v>
      </c>
    </row>
    <row r="31" spans="2:11" ht="26.25">
      <c r="B31" s="58" t="s">
        <v>77</v>
      </c>
      <c r="C31" s="22" t="s">
        <v>78</v>
      </c>
      <c r="F31" s="58" t="s">
        <v>77</v>
      </c>
      <c r="G31" s="22" t="s">
        <v>78</v>
      </c>
      <c r="J31" s="58" t="s">
        <v>77</v>
      </c>
      <c r="K31" s="22" t="s">
        <v>87</v>
      </c>
    </row>
    <row r="32" spans="2:11" ht="26.25">
      <c r="B32" s="58" t="s">
        <v>114</v>
      </c>
      <c r="C32" s="22" t="s">
        <v>80</v>
      </c>
      <c r="F32" s="58" t="s">
        <v>114</v>
      </c>
      <c r="G32" s="22" t="s">
        <v>80</v>
      </c>
      <c r="J32" s="58" t="s">
        <v>114</v>
      </c>
      <c r="K32" s="22" t="s">
        <v>80</v>
      </c>
    </row>
    <row r="33" spans="2:11" ht="26.25">
      <c r="B33" s="58" t="s">
        <v>115</v>
      </c>
      <c r="C33" s="22" t="s">
        <v>116</v>
      </c>
      <c r="F33" s="58" t="s">
        <v>115</v>
      </c>
      <c r="G33" s="22" t="s">
        <v>116</v>
      </c>
      <c r="J33" s="58" t="s">
        <v>115</v>
      </c>
      <c r="K33" s="22" t="s">
        <v>116</v>
      </c>
    </row>
    <row r="34" spans="2:11" ht="26.25">
      <c r="B34" s="58" t="s">
        <v>242</v>
      </c>
      <c r="C34" s="22" t="s">
        <v>243</v>
      </c>
      <c r="F34" s="58" t="s">
        <v>242</v>
      </c>
      <c r="G34" s="22" t="s">
        <v>249</v>
      </c>
      <c r="J34" s="58" t="s">
        <v>242</v>
      </c>
      <c r="K34" s="22" t="s">
        <v>261</v>
      </c>
    </row>
    <row r="35" spans="2:11">
      <c r="B35" s="58"/>
      <c r="C35" s="22"/>
      <c r="F35" s="58"/>
      <c r="G35" s="22"/>
      <c r="J35" s="58"/>
      <c r="K35" s="22"/>
    </row>
    <row r="36" spans="2:11" ht="26.25">
      <c r="B36" s="58" t="s">
        <v>119</v>
      </c>
      <c r="C36" s="22"/>
      <c r="F36" s="58" t="s">
        <v>119</v>
      </c>
      <c r="G36" s="22"/>
      <c r="J36" s="58" t="s">
        <v>119</v>
      </c>
      <c r="K36" s="22"/>
    </row>
    <row r="37" spans="2:11">
      <c r="B37" s="58" t="s">
        <v>120</v>
      </c>
      <c r="C37" s="22">
        <v>0.79749999999999999</v>
      </c>
      <c r="F37" s="58" t="s">
        <v>250</v>
      </c>
      <c r="G37" s="22">
        <v>0.66949999999999998</v>
      </c>
      <c r="J37" s="58" t="s">
        <v>120</v>
      </c>
      <c r="K37" s="22">
        <v>0.70089999999999997</v>
      </c>
    </row>
    <row r="38" spans="2:11">
      <c r="B38" s="58" t="s">
        <v>121</v>
      </c>
      <c r="C38" s="22">
        <v>0.52390000000000003</v>
      </c>
      <c r="F38" s="58" t="s">
        <v>251</v>
      </c>
      <c r="G38" s="22">
        <v>0.49830000000000002</v>
      </c>
      <c r="J38" s="58" t="s">
        <v>121</v>
      </c>
      <c r="K38" s="22">
        <v>0.53900000000000003</v>
      </c>
    </row>
    <row r="39" spans="2:11" ht="39">
      <c r="B39" s="58" t="s">
        <v>122</v>
      </c>
      <c r="C39" s="22" t="s">
        <v>244</v>
      </c>
      <c r="F39" s="58" t="s">
        <v>252</v>
      </c>
      <c r="G39" s="22" t="s">
        <v>253</v>
      </c>
      <c r="J39" s="58" t="s">
        <v>122</v>
      </c>
      <c r="K39" s="22" t="s">
        <v>262</v>
      </c>
    </row>
    <row r="40" spans="2:11" ht="39">
      <c r="B40" s="58" t="s">
        <v>83</v>
      </c>
      <c r="C40" s="22" t="s">
        <v>245</v>
      </c>
      <c r="F40" s="58" t="s">
        <v>83</v>
      </c>
      <c r="G40" s="22" t="s">
        <v>254</v>
      </c>
      <c r="J40" s="58" t="s">
        <v>83</v>
      </c>
      <c r="K40" s="22" t="s">
        <v>263</v>
      </c>
    </row>
    <row r="41" spans="2:11" ht="26.25">
      <c r="B41" s="58" t="s">
        <v>125</v>
      </c>
      <c r="C41" s="22">
        <v>0.48449999999999999</v>
      </c>
      <c r="F41" s="58" t="s">
        <v>125</v>
      </c>
      <c r="G41" s="22">
        <v>0.37740000000000001</v>
      </c>
      <c r="J41" s="58" t="s">
        <v>125</v>
      </c>
      <c r="K41" s="22">
        <v>0.17449999999999999</v>
      </c>
    </row>
    <row r="42" spans="2:11">
      <c r="B42" s="58"/>
      <c r="C42" s="22"/>
      <c r="F42" s="58"/>
      <c r="G42" s="22"/>
      <c r="J42" s="58"/>
      <c r="K42" s="22"/>
    </row>
    <row r="43" spans="2:11" ht="26.25">
      <c r="B43" s="58" t="s">
        <v>126</v>
      </c>
      <c r="C43" s="22"/>
      <c r="F43" s="58" t="s">
        <v>126</v>
      </c>
      <c r="G43" s="22"/>
      <c r="J43" s="58" t="s">
        <v>126</v>
      </c>
      <c r="K43" s="22"/>
    </row>
    <row r="44" spans="2:11" ht="26.25">
      <c r="B44" s="58" t="s">
        <v>127</v>
      </c>
      <c r="C44" s="22" t="s">
        <v>246</v>
      </c>
      <c r="F44" s="58" t="s">
        <v>127</v>
      </c>
      <c r="G44" s="22" t="s">
        <v>255</v>
      </c>
      <c r="J44" s="58" t="s">
        <v>127</v>
      </c>
      <c r="K44" s="22" t="s">
        <v>264</v>
      </c>
    </row>
    <row r="45" spans="2:11">
      <c r="B45" s="58" t="s">
        <v>113</v>
      </c>
      <c r="C45" s="22">
        <v>0.48480000000000001</v>
      </c>
      <c r="F45" s="58" t="s">
        <v>113</v>
      </c>
      <c r="G45" s="22">
        <v>3.4000000000000002E-2</v>
      </c>
      <c r="J45" s="58" t="s">
        <v>113</v>
      </c>
      <c r="K45" s="22">
        <v>0.39679999999999999</v>
      </c>
    </row>
    <row r="46" spans="2:11">
      <c r="B46" s="58" t="s">
        <v>77</v>
      </c>
      <c r="C46" s="22" t="s">
        <v>88</v>
      </c>
      <c r="F46" s="58" t="s">
        <v>77</v>
      </c>
      <c r="G46" s="22" t="s">
        <v>87</v>
      </c>
      <c r="J46" s="58" t="s">
        <v>77</v>
      </c>
      <c r="K46" s="22" t="s">
        <v>88</v>
      </c>
    </row>
    <row r="47" spans="2:11" ht="26.25">
      <c r="B47" s="58" t="s">
        <v>114</v>
      </c>
      <c r="C47" s="22" t="s">
        <v>89</v>
      </c>
      <c r="F47" s="58" t="s">
        <v>114</v>
      </c>
      <c r="G47" s="22" t="s">
        <v>80</v>
      </c>
      <c r="J47" s="58" t="s">
        <v>114</v>
      </c>
      <c r="K47" s="22" t="s">
        <v>89</v>
      </c>
    </row>
    <row r="48" spans="2:11">
      <c r="B48" s="58"/>
      <c r="C48" s="22"/>
      <c r="F48" s="58"/>
      <c r="G48" s="22"/>
      <c r="J48" s="58"/>
      <c r="K48" s="22"/>
    </row>
    <row r="49" spans="2:11">
      <c r="B49" s="58" t="s">
        <v>129</v>
      </c>
      <c r="C49" s="22"/>
      <c r="F49" s="58" t="s">
        <v>129</v>
      </c>
      <c r="G49" s="22"/>
      <c r="J49" s="58" t="s">
        <v>129</v>
      </c>
      <c r="K49" s="22"/>
    </row>
    <row r="50" spans="2:11" ht="26.25">
      <c r="B50" s="58" t="s">
        <v>130</v>
      </c>
      <c r="C50" s="22">
        <v>11</v>
      </c>
      <c r="F50" s="58" t="s">
        <v>256</v>
      </c>
      <c r="G50" s="22">
        <v>5</v>
      </c>
      <c r="J50" s="58" t="s">
        <v>130</v>
      </c>
      <c r="K50" s="22">
        <v>17</v>
      </c>
    </row>
    <row r="51" spans="2:11" ht="26.25">
      <c r="B51" s="58" t="s">
        <v>131</v>
      </c>
      <c r="C51" s="22">
        <v>6</v>
      </c>
      <c r="F51" s="58" t="s">
        <v>257</v>
      </c>
      <c r="G51" s="22">
        <v>16</v>
      </c>
      <c r="J51" s="58" t="s">
        <v>131</v>
      </c>
      <c r="K51" s="22">
        <v>21</v>
      </c>
    </row>
  </sheetData>
  <mergeCells count="1">
    <mergeCell ref="C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Fig 1G</vt:lpstr>
      <vt:lpstr>Fig S4B' Cdh5 mean</vt:lpstr>
      <vt:lpstr>Fig S4B'' Cdh5 max</vt:lpstr>
      <vt:lpstr>Fig S7</vt:lpstr>
      <vt:lpstr>Fig 5 snail1b RNAscope</vt:lpstr>
      <vt:lpstr>Fig 5 twist1b RNAscope</vt:lpstr>
      <vt:lpstr>Fig S9C</vt:lpstr>
      <vt:lpstr>Fig S9E</vt:lpstr>
      <vt:lpstr>Fig S9G</vt:lpstr>
      <vt:lpstr>Fig S9H,I</vt:lpstr>
      <vt:lpstr>Fig 6B,C,D,G</vt:lpstr>
      <vt:lpstr>Fig S10B</vt:lpstr>
      <vt:lpstr>Fig S11B,E,F</vt:lpstr>
      <vt:lpstr>Fig S12B</vt:lpstr>
      <vt:lpstr>Fig 8A </vt:lpstr>
      <vt:lpstr>Fig 8C</vt:lpstr>
      <vt:lpstr>Fig 8D</vt:lpstr>
      <vt:lpstr>Fig 8E</vt:lpstr>
      <vt:lpstr>Fig S14C,D</vt:lpstr>
      <vt:lpstr>Fig S15B,C</vt:lpstr>
      <vt:lpstr>Fig S15F,G,H,K</vt:lpstr>
      <vt:lpstr>Fig S16D,E</vt:lpstr>
      <vt:lpstr>Fig S16F</vt:lpstr>
      <vt:lpstr>Fig 9E,F,G,H,I</vt:lpstr>
      <vt:lpstr>Fig S17C,E</vt:lpstr>
      <vt:lpstr>Fig S17F</vt:lpstr>
      <vt:lpstr>Fig 11B,C</vt:lpstr>
      <vt:lpstr>Fig 11E,F</vt:lpstr>
      <vt:lpstr>Fig 12C</vt:lpstr>
      <vt:lpstr>Fig 12D,E</vt:lpstr>
    </vt:vector>
  </TitlesOfParts>
  <Company>IGBMC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 CHOW</dc:creator>
  <cp:lastModifiedBy>Renee CHOW</cp:lastModifiedBy>
  <dcterms:created xsi:type="dcterms:W3CDTF">2021-11-15T10:15:42Z</dcterms:created>
  <dcterms:modified xsi:type="dcterms:W3CDTF">2021-11-15T18:25:00Z</dcterms:modified>
</cp:coreProperties>
</file>