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75" yWindow="120" windowWidth="15240" windowHeight="11655"/>
  </bookViews>
  <sheets>
    <sheet name="trait contribution" sheetId="4" r:id="rId1"/>
  </sheets>
  <calcPr calcId="145621"/>
</workbook>
</file>

<file path=xl/calcChain.xml><?xml version="1.0" encoding="utf-8"?>
<calcChain xmlns="http://schemas.openxmlformats.org/spreadsheetml/2006/main">
  <c r="K503" i="4" l="1"/>
  <c r="F503" i="4"/>
  <c r="K502" i="4"/>
  <c r="F502" i="4"/>
  <c r="K501" i="4"/>
  <c r="F501" i="4"/>
  <c r="K500" i="4"/>
  <c r="F500" i="4"/>
  <c r="K499" i="4"/>
  <c r="F499" i="4"/>
  <c r="K498" i="4"/>
  <c r="F498" i="4"/>
  <c r="K497" i="4"/>
  <c r="F497" i="4"/>
  <c r="K496" i="4"/>
  <c r="F496" i="4"/>
  <c r="K495" i="4"/>
  <c r="F495" i="4"/>
  <c r="K494" i="4"/>
  <c r="F494" i="4"/>
  <c r="K493" i="4"/>
  <c r="F493" i="4"/>
  <c r="K492" i="4"/>
  <c r="F492" i="4"/>
  <c r="K491" i="4"/>
  <c r="F491" i="4"/>
  <c r="K490" i="4"/>
  <c r="F490" i="4"/>
  <c r="K489" i="4"/>
  <c r="F489" i="4"/>
  <c r="K488" i="4"/>
  <c r="F488" i="4"/>
  <c r="K487" i="4"/>
  <c r="F487" i="4"/>
  <c r="K486" i="4"/>
  <c r="F486" i="4"/>
  <c r="K485" i="4"/>
  <c r="F485" i="4"/>
  <c r="K484" i="4"/>
  <c r="F484" i="4"/>
  <c r="K483" i="4"/>
  <c r="F483" i="4"/>
  <c r="K482" i="4"/>
  <c r="F482" i="4"/>
  <c r="K481" i="4"/>
  <c r="F481" i="4"/>
  <c r="K480" i="4"/>
  <c r="F480" i="4"/>
  <c r="K479" i="4"/>
  <c r="F479" i="4"/>
  <c r="K478" i="4"/>
  <c r="F478" i="4"/>
  <c r="K477" i="4"/>
  <c r="F477" i="4"/>
  <c r="K476" i="4"/>
  <c r="F476" i="4"/>
  <c r="K475" i="4"/>
  <c r="F475" i="4"/>
  <c r="K474" i="4"/>
  <c r="F474" i="4"/>
  <c r="K473" i="4"/>
  <c r="F473" i="4"/>
  <c r="K472" i="4"/>
  <c r="F472" i="4"/>
  <c r="K471" i="4"/>
  <c r="F471" i="4"/>
  <c r="K470" i="4"/>
  <c r="F470" i="4"/>
  <c r="K469" i="4"/>
  <c r="F469" i="4"/>
  <c r="K468" i="4"/>
  <c r="F468" i="4"/>
  <c r="K467" i="4"/>
  <c r="F467" i="4"/>
  <c r="K466" i="4"/>
  <c r="F466" i="4"/>
  <c r="K465" i="4"/>
  <c r="F465" i="4"/>
  <c r="K464" i="4"/>
  <c r="F464" i="4"/>
  <c r="K463" i="4"/>
  <c r="F463" i="4"/>
  <c r="K462" i="4"/>
  <c r="F462" i="4"/>
  <c r="K461" i="4"/>
  <c r="F461" i="4"/>
  <c r="K460" i="4"/>
  <c r="F460" i="4"/>
  <c r="K459" i="4"/>
  <c r="F459" i="4"/>
  <c r="K458" i="4"/>
  <c r="F458" i="4"/>
  <c r="K457" i="4"/>
  <c r="F457" i="4"/>
  <c r="K456" i="4"/>
  <c r="F456" i="4"/>
  <c r="K455" i="4"/>
  <c r="F455" i="4"/>
  <c r="K454" i="4"/>
  <c r="F454" i="4"/>
  <c r="K453" i="4"/>
  <c r="F453" i="4"/>
  <c r="K452" i="4"/>
  <c r="F452" i="4"/>
  <c r="K451" i="4"/>
  <c r="F451" i="4"/>
  <c r="K450" i="4"/>
  <c r="F450" i="4"/>
  <c r="K449" i="4"/>
  <c r="F449" i="4"/>
  <c r="K448" i="4"/>
  <c r="F448" i="4"/>
  <c r="K447" i="4"/>
  <c r="F447" i="4"/>
  <c r="K446" i="4"/>
  <c r="F446" i="4"/>
  <c r="K445" i="4"/>
  <c r="F445" i="4"/>
  <c r="K444" i="4"/>
  <c r="F444" i="4"/>
  <c r="K443" i="4"/>
  <c r="F443" i="4"/>
  <c r="K442" i="4"/>
  <c r="J442" i="4"/>
  <c r="F442" i="4"/>
  <c r="E442" i="4"/>
  <c r="K441" i="4"/>
  <c r="J441" i="4"/>
  <c r="F441" i="4"/>
  <c r="E441" i="4"/>
  <c r="K440" i="4"/>
  <c r="J440" i="4"/>
  <c r="F440" i="4"/>
  <c r="E440" i="4"/>
  <c r="K439" i="4"/>
  <c r="J439" i="4"/>
  <c r="F439" i="4"/>
  <c r="E439" i="4"/>
  <c r="K438" i="4"/>
  <c r="J438" i="4"/>
  <c r="F438" i="4"/>
  <c r="E438" i="4"/>
  <c r="K437" i="4"/>
  <c r="J437" i="4"/>
  <c r="F437" i="4"/>
  <c r="E437" i="4"/>
  <c r="K436" i="4"/>
  <c r="J436" i="4"/>
  <c r="F436" i="4"/>
  <c r="E436" i="4"/>
  <c r="K435" i="4"/>
  <c r="J435" i="4"/>
  <c r="F435" i="4"/>
  <c r="E435" i="4"/>
  <c r="K434" i="4"/>
  <c r="J434" i="4"/>
  <c r="F434" i="4"/>
  <c r="E434" i="4"/>
  <c r="K433" i="4"/>
  <c r="J433" i="4"/>
  <c r="F433" i="4"/>
  <c r="E433" i="4"/>
  <c r="K432" i="4"/>
  <c r="J432" i="4"/>
  <c r="F432" i="4"/>
  <c r="E432" i="4"/>
  <c r="K431" i="4"/>
  <c r="J431" i="4"/>
  <c r="F431" i="4"/>
  <c r="E431" i="4"/>
  <c r="K430" i="4"/>
  <c r="J430" i="4"/>
  <c r="F430" i="4"/>
  <c r="E430" i="4"/>
  <c r="K429" i="4"/>
  <c r="J429" i="4"/>
  <c r="F429" i="4"/>
  <c r="E429" i="4"/>
  <c r="K428" i="4"/>
  <c r="J428" i="4"/>
  <c r="F428" i="4"/>
  <c r="E428" i="4"/>
  <c r="K427" i="4"/>
  <c r="J427" i="4"/>
  <c r="F427" i="4"/>
  <c r="E427" i="4"/>
  <c r="K426" i="4"/>
  <c r="J426" i="4"/>
  <c r="F426" i="4"/>
  <c r="E426" i="4"/>
  <c r="K425" i="4"/>
  <c r="J425" i="4"/>
  <c r="F425" i="4"/>
  <c r="E425" i="4"/>
  <c r="K424" i="4"/>
  <c r="J424" i="4"/>
  <c r="F424" i="4"/>
  <c r="E424" i="4"/>
  <c r="K423" i="4"/>
  <c r="J423" i="4"/>
  <c r="F423" i="4"/>
  <c r="E423" i="4"/>
  <c r="K422" i="4"/>
  <c r="J422" i="4"/>
  <c r="F422" i="4"/>
  <c r="E422" i="4"/>
  <c r="K421" i="4"/>
  <c r="J421" i="4"/>
  <c r="F421" i="4"/>
  <c r="E421" i="4"/>
  <c r="K420" i="4"/>
  <c r="J420" i="4"/>
  <c r="F420" i="4"/>
  <c r="E420" i="4"/>
  <c r="K419" i="4"/>
  <c r="J419" i="4"/>
  <c r="F419" i="4"/>
  <c r="E419" i="4"/>
  <c r="K418" i="4"/>
  <c r="J418" i="4"/>
  <c r="F418" i="4"/>
  <c r="E418" i="4"/>
  <c r="K417" i="4"/>
  <c r="J417" i="4"/>
  <c r="F417" i="4"/>
  <c r="E417" i="4"/>
  <c r="K416" i="4"/>
  <c r="J416" i="4"/>
  <c r="F416" i="4"/>
  <c r="E416" i="4"/>
  <c r="K415" i="4"/>
  <c r="J415" i="4"/>
  <c r="F415" i="4"/>
  <c r="E415" i="4"/>
  <c r="K414" i="4"/>
  <c r="J414" i="4"/>
  <c r="F414" i="4"/>
  <c r="E414" i="4"/>
  <c r="K413" i="4"/>
  <c r="J413" i="4"/>
  <c r="F413" i="4"/>
  <c r="E413" i="4"/>
  <c r="K412" i="4"/>
  <c r="J412" i="4"/>
  <c r="F412" i="4"/>
  <c r="E412" i="4"/>
  <c r="K411" i="4"/>
  <c r="J411" i="4"/>
  <c r="F411" i="4"/>
  <c r="E411" i="4"/>
  <c r="K410" i="4"/>
  <c r="J410" i="4"/>
  <c r="F410" i="4"/>
  <c r="E410" i="4"/>
  <c r="K409" i="4"/>
  <c r="J409" i="4"/>
  <c r="F409" i="4"/>
  <c r="E409" i="4"/>
  <c r="K408" i="4"/>
  <c r="J408" i="4"/>
  <c r="F408" i="4"/>
  <c r="E408" i="4"/>
  <c r="K407" i="4"/>
  <c r="J407" i="4"/>
  <c r="F407" i="4"/>
  <c r="E407" i="4"/>
  <c r="K406" i="4"/>
  <c r="J406" i="4"/>
  <c r="F406" i="4"/>
  <c r="E406" i="4"/>
  <c r="K405" i="4"/>
  <c r="J405" i="4"/>
  <c r="F405" i="4"/>
  <c r="E405" i="4"/>
  <c r="K404" i="4"/>
  <c r="J404" i="4"/>
  <c r="F404" i="4"/>
  <c r="E404" i="4"/>
  <c r="K403" i="4"/>
  <c r="J403" i="4"/>
  <c r="F403" i="4"/>
  <c r="E403" i="4"/>
  <c r="K402" i="4"/>
  <c r="J402" i="4"/>
  <c r="F402" i="4"/>
  <c r="E402" i="4"/>
  <c r="K401" i="4"/>
  <c r="J401" i="4"/>
  <c r="F401" i="4"/>
  <c r="E401" i="4"/>
  <c r="K400" i="4"/>
  <c r="J400" i="4"/>
  <c r="F400" i="4"/>
  <c r="E400" i="4"/>
  <c r="K399" i="4"/>
  <c r="J399" i="4"/>
  <c r="F399" i="4"/>
  <c r="E399" i="4"/>
  <c r="K398" i="4"/>
  <c r="J398" i="4"/>
  <c r="F398" i="4"/>
  <c r="E398" i="4"/>
  <c r="K397" i="4"/>
  <c r="J397" i="4"/>
  <c r="F397" i="4"/>
  <c r="E397" i="4"/>
  <c r="K396" i="4"/>
  <c r="J396" i="4"/>
  <c r="F396" i="4"/>
  <c r="E396" i="4"/>
  <c r="K395" i="4"/>
  <c r="J395" i="4"/>
  <c r="F395" i="4"/>
  <c r="E395" i="4"/>
  <c r="K394" i="4"/>
  <c r="J394" i="4"/>
  <c r="F394" i="4"/>
  <c r="E394" i="4"/>
  <c r="K393" i="4"/>
  <c r="J393" i="4"/>
  <c r="F393" i="4"/>
  <c r="E393" i="4"/>
  <c r="K392" i="4"/>
  <c r="J392" i="4"/>
  <c r="F392" i="4"/>
  <c r="E392" i="4"/>
  <c r="K391" i="4"/>
  <c r="J391" i="4"/>
  <c r="F391" i="4"/>
  <c r="E391" i="4"/>
  <c r="K390" i="4"/>
  <c r="J390" i="4"/>
  <c r="F390" i="4"/>
  <c r="E390" i="4"/>
  <c r="K389" i="4"/>
  <c r="J389" i="4"/>
  <c r="F389" i="4"/>
  <c r="E389" i="4"/>
  <c r="K388" i="4"/>
  <c r="J388" i="4"/>
  <c r="F388" i="4"/>
  <c r="E388" i="4"/>
  <c r="K387" i="4"/>
  <c r="J387" i="4"/>
  <c r="F387" i="4"/>
  <c r="E387" i="4"/>
  <c r="K386" i="4"/>
  <c r="J386" i="4"/>
  <c r="F386" i="4"/>
  <c r="E386" i="4"/>
  <c r="K385" i="4"/>
  <c r="J385" i="4"/>
  <c r="F385" i="4"/>
  <c r="E385" i="4"/>
  <c r="K384" i="4"/>
  <c r="J384" i="4"/>
  <c r="F384" i="4"/>
  <c r="E384" i="4"/>
  <c r="K383" i="4"/>
  <c r="J383" i="4"/>
  <c r="F383" i="4"/>
  <c r="E383" i="4"/>
  <c r="K382" i="4"/>
  <c r="J382" i="4"/>
  <c r="F382" i="4"/>
  <c r="E382" i="4"/>
  <c r="K381" i="4"/>
  <c r="J381" i="4"/>
  <c r="F381" i="4"/>
  <c r="E381" i="4"/>
  <c r="K380" i="4"/>
  <c r="J380" i="4"/>
  <c r="F380" i="4"/>
  <c r="E380" i="4"/>
  <c r="K379" i="4"/>
  <c r="J379" i="4"/>
  <c r="F379" i="4"/>
  <c r="E379" i="4"/>
  <c r="K378" i="4"/>
  <c r="J378" i="4"/>
  <c r="F378" i="4"/>
  <c r="E378" i="4"/>
  <c r="K377" i="4"/>
  <c r="J377" i="4"/>
  <c r="F377" i="4"/>
  <c r="E377" i="4"/>
  <c r="K376" i="4"/>
  <c r="J376" i="4"/>
  <c r="F376" i="4"/>
  <c r="E376" i="4"/>
  <c r="K375" i="4"/>
  <c r="J375" i="4"/>
  <c r="F375" i="4"/>
  <c r="E375" i="4"/>
  <c r="K374" i="4"/>
  <c r="J374" i="4"/>
  <c r="F374" i="4"/>
  <c r="E374" i="4"/>
  <c r="K373" i="4"/>
  <c r="J373" i="4"/>
  <c r="F373" i="4"/>
  <c r="E373" i="4"/>
  <c r="K372" i="4"/>
  <c r="J372" i="4"/>
  <c r="F372" i="4"/>
  <c r="E372" i="4"/>
  <c r="K371" i="4"/>
  <c r="J371" i="4"/>
  <c r="F371" i="4"/>
  <c r="E371" i="4"/>
  <c r="K370" i="4"/>
  <c r="J370" i="4"/>
  <c r="F370" i="4"/>
  <c r="E370" i="4"/>
  <c r="K369" i="4"/>
  <c r="J369" i="4"/>
  <c r="F369" i="4"/>
  <c r="E369" i="4"/>
  <c r="K368" i="4"/>
  <c r="J368" i="4"/>
  <c r="F368" i="4"/>
  <c r="E368" i="4"/>
  <c r="K367" i="4"/>
  <c r="J367" i="4"/>
  <c r="F367" i="4"/>
  <c r="E367" i="4"/>
  <c r="K366" i="4"/>
  <c r="J366" i="4"/>
  <c r="F366" i="4"/>
  <c r="E366" i="4"/>
  <c r="K365" i="4"/>
  <c r="J365" i="4"/>
  <c r="F365" i="4"/>
  <c r="E365" i="4"/>
  <c r="K364" i="4"/>
  <c r="J364" i="4"/>
  <c r="F364" i="4"/>
  <c r="E364" i="4"/>
  <c r="K363" i="4"/>
  <c r="J363" i="4"/>
  <c r="F363" i="4"/>
  <c r="E363" i="4"/>
  <c r="K362" i="4"/>
  <c r="J362" i="4"/>
  <c r="F362" i="4"/>
  <c r="E362" i="4"/>
  <c r="K361" i="4"/>
  <c r="J361" i="4"/>
  <c r="F361" i="4"/>
  <c r="E361" i="4"/>
  <c r="K360" i="4"/>
  <c r="J360" i="4"/>
  <c r="F360" i="4"/>
  <c r="E360" i="4"/>
  <c r="K359" i="4"/>
  <c r="J359" i="4"/>
  <c r="F359" i="4"/>
  <c r="E359" i="4"/>
  <c r="K358" i="4"/>
  <c r="J358" i="4"/>
  <c r="F358" i="4"/>
  <c r="E358" i="4"/>
  <c r="K357" i="4"/>
  <c r="J357" i="4"/>
  <c r="F357" i="4"/>
  <c r="E357" i="4"/>
  <c r="K356" i="4"/>
  <c r="J356" i="4"/>
  <c r="F356" i="4"/>
  <c r="E356" i="4"/>
  <c r="K355" i="4"/>
  <c r="J355" i="4"/>
  <c r="F355" i="4"/>
  <c r="E355" i="4"/>
  <c r="K354" i="4"/>
  <c r="J354" i="4"/>
  <c r="F354" i="4"/>
  <c r="E354" i="4"/>
  <c r="K353" i="4"/>
  <c r="J353" i="4"/>
  <c r="F353" i="4"/>
  <c r="E353" i="4"/>
  <c r="K352" i="4"/>
  <c r="J352" i="4"/>
  <c r="F352" i="4"/>
  <c r="E352" i="4"/>
  <c r="K351" i="4"/>
  <c r="J351" i="4"/>
  <c r="F351" i="4"/>
  <c r="E351" i="4"/>
  <c r="K350" i="4"/>
  <c r="J350" i="4"/>
  <c r="F350" i="4"/>
  <c r="E350" i="4"/>
  <c r="K349" i="4"/>
  <c r="J349" i="4"/>
  <c r="F349" i="4"/>
  <c r="E349" i="4"/>
  <c r="K348" i="4"/>
  <c r="J348" i="4"/>
  <c r="F348" i="4"/>
  <c r="E348" i="4"/>
  <c r="K347" i="4"/>
  <c r="J347" i="4"/>
  <c r="F347" i="4"/>
  <c r="E347" i="4"/>
  <c r="K346" i="4"/>
  <c r="J346" i="4"/>
  <c r="F346" i="4"/>
  <c r="E346" i="4"/>
  <c r="K345" i="4"/>
  <c r="J345" i="4"/>
  <c r="F345" i="4"/>
  <c r="E345" i="4"/>
  <c r="K344" i="4"/>
  <c r="J344" i="4"/>
  <c r="F344" i="4"/>
  <c r="E344" i="4"/>
  <c r="K343" i="4"/>
  <c r="J343" i="4"/>
  <c r="F343" i="4"/>
  <c r="E343" i="4"/>
  <c r="K342" i="4"/>
  <c r="J342" i="4"/>
  <c r="F342" i="4"/>
  <c r="E342" i="4"/>
  <c r="K341" i="4"/>
  <c r="J341" i="4"/>
  <c r="F341" i="4"/>
  <c r="E341" i="4"/>
  <c r="K340" i="4"/>
  <c r="J340" i="4"/>
  <c r="F340" i="4"/>
  <c r="E340" i="4"/>
  <c r="K339" i="4"/>
  <c r="J339" i="4"/>
  <c r="F339" i="4"/>
  <c r="E339" i="4"/>
  <c r="K338" i="4"/>
  <c r="J338" i="4"/>
  <c r="F338" i="4"/>
  <c r="E338" i="4"/>
  <c r="K337" i="4"/>
  <c r="J337" i="4"/>
  <c r="F337" i="4"/>
  <c r="E337" i="4"/>
  <c r="K336" i="4"/>
  <c r="J336" i="4"/>
  <c r="F336" i="4"/>
  <c r="E336" i="4"/>
  <c r="K335" i="4"/>
  <c r="J335" i="4"/>
  <c r="F335" i="4"/>
  <c r="E335" i="4"/>
  <c r="K334" i="4"/>
  <c r="J334" i="4"/>
  <c r="F334" i="4"/>
  <c r="E334" i="4"/>
  <c r="K333" i="4"/>
  <c r="J333" i="4"/>
  <c r="F333" i="4"/>
  <c r="E333" i="4"/>
  <c r="K332" i="4"/>
  <c r="J332" i="4"/>
  <c r="F332" i="4"/>
  <c r="E332" i="4"/>
  <c r="K331" i="4"/>
  <c r="J331" i="4"/>
  <c r="F331" i="4"/>
  <c r="E331" i="4"/>
  <c r="K330" i="4"/>
  <c r="J330" i="4"/>
  <c r="F330" i="4"/>
  <c r="E330" i="4"/>
  <c r="K329" i="4"/>
  <c r="J329" i="4"/>
  <c r="F329" i="4"/>
  <c r="E329" i="4"/>
  <c r="K328" i="4"/>
  <c r="J328" i="4"/>
  <c r="F328" i="4"/>
  <c r="E328" i="4"/>
  <c r="K327" i="4"/>
  <c r="J327" i="4"/>
  <c r="F327" i="4"/>
  <c r="E327" i="4"/>
  <c r="K326" i="4"/>
  <c r="J326" i="4"/>
  <c r="F326" i="4"/>
  <c r="E326" i="4"/>
  <c r="K325" i="4"/>
  <c r="J325" i="4"/>
  <c r="F325" i="4"/>
  <c r="E325" i="4"/>
  <c r="K324" i="4"/>
  <c r="J324" i="4"/>
  <c r="F324" i="4"/>
  <c r="E324" i="4"/>
  <c r="K323" i="4"/>
  <c r="J323" i="4"/>
  <c r="F323" i="4"/>
  <c r="E323" i="4"/>
  <c r="K322" i="4"/>
  <c r="J322" i="4"/>
  <c r="F322" i="4"/>
  <c r="E322" i="4"/>
  <c r="K321" i="4"/>
  <c r="J321" i="4"/>
  <c r="F321" i="4"/>
  <c r="E321" i="4"/>
  <c r="K320" i="4"/>
  <c r="J320" i="4"/>
  <c r="F320" i="4"/>
  <c r="E320" i="4"/>
  <c r="K319" i="4"/>
  <c r="J319" i="4"/>
  <c r="F319" i="4"/>
  <c r="E319" i="4"/>
  <c r="K318" i="4"/>
  <c r="J318" i="4"/>
  <c r="F318" i="4"/>
  <c r="E318" i="4"/>
  <c r="K317" i="4"/>
  <c r="J317" i="4"/>
  <c r="F317" i="4"/>
  <c r="E317" i="4"/>
  <c r="K316" i="4"/>
  <c r="J316" i="4"/>
  <c r="F316" i="4"/>
  <c r="E316" i="4"/>
  <c r="K315" i="4"/>
  <c r="J315" i="4"/>
  <c r="F315" i="4"/>
  <c r="E315" i="4"/>
  <c r="K314" i="4"/>
  <c r="J314" i="4"/>
  <c r="F314" i="4"/>
  <c r="E314" i="4"/>
  <c r="K313" i="4"/>
  <c r="J313" i="4"/>
  <c r="F313" i="4"/>
  <c r="E313" i="4"/>
  <c r="K312" i="4"/>
  <c r="J312" i="4"/>
  <c r="F312" i="4"/>
  <c r="E312" i="4"/>
  <c r="K311" i="4"/>
  <c r="J311" i="4"/>
  <c r="F311" i="4"/>
  <c r="E311" i="4"/>
  <c r="K310" i="4"/>
  <c r="J310" i="4"/>
  <c r="F310" i="4"/>
  <c r="E310" i="4"/>
  <c r="K309" i="4"/>
  <c r="J309" i="4"/>
  <c r="F309" i="4"/>
  <c r="E309" i="4"/>
  <c r="K308" i="4"/>
  <c r="J308" i="4"/>
  <c r="F308" i="4"/>
  <c r="E308" i="4"/>
  <c r="K307" i="4"/>
  <c r="J307" i="4"/>
  <c r="F307" i="4"/>
  <c r="E307" i="4"/>
  <c r="K306" i="4"/>
  <c r="J306" i="4"/>
  <c r="F306" i="4"/>
  <c r="E306" i="4"/>
  <c r="K305" i="4"/>
  <c r="J305" i="4"/>
  <c r="F305" i="4"/>
  <c r="E305" i="4"/>
  <c r="K304" i="4"/>
  <c r="J304" i="4"/>
  <c r="F304" i="4"/>
  <c r="E304" i="4"/>
  <c r="K303" i="4"/>
  <c r="J303" i="4"/>
  <c r="F303" i="4"/>
  <c r="E303" i="4"/>
  <c r="K302" i="4"/>
  <c r="J302" i="4"/>
  <c r="F302" i="4"/>
  <c r="E302" i="4"/>
  <c r="K301" i="4"/>
  <c r="J301" i="4"/>
  <c r="F301" i="4"/>
  <c r="E301" i="4"/>
  <c r="K300" i="4"/>
  <c r="J300" i="4"/>
  <c r="F300" i="4"/>
  <c r="E300" i="4"/>
  <c r="K299" i="4"/>
  <c r="J299" i="4"/>
  <c r="F299" i="4"/>
  <c r="E299" i="4"/>
  <c r="K298" i="4"/>
  <c r="J298" i="4"/>
  <c r="F298" i="4"/>
  <c r="E298" i="4"/>
  <c r="K297" i="4"/>
  <c r="J297" i="4"/>
  <c r="F297" i="4"/>
  <c r="E297" i="4"/>
  <c r="K296" i="4"/>
  <c r="J296" i="4"/>
  <c r="F296" i="4"/>
  <c r="E296" i="4"/>
  <c r="K295" i="4"/>
  <c r="J295" i="4"/>
  <c r="F295" i="4"/>
  <c r="E295" i="4"/>
  <c r="K294" i="4"/>
  <c r="J294" i="4"/>
  <c r="F294" i="4"/>
  <c r="E294" i="4"/>
  <c r="K293" i="4"/>
  <c r="J293" i="4"/>
  <c r="F293" i="4"/>
  <c r="E293" i="4"/>
  <c r="K292" i="4"/>
  <c r="J292" i="4"/>
  <c r="F292" i="4"/>
  <c r="E292" i="4"/>
  <c r="K291" i="4"/>
  <c r="J291" i="4"/>
  <c r="F291" i="4"/>
  <c r="E291" i="4"/>
  <c r="K290" i="4"/>
  <c r="J290" i="4"/>
  <c r="F290" i="4"/>
  <c r="E290" i="4"/>
  <c r="K289" i="4"/>
  <c r="J289" i="4"/>
  <c r="F289" i="4"/>
  <c r="E289" i="4"/>
  <c r="K288" i="4"/>
  <c r="J288" i="4"/>
  <c r="F288" i="4"/>
  <c r="E288" i="4"/>
  <c r="K287" i="4"/>
  <c r="J287" i="4"/>
  <c r="F287" i="4"/>
  <c r="E287" i="4"/>
  <c r="K286" i="4"/>
  <c r="J286" i="4"/>
  <c r="F286" i="4"/>
  <c r="E286" i="4"/>
  <c r="K285" i="4"/>
  <c r="J285" i="4"/>
  <c r="F285" i="4"/>
  <c r="E285" i="4"/>
  <c r="K284" i="4"/>
  <c r="J284" i="4"/>
  <c r="F284" i="4"/>
  <c r="E284" i="4"/>
  <c r="K283" i="4"/>
  <c r="J283" i="4"/>
  <c r="F283" i="4"/>
  <c r="E283" i="4"/>
  <c r="K282" i="4"/>
  <c r="J282" i="4"/>
  <c r="F282" i="4"/>
  <c r="E282" i="4"/>
  <c r="K281" i="4"/>
  <c r="J281" i="4"/>
  <c r="F281" i="4"/>
  <c r="E281" i="4"/>
  <c r="K280" i="4"/>
  <c r="J280" i="4"/>
  <c r="F280" i="4"/>
  <c r="E280" i="4"/>
  <c r="K279" i="4"/>
  <c r="J279" i="4"/>
  <c r="F279" i="4"/>
  <c r="E279" i="4"/>
  <c r="K278" i="4"/>
  <c r="J278" i="4"/>
  <c r="F278" i="4"/>
  <c r="E278" i="4"/>
  <c r="K277" i="4"/>
  <c r="J277" i="4"/>
  <c r="F277" i="4"/>
  <c r="E277" i="4"/>
  <c r="K276" i="4"/>
  <c r="J276" i="4"/>
  <c r="F276" i="4"/>
  <c r="E276" i="4"/>
  <c r="K275" i="4"/>
  <c r="J275" i="4"/>
  <c r="F275" i="4"/>
  <c r="E275" i="4"/>
  <c r="K274" i="4"/>
  <c r="J274" i="4"/>
  <c r="F274" i="4"/>
  <c r="E274" i="4"/>
  <c r="K273" i="4"/>
  <c r="J273" i="4"/>
  <c r="F273" i="4"/>
  <c r="E273" i="4"/>
  <c r="K272" i="4"/>
  <c r="J272" i="4"/>
  <c r="F272" i="4"/>
  <c r="E272" i="4"/>
  <c r="K271" i="4"/>
  <c r="J271" i="4"/>
  <c r="F271" i="4"/>
  <c r="E271" i="4"/>
  <c r="K270" i="4"/>
  <c r="J270" i="4"/>
  <c r="F270" i="4"/>
  <c r="E270" i="4"/>
  <c r="K269" i="4"/>
  <c r="J269" i="4"/>
  <c r="F269" i="4"/>
  <c r="E269" i="4"/>
  <c r="K268" i="4"/>
  <c r="J268" i="4"/>
  <c r="F268" i="4"/>
  <c r="E268" i="4"/>
  <c r="K267" i="4"/>
  <c r="J267" i="4"/>
  <c r="F267" i="4"/>
  <c r="E267" i="4"/>
  <c r="K266" i="4"/>
  <c r="J266" i="4"/>
  <c r="F266" i="4"/>
  <c r="E266" i="4"/>
  <c r="K265" i="4"/>
  <c r="J265" i="4"/>
  <c r="F265" i="4"/>
  <c r="E265" i="4"/>
  <c r="K264" i="4"/>
  <c r="J264" i="4"/>
  <c r="F264" i="4"/>
  <c r="E264" i="4"/>
  <c r="K263" i="4"/>
  <c r="J263" i="4"/>
  <c r="F263" i="4"/>
  <c r="E263" i="4"/>
  <c r="K262" i="4"/>
  <c r="J262" i="4"/>
  <c r="F262" i="4"/>
  <c r="E262" i="4"/>
  <c r="K261" i="4"/>
  <c r="J261" i="4"/>
  <c r="F261" i="4"/>
  <c r="E261" i="4"/>
  <c r="K260" i="4"/>
  <c r="J260" i="4"/>
  <c r="F260" i="4"/>
  <c r="E260" i="4"/>
  <c r="K259" i="4"/>
  <c r="J259" i="4"/>
  <c r="F259" i="4"/>
  <c r="E259" i="4"/>
  <c r="K258" i="4"/>
  <c r="J258" i="4"/>
  <c r="F258" i="4"/>
  <c r="E258" i="4"/>
  <c r="K257" i="4"/>
  <c r="J257" i="4"/>
  <c r="F257" i="4"/>
  <c r="E257" i="4"/>
  <c r="K256" i="4"/>
  <c r="J256" i="4"/>
  <c r="F256" i="4"/>
  <c r="E256" i="4"/>
  <c r="K255" i="4"/>
  <c r="J255" i="4"/>
  <c r="F255" i="4"/>
  <c r="E255" i="4"/>
  <c r="K254" i="4"/>
  <c r="J254" i="4"/>
  <c r="F254" i="4"/>
  <c r="E254" i="4"/>
  <c r="K253" i="4"/>
  <c r="J253" i="4"/>
  <c r="F253" i="4"/>
  <c r="E253" i="4"/>
  <c r="K252" i="4"/>
  <c r="J252" i="4"/>
  <c r="F252" i="4"/>
  <c r="E252" i="4"/>
  <c r="K251" i="4"/>
  <c r="J251" i="4"/>
  <c r="F251" i="4"/>
  <c r="E251" i="4"/>
  <c r="K250" i="4"/>
  <c r="J250" i="4"/>
  <c r="F250" i="4"/>
  <c r="E250" i="4"/>
  <c r="K249" i="4"/>
  <c r="J249" i="4"/>
  <c r="F249" i="4"/>
  <c r="E249" i="4"/>
  <c r="K248" i="4"/>
  <c r="J248" i="4"/>
  <c r="F248" i="4"/>
  <c r="E248" i="4"/>
  <c r="K247" i="4"/>
  <c r="J247" i="4"/>
  <c r="F247" i="4"/>
  <c r="E247" i="4"/>
  <c r="K246" i="4"/>
  <c r="J246" i="4"/>
  <c r="F246" i="4"/>
  <c r="E246" i="4"/>
  <c r="K245" i="4"/>
  <c r="J245" i="4"/>
  <c r="F245" i="4"/>
  <c r="E245" i="4"/>
  <c r="K244" i="4"/>
  <c r="J244" i="4"/>
  <c r="F244" i="4"/>
  <c r="E244" i="4"/>
  <c r="K243" i="4"/>
  <c r="J243" i="4"/>
  <c r="F243" i="4"/>
  <c r="E243" i="4"/>
  <c r="K242" i="4"/>
  <c r="J242" i="4"/>
  <c r="F242" i="4"/>
  <c r="E242" i="4"/>
  <c r="K241" i="4"/>
  <c r="J241" i="4"/>
  <c r="F241" i="4"/>
  <c r="E241" i="4"/>
  <c r="K240" i="4"/>
  <c r="J240" i="4"/>
  <c r="F240" i="4"/>
  <c r="E240" i="4"/>
  <c r="K239" i="4"/>
  <c r="J239" i="4"/>
  <c r="F239" i="4"/>
  <c r="E239" i="4"/>
  <c r="K238" i="4"/>
  <c r="J238" i="4"/>
  <c r="F238" i="4"/>
  <c r="E238" i="4"/>
  <c r="K237" i="4"/>
  <c r="J237" i="4"/>
  <c r="F237" i="4"/>
  <c r="E237" i="4"/>
  <c r="K236" i="4"/>
  <c r="J236" i="4"/>
  <c r="F236" i="4"/>
  <c r="E236" i="4"/>
  <c r="K235" i="4"/>
  <c r="J235" i="4"/>
  <c r="F235" i="4"/>
  <c r="E235" i="4"/>
  <c r="K234" i="4"/>
  <c r="J234" i="4"/>
  <c r="F234" i="4"/>
  <c r="E234" i="4"/>
  <c r="K233" i="4"/>
  <c r="J233" i="4"/>
  <c r="F233" i="4"/>
  <c r="E233" i="4"/>
  <c r="K232" i="4"/>
  <c r="J232" i="4"/>
  <c r="F232" i="4"/>
  <c r="E232" i="4"/>
  <c r="K231" i="4"/>
  <c r="J231" i="4"/>
  <c r="F231" i="4"/>
  <c r="E231" i="4"/>
  <c r="K230" i="4"/>
  <c r="J230" i="4"/>
  <c r="F230" i="4"/>
  <c r="E230" i="4"/>
  <c r="K229" i="4"/>
  <c r="J229" i="4"/>
  <c r="F229" i="4"/>
  <c r="E229" i="4"/>
  <c r="K228" i="4"/>
  <c r="J228" i="4"/>
  <c r="F228" i="4"/>
  <c r="E228" i="4"/>
  <c r="K227" i="4"/>
  <c r="J227" i="4"/>
  <c r="F227" i="4"/>
  <c r="E227" i="4"/>
  <c r="K226" i="4"/>
  <c r="J226" i="4"/>
  <c r="F226" i="4"/>
  <c r="E226" i="4"/>
  <c r="K225" i="4"/>
  <c r="J225" i="4"/>
  <c r="F225" i="4"/>
  <c r="E225" i="4"/>
  <c r="K224" i="4"/>
  <c r="J224" i="4"/>
  <c r="F224" i="4"/>
  <c r="E224" i="4"/>
  <c r="K223" i="4"/>
  <c r="J223" i="4"/>
  <c r="F223" i="4"/>
  <c r="E223" i="4"/>
  <c r="K222" i="4"/>
  <c r="J222" i="4"/>
  <c r="H222" i="4"/>
  <c r="G222" i="4"/>
  <c r="F222" i="4"/>
  <c r="E222" i="4"/>
  <c r="C222" i="4"/>
  <c r="B222" i="4"/>
  <c r="K221" i="4"/>
  <c r="J221" i="4"/>
  <c r="H221" i="4"/>
  <c r="G221" i="4"/>
  <c r="F221" i="4"/>
  <c r="E221" i="4"/>
  <c r="C221" i="4"/>
  <c r="B221" i="4"/>
  <c r="K220" i="4"/>
  <c r="J220" i="4"/>
  <c r="H220" i="4"/>
  <c r="G220" i="4"/>
  <c r="F220" i="4"/>
  <c r="E220" i="4"/>
  <c r="C220" i="4"/>
  <c r="B220" i="4"/>
  <c r="K219" i="4"/>
  <c r="J219" i="4"/>
  <c r="H219" i="4"/>
  <c r="G219" i="4"/>
  <c r="F219" i="4"/>
  <c r="E219" i="4"/>
  <c r="C219" i="4"/>
  <c r="B219" i="4"/>
  <c r="K218" i="4"/>
  <c r="J218" i="4"/>
  <c r="H218" i="4"/>
  <c r="G218" i="4"/>
  <c r="F218" i="4"/>
  <c r="E218" i="4"/>
  <c r="C218" i="4"/>
  <c r="B218" i="4"/>
  <c r="K217" i="4"/>
  <c r="J217" i="4"/>
  <c r="H217" i="4"/>
  <c r="G217" i="4"/>
  <c r="F217" i="4"/>
  <c r="E217" i="4"/>
  <c r="C217" i="4"/>
  <c r="B217" i="4"/>
  <c r="K216" i="4"/>
  <c r="J216" i="4"/>
  <c r="H216" i="4"/>
  <c r="G216" i="4"/>
  <c r="F216" i="4"/>
  <c r="E216" i="4"/>
  <c r="C216" i="4"/>
  <c r="B216" i="4"/>
  <c r="K215" i="4"/>
  <c r="J215" i="4"/>
  <c r="H215" i="4"/>
  <c r="G215" i="4"/>
  <c r="F215" i="4"/>
  <c r="E215" i="4"/>
  <c r="C215" i="4"/>
  <c r="B215" i="4"/>
  <c r="K214" i="4"/>
  <c r="J214" i="4"/>
  <c r="H214" i="4"/>
  <c r="G214" i="4"/>
  <c r="F214" i="4"/>
  <c r="E214" i="4"/>
  <c r="C214" i="4"/>
  <c r="B214" i="4"/>
  <c r="K213" i="4"/>
  <c r="J213" i="4"/>
  <c r="H213" i="4"/>
  <c r="G213" i="4"/>
  <c r="F213" i="4"/>
  <c r="E213" i="4"/>
  <c r="C213" i="4"/>
  <c r="B213" i="4"/>
  <c r="K212" i="4"/>
  <c r="J212" i="4"/>
  <c r="H212" i="4"/>
  <c r="G212" i="4"/>
  <c r="F212" i="4"/>
  <c r="E212" i="4"/>
  <c r="C212" i="4"/>
  <c r="B212" i="4"/>
  <c r="K211" i="4"/>
  <c r="J211" i="4"/>
  <c r="H211" i="4"/>
  <c r="G211" i="4"/>
  <c r="F211" i="4"/>
  <c r="E211" i="4"/>
  <c r="C211" i="4"/>
  <c r="B211" i="4"/>
  <c r="K210" i="4"/>
  <c r="J210" i="4"/>
  <c r="H210" i="4"/>
  <c r="G210" i="4"/>
  <c r="F210" i="4"/>
  <c r="E210" i="4"/>
  <c r="C210" i="4"/>
  <c r="B210" i="4"/>
  <c r="K209" i="4"/>
  <c r="J209" i="4"/>
  <c r="H209" i="4"/>
  <c r="G209" i="4"/>
  <c r="F209" i="4"/>
  <c r="E209" i="4"/>
  <c r="C209" i="4"/>
  <c r="B209" i="4"/>
  <c r="K208" i="4"/>
  <c r="J208" i="4"/>
  <c r="H208" i="4"/>
  <c r="G208" i="4"/>
  <c r="F208" i="4"/>
  <c r="E208" i="4"/>
  <c r="C208" i="4"/>
  <c r="B208" i="4"/>
  <c r="K207" i="4"/>
  <c r="J207" i="4"/>
  <c r="H207" i="4"/>
  <c r="G207" i="4"/>
  <c r="F207" i="4"/>
  <c r="E207" i="4"/>
  <c r="C207" i="4"/>
  <c r="B207" i="4"/>
  <c r="K206" i="4"/>
  <c r="J206" i="4"/>
  <c r="H206" i="4"/>
  <c r="G206" i="4"/>
  <c r="F206" i="4"/>
  <c r="E206" i="4"/>
  <c r="C206" i="4"/>
  <c r="B206" i="4"/>
  <c r="K205" i="4"/>
  <c r="J205" i="4"/>
  <c r="H205" i="4"/>
  <c r="G205" i="4"/>
  <c r="F205" i="4"/>
  <c r="E205" i="4"/>
  <c r="C205" i="4"/>
  <c r="B205" i="4"/>
  <c r="K204" i="4"/>
  <c r="J204" i="4"/>
  <c r="H204" i="4"/>
  <c r="G204" i="4"/>
  <c r="F204" i="4"/>
  <c r="E204" i="4"/>
  <c r="C204" i="4"/>
  <c r="B204" i="4"/>
  <c r="K203" i="4"/>
  <c r="J203" i="4"/>
  <c r="H203" i="4"/>
  <c r="G203" i="4"/>
  <c r="F203" i="4"/>
  <c r="E203" i="4"/>
  <c r="C203" i="4"/>
  <c r="B203" i="4"/>
  <c r="K202" i="4"/>
  <c r="J202" i="4"/>
  <c r="H202" i="4"/>
  <c r="G202" i="4"/>
  <c r="F202" i="4"/>
  <c r="E202" i="4"/>
  <c r="C202" i="4"/>
  <c r="B202" i="4"/>
  <c r="K201" i="4"/>
  <c r="J201" i="4"/>
  <c r="H201" i="4"/>
  <c r="G201" i="4"/>
  <c r="F201" i="4"/>
  <c r="E201" i="4"/>
  <c r="C201" i="4"/>
  <c r="B201" i="4"/>
  <c r="K200" i="4"/>
  <c r="J200" i="4"/>
  <c r="H200" i="4"/>
  <c r="G200" i="4"/>
  <c r="F200" i="4"/>
  <c r="E200" i="4"/>
  <c r="C200" i="4"/>
  <c r="B200" i="4"/>
  <c r="K199" i="4"/>
  <c r="J199" i="4"/>
  <c r="H199" i="4"/>
  <c r="G199" i="4"/>
  <c r="F199" i="4"/>
  <c r="E199" i="4"/>
  <c r="C199" i="4"/>
  <c r="B199" i="4"/>
  <c r="K198" i="4"/>
  <c r="J198" i="4"/>
  <c r="H198" i="4"/>
  <c r="G198" i="4"/>
  <c r="F198" i="4"/>
  <c r="E198" i="4"/>
  <c r="C198" i="4"/>
  <c r="B198" i="4"/>
  <c r="K197" i="4"/>
  <c r="J197" i="4"/>
  <c r="H197" i="4"/>
  <c r="G197" i="4"/>
  <c r="F197" i="4"/>
  <c r="E197" i="4"/>
  <c r="C197" i="4"/>
  <c r="B197" i="4"/>
  <c r="K196" i="4"/>
  <c r="J196" i="4"/>
  <c r="H196" i="4"/>
  <c r="G196" i="4"/>
  <c r="F196" i="4"/>
  <c r="E196" i="4"/>
  <c r="C196" i="4"/>
  <c r="B196" i="4"/>
  <c r="K195" i="4"/>
  <c r="J195" i="4"/>
  <c r="H195" i="4"/>
  <c r="G195" i="4"/>
  <c r="F195" i="4"/>
  <c r="E195" i="4"/>
  <c r="C195" i="4"/>
  <c r="B195" i="4"/>
  <c r="K194" i="4"/>
  <c r="J194" i="4"/>
  <c r="H194" i="4"/>
  <c r="G194" i="4"/>
  <c r="F194" i="4"/>
  <c r="E194" i="4"/>
  <c r="C194" i="4"/>
  <c r="B194" i="4"/>
  <c r="K193" i="4"/>
  <c r="J193" i="4"/>
  <c r="H193" i="4"/>
  <c r="G193" i="4"/>
  <c r="F193" i="4"/>
  <c r="E193" i="4"/>
  <c r="C193" i="4"/>
  <c r="B193" i="4"/>
  <c r="K192" i="4"/>
  <c r="J192" i="4"/>
  <c r="H192" i="4"/>
  <c r="G192" i="4"/>
  <c r="F192" i="4"/>
  <c r="E192" i="4"/>
  <c r="C192" i="4"/>
  <c r="B192" i="4"/>
  <c r="K191" i="4"/>
  <c r="J191" i="4"/>
  <c r="H191" i="4"/>
  <c r="G191" i="4"/>
  <c r="F191" i="4"/>
  <c r="E191" i="4"/>
  <c r="C191" i="4"/>
  <c r="B191" i="4"/>
  <c r="K190" i="4"/>
  <c r="J190" i="4"/>
  <c r="H190" i="4"/>
  <c r="G190" i="4"/>
  <c r="F190" i="4"/>
  <c r="E190" i="4"/>
  <c r="C190" i="4"/>
  <c r="B190" i="4"/>
  <c r="K189" i="4"/>
  <c r="J189" i="4"/>
  <c r="H189" i="4"/>
  <c r="G189" i="4"/>
  <c r="F189" i="4"/>
  <c r="E189" i="4"/>
  <c r="C189" i="4"/>
  <c r="B189" i="4"/>
  <c r="K188" i="4"/>
  <c r="J188" i="4"/>
  <c r="H188" i="4"/>
  <c r="G188" i="4"/>
  <c r="F188" i="4"/>
  <c r="E188" i="4"/>
  <c r="C188" i="4"/>
  <c r="B188" i="4"/>
  <c r="K187" i="4"/>
  <c r="J187" i="4"/>
  <c r="H187" i="4"/>
  <c r="G187" i="4"/>
  <c r="F187" i="4"/>
  <c r="E187" i="4"/>
  <c r="C187" i="4"/>
  <c r="B187" i="4"/>
  <c r="K186" i="4"/>
  <c r="J186" i="4"/>
  <c r="H186" i="4"/>
  <c r="G186" i="4"/>
  <c r="F186" i="4"/>
  <c r="E186" i="4"/>
  <c r="C186" i="4"/>
  <c r="B186" i="4"/>
  <c r="K185" i="4"/>
  <c r="J185" i="4"/>
  <c r="H185" i="4"/>
  <c r="G185" i="4"/>
  <c r="F185" i="4"/>
  <c r="E185" i="4"/>
  <c r="C185" i="4"/>
  <c r="B185" i="4"/>
  <c r="K184" i="4"/>
  <c r="J184" i="4"/>
  <c r="H184" i="4"/>
  <c r="G184" i="4"/>
  <c r="F184" i="4"/>
  <c r="E184" i="4"/>
  <c r="C184" i="4"/>
  <c r="B184" i="4"/>
  <c r="K183" i="4"/>
  <c r="J183" i="4"/>
  <c r="H183" i="4"/>
  <c r="G183" i="4"/>
  <c r="F183" i="4"/>
  <c r="E183" i="4"/>
  <c r="C183" i="4"/>
  <c r="B183" i="4"/>
  <c r="K182" i="4"/>
  <c r="J182" i="4"/>
  <c r="H182" i="4"/>
  <c r="G182" i="4"/>
  <c r="F182" i="4"/>
  <c r="E182" i="4"/>
  <c r="C182" i="4"/>
  <c r="B182" i="4"/>
  <c r="K181" i="4"/>
  <c r="J181" i="4"/>
  <c r="H181" i="4"/>
  <c r="G181" i="4"/>
  <c r="F181" i="4"/>
  <c r="E181" i="4"/>
  <c r="C181" i="4"/>
  <c r="B181" i="4"/>
  <c r="K180" i="4"/>
  <c r="J180" i="4"/>
  <c r="H180" i="4"/>
  <c r="G180" i="4"/>
  <c r="F180" i="4"/>
  <c r="E180" i="4"/>
  <c r="C180" i="4"/>
  <c r="B180" i="4"/>
  <c r="K179" i="4"/>
  <c r="J179" i="4"/>
  <c r="H179" i="4"/>
  <c r="G179" i="4"/>
  <c r="F179" i="4"/>
  <c r="E179" i="4"/>
  <c r="C179" i="4"/>
  <c r="B179" i="4"/>
  <c r="K178" i="4"/>
  <c r="J178" i="4"/>
  <c r="H178" i="4"/>
  <c r="G178" i="4"/>
  <c r="F178" i="4"/>
  <c r="E178" i="4"/>
  <c r="C178" i="4"/>
  <c r="B178" i="4"/>
  <c r="K177" i="4"/>
  <c r="J177" i="4"/>
  <c r="H177" i="4"/>
  <c r="G177" i="4"/>
  <c r="F177" i="4"/>
  <c r="E177" i="4"/>
  <c r="C177" i="4"/>
  <c r="B177" i="4"/>
  <c r="K176" i="4"/>
  <c r="J176" i="4"/>
  <c r="H176" i="4"/>
  <c r="G176" i="4"/>
  <c r="F176" i="4"/>
  <c r="E176" i="4"/>
  <c r="C176" i="4"/>
  <c r="B176" i="4"/>
  <c r="K175" i="4"/>
  <c r="J175" i="4"/>
  <c r="H175" i="4"/>
  <c r="G175" i="4"/>
  <c r="F175" i="4"/>
  <c r="E175" i="4"/>
  <c r="C175" i="4"/>
  <c r="B175" i="4"/>
  <c r="K174" i="4"/>
  <c r="J174" i="4"/>
  <c r="H174" i="4"/>
  <c r="G174" i="4"/>
  <c r="F174" i="4"/>
  <c r="E174" i="4"/>
  <c r="C174" i="4"/>
  <c r="B174" i="4"/>
  <c r="K173" i="4"/>
  <c r="J173" i="4"/>
  <c r="H173" i="4"/>
  <c r="G173" i="4"/>
  <c r="F173" i="4"/>
  <c r="E173" i="4"/>
  <c r="C173" i="4"/>
  <c r="B173" i="4"/>
  <c r="K172" i="4"/>
  <c r="J172" i="4"/>
  <c r="H172" i="4"/>
  <c r="G172" i="4"/>
  <c r="F172" i="4"/>
  <c r="E172" i="4"/>
  <c r="C172" i="4"/>
  <c r="B172" i="4"/>
  <c r="K171" i="4"/>
  <c r="J171" i="4"/>
  <c r="H171" i="4"/>
  <c r="G171" i="4"/>
  <c r="F171" i="4"/>
  <c r="E171" i="4"/>
  <c r="C171" i="4"/>
  <c r="B171" i="4"/>
  <c r="K170" i="4"/>
  <c r="J170" i="4"/>
  <c r="H170" i="4"/>
  <c r="G170" i="4"/>
  <c r="F170" i="4"/>
  <c r="E170" i="4"/>
  <c r="C170" i="4"/>
  <c r="B170" i="4"/>
  <c r="K169" i="4"/>
  <c r="J169" i="4"/>
  <c r="H169" i="4"/>
  <c r="G169" i="4"/>
  <c r="F169" i="4"/>
  <c r="E169" i="4"/>
  <c r="C169" i="4"/>
  <c r="B169" i="4"/>
  <c r="K168" i="4"/>
  <c r="J168" i="4"/>
  <c r="H168" i="4"/>
  <c r="G168" i="4"/>
  <c r="F168" i="4"/>
  <c r="E168" i="4"/>
  <c r="C168" i="4"/>
  <c r="B168" i="4"/>
  <c r="K167" i="4"/>
  <c r="J167" i="4"/>
  <c r="H167" i="4"/>
  <c r="G167" i="4"/>
  <c r="F167" i="4"/>
  <c r="E167" i="4"/>
  <c r="C167" i="4"/>
  <c r="B167" i="4"/>
  <c r="K166" i="4"/>
  <c r="J166" i="4"/>
  <c r="H166" i="4"/>
  <c r="G166" i="4"/>
  <c r="F166" i="4"/>
  <c r="E166" i="4"/>
  <c r="C166" i="4"/>
  <c r="B166" i="4"/>
  <c r="K165" i="4"/>
  <c r="J165" i="4"/>
  <c r="H165" i="4"/>
  <c r="G165" i="4"/>
  <c r="F165" i="4"/>
  <c r="E165" i="4"/>
  <c r="C165" i="4"/>
  <c r="B165" i="4"/>
  <c r="K164" i="4"/>
  <c r="J164" i="4"/>
  <c r="H164" i="4"/>
  <c r="G164" i="4"/>
  <c r="F164" i="4"/>
  <c r="E164" i="4"/>
  <c r="C164" i="4"/>
  <c r="B164" i="4"/>
  <c r="K163" i="4"/>
  <c r="J163" i="4"/>
  <c r="H163" i="4"/>
  <c r="G163" i="4"/>
  <c r="F163" i="4"/>
  <c r="E163" i="4"/>
  <c r="C163" i="4"/>
  <c r="B163" i="4"/>
  <c r="K162" i="4"/>
  <c r="J162" i="4"/>
  <c r="H162" i="4"/>
  <c r="G162" i="4"/>
  <c r="F162" i="4"/>
  <c r="E162" i="4"/>
  <c r="C162" i="4"/>
  <c r="B162" i="4"/>
  <c r="K161" i="4"/>
  <c r="J161" i="4"/>
  <c r="H161" i="4"/>
  <c r="G161" i="4"/>
  <c r="F161" i="4"/>
  <c r="E161" i="4"/>
  <c r="C161" i="4"/>
  <c r="B161" i="4"/>
  <c r="K160" i="4"/>
  <c r="J160" i="4"/>
  <c r="H160" i="4"/>
  <c r="G160" i="4"/>
  <c r="F160" i="4"/>
  <c r="E160" i="4"/>
  <c r="C160" i="4"/>
  <c r="B160" i="4"/>
  <c r="K159" i="4"/>
  <c r="J159" i="4"/>
  <c r="H159" i="4"/>
  <c r="G159" i="4"/>
  <c r="F159" i="4"/>
  <c r="E159" i="4"/>
  <c r="C159" i="4"/>
  <c r="B159" i="4"/>
  <c r="K158" i="4"/>
  <c r="J158" i="4"/>
  <c r="H158" i="4"/>
  <c r="G158" i="4"/>
  <c r="F158" i="4"/>
  <c r="E158" i="4"/>
  <c r="C158" i="4"/>
  <c r="B158" i="4"/>
  <c r="K157" i="4"/>
  <c r="J157" i="4"/>
  <c r="H157" i="4"/>
  <c r="G157" i="4"/>
  <c r="F157" i="4"/>
  <c r="E157" i="4"/>
  <c r="C157" i="4"/>
  <c r="B157" i="4"/>
  <c r="K156" i="4"/>
  <c r="J156" i="4"/>
  <c r="H156" i="4"/>
  <c r="G156" i="4"/>
  <c r="F156" i="4"/>
  <c r="E156" i="4"/>
  <c r="C156" i="4"/>
  <c r="B156" i="4"/>
  <c r="K155" i="4"/>
  <c r="J155" i="4"/>
  <c r="H155" i="4"/>
  <c r="G155" i="4"/>
  <c r="F155" i="4"/>
  <c r="E155" i="4"/>
  <c r="C155" i="4"/>
  <c r="B155" i="4"/>
  <c r="K154" i="4"/>
  <c r="J154" i="4"/>
  <c r="H154" i="4"/>
  <c r="G154" i="4"/>
  <c r="F154" i="4"/>
  <c r="E154" i="4"/>
  <c r="C154" i="4"/>
  <c r="B154" i="4"/>
  <c r="K153" i="4"/>
  <c r="J153" i="4"/>
  <c r="H153" i="4"/>
  <c r="G153" i="4"/>
  <c r="F153" i="4"/>
  <c r="E153" i="4"/>
  <c r="C153" i="4"/>
  <c r="B153" i="4"/>
  <c r="K152" i="4"/>
  <c r="J152" i="4"/>
  <c r="H152" i="4"/>
  <c r="G152" i="4"/>
  <c r="F152" i="4"/>
  <c r="E152" i="4"/>
  <c r="C152" i="4"/>
  <c r="B152" i="4"/>
  <c r="K151" i="4"/>
  <c r="J151" i="4"/>
  <c r="H151" i="4"/>
  <c r="G151" i="4"/>
  <c r="F151" i="4"/>
  <c r="E151" i="4"/>
  <c r="C151" i="4"/>
  <c r="B151" i="4"/>
  <c r="K150" i="4"/>
  <c r="J150" i="4"/>
  <c r="H150" i="4"/>
  <c r="G150" i="4"/>
  <c r="F150" i="4"/>
  <c r="E150" i="4"/>
  <c r="C150" i="4"/>
  <c r="B150" i="4"/>
  <c r="K149" i="4"/>
  <c r="J149" i="4"/>
  <c r="H149" i="4"/>
  <c r="G149" i="4"/>
  <c r="F149" i="4"/>
  <c r="E149" i="4"/>
  <c r="C149" i="4"/>
  <c r="B149" i="4"/>
  <c r="K148" i="4"/>
  <c r="J148" i="4"/>
  <c r="H148" i="4"/>
  <c r="G148" i="4"/>
  <c r="F148" i="4"/>
  <c r="E148" i="4"/>
  <c r="C148" i="4"/>
  <c r="B148" i="4"/>
  <c r="K147" i="4"/>
  <c r="J147" i="4"/>
  <c r="H147" i="4"/>
  <c r="G147" i="4"/>
  <c r="F147" i="4"/>
  <c r="E147" i="4"/>
  <c r="C147" i="4"/>
  <c r="B147" i="4"/>
  <c r="K146" i="4"/>
  <c r="J146" i="4"/>
  <c r="H146" i="4"/>
  <c r="G146" i="4"/>
  <c r="F146" i="4"/>
  <c r="E146" i="4"/>
  <c r="C146" i="4"/>
  <c r="B146" i="4"/>
  <c r="K145" i="4"/>
  <c r="J145" i="4"/>
  <c r="H145" i="4"/>
  <c r="G145" i="4"/>
  <c r="F145" i="4"/>
  <c r="E145" i="4"/>
  <c r="C145" i="4"/>
  <c r="B145" i="4"/>
  <c r="K144" i="4"/>
  <c r="J144" i="4"/>
  <c r="H144" i="4"/>
  <c r="G144" i="4"/>
  <c r="F144" i="4"/>
  <c r="E144" i="4"/>
  <c r="C144" i="4"/>
  <c r="B144" i="4"/>
  <c r="K143" i="4"/>
  <c r="J143" i="4"/>
  <c r="H143" i="4"/>
  <c r="G143" i="4"/>
  <c r="F143" i="4"/>
  <c r="E143" i="4"/>
  <c r="C143" i="4"/>
  <c r="B143" i="4"/>
  <c r="K142" i="4"/>
  <c r="J142" i="4"/>
  <c r="H142" i="4"/>
  <c r="G142" i="4"/>
  <c r="F142" i="4"/>
  <c r="E142" i="4"/>
  <c r="C142" i="4"/>
  <c r="B142" i="4"/>
  <c r="K141" i="4"/>
  <c r="J141" i="4"/>
  <c r="H141" i="4"/>
  <c r="G141" i="4"/>
  <c r="F141" i="4"/>
  <c r="E141" i="4"/>
  <c r="C141" i="4"/>
  <c r="B141" i="4"/>
  <c r="K140" i="4"/>
  <c r="J140" i="4"/>
  <c r="H140" i="4"/>
  <c r="G140" i="4"/>
  <c r="F140" i="4"/>
  <c r="E140" i="4"/>
  <c r="C140" i="4"/>
  <c r="B140" i="4"/>
  <c r="K139" i="4"/>
  <c r="J139" i="4"/>
  <c r="H139" i="4"/>
  <c r="G139" i="4"/>
  <c r="F139" i="4"/>
  <c r="E139" i="4"/>
  <c r="C139" i="4"/>
  <c r="B139" i="4"/>
  <c r="K138" i="4"/>
  <c r="J138" i="4"/>
  <c r="H138" i="4"/>
  <c r="G138" i="4"/>
  <c r="F138" i="4"/>
  <c r="E138" i="4"/>
  <c r="C138" i="4"/>
  <c r="B138" i="4"/>
  <c r="K137" i="4"/>
  <c r="J137" i="4"/>
  <c r="H137" i="4"/>
  <c r="G137" i="4"/>
  <c r="F137" i="4"/>
  <c r="E137" i="4"/>
  <c r="C137" i="4"/>
  <c r="B137" i="4"/>
  <c r="K136" i="4"/>
  <c r="J136" i="4"/>
  <c r="H136" i="4"/>
  <c r="G136" i="4"/>
  <c r="F136" i="4"/>
  <c r="E136" i="4"/>
  <c r="C136" i="4"/>
  <c r="B136" i="4"/>
  <c r="K135" i="4"/>
  <c r="J135" i="4"/>
  <c r="H135" i="4"/>
  <c r="G135" i="4"/>
  <c r="F135" i="4"/>
  <c r="E135" i="4"/>
  <c r="C135" i="4"/>
  <c r="B135" i="4"/>
  <c r="K134" i="4"/>
  <c r="J134" i="4"/>
  <c r="H134" i="4"/>
  <c r="G134" i="4"/>
  <c r="F134" i="4"/>
  <c r="E134" i="4"/>
  <c r="C134" i="4"/>
  <c r="B134" i="4"/>
  <c r="K133" i="4"/>
  <c r="J133" i="4"/>
  <c r="H133" i="4"/>
  <c r="G133" i="4"/>
  <c r="F133" i="4"/>
  <c r="E133" i="4"/>
  <c r="C133" i="4"/>
  <c r="B133" i="4"/>
  <c r="K132" i="4"/>
  <c r="J132" i="4"/>
  <c r="H132" i="4"/>
  <c r="G132" i="4"/>
  <c r="F132" i="4"/>
  <c r="E132" i="4"/>
  <c r="C132" i="4"/>
  <c r="B132" i="4"/>
  <c r="K131" i="4"/>
  <c r="J131" i="4"/>
  <c r="H131" i="4"/>
  <c r="G131" i="4"/>
  <c r="F131" i="4"/>
  <c r="E131" i="4"/>
  <c r="C131" i="4"/>
  <c r="B131" i="4"/>
  <c r="K130" i="4"/>
  <c r="J130" i="4"/>
  <c r="H130" i="4"/>
  <c r="G130" i="4"/>
  <c r="F130" i="4"/>
  <c r="E130" i="4"/>
  <c r="C130" i="4"/>
  <c r="B130" i="4"/>
  <c r="K129" i="4"/>
  <c r="J129" i="4"/>
  <c r="H129" i="4"/>
  <c r="G129" i="4"/>
  <c r="F129" i="4"/>
  <c r="E129" i="4"/>
  <c r="C129" i="4"/>
  <c r="B129" i="4"/>
  <c r="K128" i="4"/>
  <c r="J128" i="4"/>
  <c r="H128" i="4"/>
  <c r="G128" i="4"/>
  <c r="F128" i="4"/>
  <c r="E128" i="4"/>
  <c r="C128" i="4"/>
  <c r="B128" i="4"/>
  <c r="K127" i="4"/>
  <c r="J127" i="4"/>
  <c r="H127" i="4"/>
  <c r="G127" i="4"/>
  <c r="F127" i="4"/>
  <c r="E127" i="4"/>
  <c r="C127" i="4"/>
  <c r="B127" i="4"/>
  <c r="K126" i="4"/>
  <c r="J126" i="4"/>
  <c r="H126" i="4"/>
  <c r="G126" i="4"/>
  <c r="F126" i="4"/>
  <c r="E126" i="4"/>
  <c r="C126" i="4"/>
  <c r="B126" i="4"/>
  <c r="K125" i="4"/>
  <c r="J125" i="4"/>
  <c r="H125" i="4"/>
  <c r="G125" i="4"/>
  <c r="F125" i="4"/>
  <c r="E125" i="4"/>
  <c r="C125" i="4"/>
  <c r="B125" i="4"/>
  <c r="K124" i="4"/>
  <c r="J124" i="4"/>
  <c r="H124" i="4"/>
  <c r="G124" i="4"/>
  <c r="F124" i="4"/>
  <c r="E124" i="4"/>
  <c r="C124" i="4"/>
  <c r="B124" i="4"/>
  <c r="K123" i="4"/>
  <c r="J123" i="4"/>
  <c r="H123" i="4"/>
  <c r="G123" i="4"/>
  <c r="F123" i="4"/>
  <c r="E123" i="4"/>
  <c r="C123" i="4"/>
  <c r="B123" i="4"/>
  <c r="K122" i="4"/>
  <c r="J122" i="4"/>
  <c r="H122" i="4"/>
  <c r="G122" i="4"/>
  <c r="F122" i="4"/>
  <c r="E122" i="4"/>
  <c r="C122" i="4"/>
  <c r="B122" i="4"/>
  <c r="K121" i="4"/>
  <c r="J121" i="4"/>
  <c r="H121" i="4"/>
  <c r="G121" i="4"/>
  <c r="F121" i="4"/>
  <c r="E121" i="4"/>
  <c r="C121" i="4"/>
  <c r="B121" i="4"/>
  <c r="K120" i="4"/>
  <c r="J120" i="4"/>
  <c r="H120" i="4"/>
  <c r="G120" i="4"/>
  <c r="F120" i="4"/>
  <c r="E120" i="4"/>
  <c r="C120" i="4"/>
  <c r="B120" i="4"/>
  <c r="K119" i="4"/>
  <c r="J119" i="4"/>
  <c r="H119" i="4"/>
  <c r="G119" i="4"/>
  <c r="F119" i="4"/>
  <c r="E119" i="4"/>
  <c r="C119" i="4"/>
  <c r="B119" i="4"/>
  <c r="K118" i="4"/>
  <c r="J118" i="4"/>
  <c r="H118" i="4"/>
  <c r="G118" i="4"/>
  <c r="F118" i="4"/>
  <c r="E118" i="4"/>
  <c r="C118" i="4"/>
  <c r="B118" i="4"/>
  <c r="K117" i="4"/>
  <c r="J117" i="4"/>
  <c r="H117" i="4"/>
  <c r="G117" i="4"/>
  <c r="F117" i="4"/>
  <c r="E117" i="4"/>
  <c r="C117" i="4"/>
  <c r="B117" i="4"/>
  <c r="K116" i="4"/>
  <c r="J116" i="4"/>
  <c r="H116" i="4"/>
  <c r="G116" i="4"/>
  <c r="F116" i="4"/>
  <c r="E116" i="4"/>
  <c r="C116" i="4"/>
  <c r="B116" i="4"/>
  <c r="K115" i="4"/>
  <c r="J115" i="4"/>
  <c r="H115" i="4"/>
  <c r="G115" i="4"/>
  <c r="F115" i="4"/>
  <c r="E115" i="4"/>
  <c r="C115" i="4"/>
  <c r="B115" i="4"/>
  <c r="K114" i="4"/>
  <c r="J114" i="4"/>
  <c r="H114" i="4"/>
  <c r="G114" i="4"/>
  <c r="F114" i="4"/>
  <c r="E114" i="4"/>
  <c r="C114" i="4"/>
  <c r="B114" i="4"/>
  <c r="K113" i="4"/>
  <c r="J113" i="4"/>
  <c r="H113" i="4"/>
  <c r="G113" i="4"/>
  <c r="F113" i="4"/>
  <c r="E113" i="4"/>
  <c r="C113" i="4"/>
  <c r="B113" i="4"/>
  <c r="K112" i="4"/>
  <c r="J112" i="4"/>
  <c r="H112" i="4"/>
  <c r="G112" i="4"/>
  <c r="F112" i="4"/>
  <c r="E112" i="4"/>
  <c r="C112" i="4"/>
  <c r="B112" i="4"/>
  <c r="K111" i="4"/>
  <c r="J111" i="4"/>
  <c r="H111" i="4"/>
  <c r="G111" i="4"/>
  <c r="F111" i="4"/>
  <c r="E111" i="4"/>
  <c r="C111" i="4"/>
  <c r="B111" i="4"/>
  <c r="K110" i="4"/>
  <c r="J110" i="4"/>
  <c r="H110" i="4"/>
  <c r="G110" i="4"/>
  <c r="F110" i="4"/>
  <c r="E110" i="4"/>
  <c r="C110" i="4"/>
  <c r="B110" i="4"/>
  <c r="K109" i="4"/>
  <c r="J109" i="4"/>
  <c r="H109" i="4"/>
  <c r="G109" i="4"/>
  <c r="F109" i="4"/>
  <c r="E109" i="4"/>
  <c r="C109" i="4"/>
  <c r="B109" i="4"/>
  <c r="K108" i="4"/>
  <c r="J108" i="4"/>
  <c r="H108" i="4"/>
  <c r="G108" i="4"/>
  <c r="F108" i="4"/>
  <c r="E108" i="4"/>
  <c r="C108" i="4"/>
  <c r="B108" i="4"/>
  <c r="K107" i="4"/>
  <c r="J107" i="4"/>
  <c r="H107" i="4"/>
  <c r="G107" i="4"/>
  <c r="F107" i="4"/>
  <c r="E107" i="4"/>
  <c r="C107" i="4"/>
  <c r="B107" i="4"/>
  <c r="K106" i="4"/>
  <c r="J106" i="4"/>
  <c r="H106" i="4"/>
  <c r="G106" i="4"/>
  <c r="F106" i="4"/>
  <c r="E106" i="4"/>
  <c r="C106" i="4"/>
  <c r="B106" i="4"/>
  <c r="K105" i="4"/>
  <c r="J105" i="4"/>
  <c r="H105" i="4"/>
  <c r="G105" i="4"/>
  <c r="F105" i="4"/>
  <c r="E105" i="4"/>
  <c r="C105" i="4"/>
  <c r="B105" i="4"/>
  <c r="K104" i="4"/>
  <c r="J104" i="4"/>
  <c r="H104" i="4"/>
  <c r="G104" i="4"/>
  <c r="F104" i="4"/>
  <c r="E104" i="4"/>
  <c r="C104" i="4"/>
  <c r="B104" i="4"/>
  <c r="K103" i="4"/>
  <c r="J103" i="4"/>
  <c r="H103" i="4"/>
  <c r="G103" i="4"/>
  <c r="F103" i="4"/>
  <c r="E103" i="4"/>
  <c r="C103" i="4"/>
  <c r="B103" i="4"/>
  <c r="K102" i="4"/>
  <c r="J102" i="4"/>
  <c r="H102" i="4"/>
  <c r="G102" i="4"/>
  <c r="F102" i="4"/>
  <c r="E102" i="4"/>
  <c r="C102" i="4"/>
  <c r="B102" i="4"/>
  <c r="K101" i="4"/>
  <c r="J101" i="4"/>
  <c r="H101" i="4"/>
  <c r="G101" i="4"/>
  <c r="F101" i="4"/>
  <c r="E101" i="4"/>
  <c r="C101" i="4"/>
  <c r="B101" i="4"/>
  <c r="K100" i="4"/>
  <c r="J100" i="4"/>
  <c r="H100" i="4"/>
  <c r="G100" i="4"/>
  <c r="F100" i="4"/>
  <c r="E100" i="4"/>
  <c r="C100" i="4"/>
  <c r="B100" i="4"/>
  <c r="K99" i="4"/>
  <c r="J99" i="4"/>
  <c r="H99" i="4"/>
  <c r="G99" i="4"/>
  <c r="F99" i="4"/>
  <c r="E99" i="4"/>
  <c r="C99" i="4"/>
  <c r="B99" i="4"/>
  <c r="K98" i="4"/>
  <c r="J98" i="4"/>
  <c r="H98" i="4"/>
  <c r="G98" i="4"/>
  <c r="F98" i="4"/>
  <c r="E98" i="4"/>
  <c r="C98" i="4"/>
  <c r="B98" i="4"/>
  <c r="K97" i="4"/>
  <c r="J97" i="4"/>
  <c r="H97" i="4"/>
  <c r="G97" i="4"/>
  <c r="F97" i="4"/>
  <c r="E97" i="4"/>
  <c r="C97" i="4"/>
  <c r="B97" i="4"/>
  <c r="K96" i="4"/>
  <c r="J96" i="4"/>
  <c r="H96" i="4"/>
  <c r="G96" i="4"/>
  <c r="F96" i="4"/>
  <c r="E96" i="4"/>
  <c r="C96" i="4"/>
  <c r="B96" i="4"/>
  <c r="K95" i="4"/>
  <c r="J95" i="4"/>
  <c r="H95" i="4"/>
  <c r="G95" i="4"/>
  <c r="F95" i="4"/>
  <c r="E95" i="4"/>
  <c r="C95" i="4"/>
  <c r="B95" i="4"/>
  <c r="K94" i="4"/>
  <c r="J94" i="4"/>
  <c r="H94" i="4"/>
  <c r="G94" i="4"/>
  <c r="F94" i="4"/>
  <c r="E94" i="4"/>
  <c r="C94" i="4"/>
  <c r="B94" i="4"/>
  <c r="K93" i="4"/>
  <c r="J93" i="4"/>
  <c r="H93" i="4"/>
  <c r="G93" i="4"/>
  <c r="F93" i="4"/>
  <c r="E93" i="4"/>
  <c r="C93" i="4"/>
  <c r="B93" i="4"/>
  <c r="K92" i="4"/>
  <c r="J92" i="4"/>
  <c r="H92" i="4"/>
  <c r="G92" i="4"/>
  <c r="F92" i="4"/>
  <c r="E92" i="4"/>
  <c r="C92" i="4"/>
  <c r="B92" i="4"/>
  <c r="K91" i="4"/>
  <c r="J91" i="4"/>
  <c r="H91" i="4"/>
  <c r="G91" i="4"/>
  <c r="F91" i="4"/>
  <c r="E91" i="4"/>
  <c r="C91" i="4"/>
  <c r="B91" i="4"/>
  <c r="K90" i="4"/>
  <c r="J90" i="4"/>
  <c r="H90" i="4"/>
  <c r="G90" i="4"/>
  <c r="F90" i="4"/>
  <c r="E90" i="4"/>
  <c r="C90" i="4"/>
  <c r="B90" i="4"/>
  <c r="K89" i="4"/>
  <c r="J89" i="4"/>
  <c r="H89" i="4"/>
  <c r="G89" i="4"/>
  <c r="F89" i="4"/>
  <c r="E89" i="4"/>
  <c r="C89" i="4"/>
  <c r="B89" i="4"/>
  <c r="K88" i="4"/>
  <c r="J88" i="4"/>
  <c r="H88" i="4"/>
  <c r="G88" i="4"/>
  <c r="F88" i="4"/>
  <c r="E88" i="4"/>
  <c r="C88" i="4"/>
  <c r="B88" i="4"/>
  <c r="K87" i="4"/>
  <c r="J87" i="4"/>
  <c r="H87" i="4"/>
  <c r="G87" i="4"/>
  <c r="F87" i="4"/>
  <c r="E87" i="4"/>
  <c r="C87" i="4"/>
  <c r="B87" i="4"/>
  <c r="K86" i="4"/>
  <c r="J86" i="4"/>
  <c r="H86" i="4"/>
  <c r="G86" i="4"/>
  <c r="F86" i="4"/>
  <c r="E86" i="4"/>
  <c r="C86" i="4"/>
  <c r="B86" i="4"/>
  <c r="K85" i="4"/>
  <c r="J85" i="4"/>
  <c r="H85" i="4"/>
  <c r="G85" i="4"/>
  <c r="F85" i="4"/>
  <c r="E85" i="4"/>
  <c r="C85" i="4"/>
  <c r="B85" i="4"/>
  <c r="K84" i="4"/>
  <c r="J84" i="4"/>
  <c r="H84" i="4"/>
  <c r="G84" i="4"/>
  <c r="F84" i="4"/>
  <c r="E84" i="4"/>
  <c r="C84" i="4"/>
  <c r="B84" i="4"/>
  <c r="K83" i="4"/>
  <c r="J83" i="4"/>
  <c r="H83" i="4"/>
  <c r="G83" i="4"/>
  <c r="F83" i="4"/>
  <c r="E83" i="4"/>
  <c r="C83" i="4"/>
  <c r="B83" i="4"/>
  <c r="K82" i="4"/>
  <c r="J82" i="4"/>
  <c r="H82" i="4"/>
  <c r="G82" i="4"/>
  <c r="F82" i="4"/>
  <c r="E82" i="4"/>
  <c r="C82" i="4"/>
  <c r="B82" i="4"/>
  <c r="K81" i="4"/>
  <c r="J81" i="4"/>
  <c r="H81" i="4"/>
  <c r="G81" i="4"/>
  <c r="F81" i="4"/>
  <c r="E81" i="4"/>
  <c r="C81" i="4"/>
  <c r="B81" i="4"/>
  <c r="K80" i="4"/>
  <c r="J80" i="4"/>
  <c r="H80" i="4"/>
  <c r="G80" i="4"/>
  <c r="F80" i="4"/>
  <c r="E80" i="4"/>
  <c r="C80" i="4"/>
  <c r="B80" i="4"/>
  <c r="K79" i="4"/>
  <c r="J79" i="4"/>
  <c r="H79" i="4"/>
  <c r="G79" i="4"/>
  <c r="F79" i="4"/>
  <c r="E79" i="4"/>
  <c r="C79" i="4"/>
  <c r="B79" i="4"/>
  <c r="K78" i="4"/>
  <c r="J78" i="4"/>
  <c r="H78" i="4"/>
  <c r="G78" i="4"/>
  <c r="F78" i="4"/>
  <c r="E78" i="4"/>
  <c r="C78" i="4"/>
  <c r="B78" i="4"/>
  <c r="K77" i="4"/>
  <c r="J77" i="4"/>
  <c r="H77" i="4"/>
  <c r="G77" i="4"/>
  <c r="F77" i="4"/>
  <c r="E77" i="4"/>
  <c r="C77" i="4"/>
  <c r="B77" i="4"/>
  <c r="K76" i="4"/>
  <c r="J76" i="4"/>
  <c r="H76" i="4"/>
  <c r="G76" i="4"/>
  <c r="F76" i="4"/>
  <c r="E76" i="4"/>
  <c r="C76" i="4"/>
  <c r="B76" i="4"/>
  <c r="K75" i="4"/>
  <c r="J75" i="4"/>
  <c r="H75" i="4"/>
  <c r="G75" i="4"/>
  <c r="F75" i="4"/>
  <c r="E75" i="4"/>
  <c r="C75" i="4"/>
  <c r="B75" i="4"/>
  <c r="K74" i="4"/>
  <c r="J74" i="4"/>
  <c r="H74" i="4"/>
  <c r="G74" i="4"/>
  <c r="F74" i="4"/>
  <c r="E74" i="4"/>
  <c r="C74" i="4"/>
  <c r="B74" i="4"/>
  <c r="K73" i="4"/>
  <c r="J73" i="4"/>
  <c r="H73" i="4"/>
  <c r="G73" i="4"/>
  <c r="F73" i="4"/>
  <c r="E73" i="4"/>
  <c r="C73" i="4"/>
  <c r="B73" i="4"/>
  <c r="K72" i="4"/>
  <c r="J72" i="4"/>
  <c r="H72" i="4"/>
  <c r="G72" i="4"/>
  <c r="F72" i="4"/>
  <c r="E72" i="4"/>
  <c r="C72" i="4"/>
  <c r="B72" i="4"/>
  <c r="K71" i="4"/>
  <c r="J71" i="4"/>
  <c r="H71" i="4"/>
  <c r="G71" i="4"/>
  <c r="F71" i="4"/>
  <c r="E71" i="4"/>
  <c r="C71" i="4"/>
  <c r="B71" i="4"/>
  <c r="K70" i="4"/>
  <c r="J70" i="4"/>
  <c r="H70" i="4"/>
  <c r="G70" i="4"/>
  <c r="F70" i="4"/>
  <c r="E70" i="4"/>
  <c r="C70" i="4"/>
  <c r="B70" i="4"/>
  <c r="K69" i="4"/>
  <c r="J69" i="4"/>
  <c r="H69" i="4"/>
  <c r="G69" i="4"/>
  <c r="F69" i="4"/>
  <c r="E69" i="4"/>
  <c r="C69" i="4"/>
  <c r="B69" i="4"/>
  <c r="K68" i="4"/>
  <c r="J68" i="4"/>
  <c r="H68" i="4"/>
  <c r="G68" i="4"/>
  <c r="F68" i="4"/>
  <c r="E68" i="4"/>
  <c r="C68" i="4"/>
  <c r="B68" i="4"/>
  <c r="K67" i="4"/>
  <c r="J67" i="4"/>
  <c r="H67" i="4"/>
  <c r="G67" i="4"/>
  <c r="F67" i="4"/>
  <c r="E67" i="4"/>
  <c r="C67" i="4"/>
  <c r="B67" i="4"/>
  <c r="K66" i="4"/>
  <c r="J66" i="4"/>
  <c r="H66" i="4"/>
  <c r="G66" i="4"/>
  <c r="F66" i="4"/>
  <c r="E66" i="4"/>
  <c r="C66" i="4"/>
  <c r="B66" i="4"/>
  <c r="K65" i="4"/>
  <c r="J65" i="4"/>
  <c r="H65" i="4"/>
  <c r="G65" i="4"/>
  <c r="F65" i="4"/>
  <c r="E65" i="4"/>
  <c r="C65" i="4"/>
  <c r="B65" i="4"/>
  <c r="K64" i="4"/>
  <c r="J64" i="4"/>
  <c r="H64" i="4"/>
  <c r="G64" i="4"/>
  <c r="F64" i="4"/>
  <c r="E64" i="4"/>
  <c r="C64" i="4"/>
  <c r="B64" i="4"/>
  <c r="K63" i="4"/>
  <c r="J63" i="4"/>
  <c r="I63" i="4"/>
  <c r="H63" i="4"/>
  <c r="G63" i="4"/>
  <c r="F63" i="4"/>
  <c r="E63" i="4"/>
  <c r="D63" i="4"/>
  <c r="C63" i="4"/>
  <c r="B63" i="4"/>
  <c r="K62" i="4"/>
  <c r="J62" i="4"/>
  <c r="I62" i="4"/>
  <c r="H62" i="4"/>
  <c r="G62" i="4"/>
  <c r="F62" i="4"/>
  <c r="E62" i="4"/>
  <c r="D62" i="4"/>
  <c r="C62" i="4"/>
  <c r="B62" i="4"/>
  <c r="K61" i="4"/>
  <c r="J61" i="4"/>
  <c r="I61" i="4"/>
  <c r="H61" i="4"/>
  <c r="G61" i="4"/>
  <c r="F61" i="4"/>
  <c r="E61" i="4"/>
  <c r="D61" i="4"/>
  <c r="C61" i="4"/>
  <c r="B61" i="4"/>
  <c r="K60" i="4"/>
  <c r="J60" i="4"/>
  <c r="I60" i="4"/>
  <c r="H60" i="4"/>
  <c r="G60" i="4"/>
  <c r="F60" i="4"/>
  <c r="E60" i="4"/>
  <c r="D60" i="4"/>
  <c r="C60" i="4"/>
  <c r="B60" i="4"/>
  <c r="K59" i="4"/>
  <c r="J59" i="4"/>
  <c r="I59" i="4"/>
  <c r="H59" i="4"/>
  <c r="G59" i="4"/>
  <c r="F59" i="4"/>
  <c r="E59" i="4"/>
  <c r="D59" i="4"/>
  <c r="C59" i="4"/>
  <c r="B59" i="4"/>
  <c r="K58" i="4"/>
  <c r="J58" i="4"/>
  <c r="I58" i="4"/>
  <c r="H58" i="4"/>
  <c r="G58" i="4"/>
  <c r="F58" i="4"/>
  <c r="E58" i="4"/>
  <c r="D58" i="4"/>
  <c r="C58" i="4"/>
  <c r="B58" i="4"/>
  <c r="K57" i="4"/>
  <c r="J57" i="4"/>
  <c r="I57" i="4"/>
  <c r="H57" i="4"/>
  <c r="G57" i="4"/>
  <c r="F57" i="4"/>
  <c r="E57" i="4"/>
  <c r="D57" i="4"/>
  <c r="C57" i="4"/>
  <c r="B57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54" i="4"/>
  <c r="J54" i="4"/>
  <c r="I54" i="4"/>
  <c r="H54" i="4"/>
  <c r="G54" i="4"/>
  <c r="F54" i="4"/>
  <c r="E54" i="4"/>
  <c r="D54" i="4"/>
  <c r="C54" i="4"/>
  <c r="B54" i="4"/>
  <c r="K53" i="4"/>
  <c r="J53" i="4"/>
  <c r="I53" i="4"/>
  <c r="H53" i="4"/>
  <c r="G53" i="4"/>
  <c r="F53" i="4"/>
  <c r="E53" i="4"/>
  <c r="D53" i="4"/>
  <c r="C53" i="4"/>
  <c r="B53" i="4"/>
  <c r="K52" i="4"/>
  <c r="J52" i="4"/>
  <c r="I52" i="4"/>
  <c r="H52" i="4"/>
  <c r="G52" i="4"/>
  <c r="F52" i="4"/>
  <c r="E52" i="4"/>
  <c r="D52" i="4"/>
  <c r="C52" i="4"/>
  <c r="B52" i="4"/>
  <c r="K51" i="4"/>
  <c r="J51" i="4"/>
  <c r="I51" i="4"/>
  <c r="H51" i="4"/>
  <c r="G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K49" i="4"/>
  <c r="J49" i="4"/>
  <c r="I49" i="4"/>
  <c r="H49" i="4"/>
  <c r="G49" i="4"/>
  <c r="F49" i="4"/>
  <c r="E49" i="4"/>
  <c r="D49" i="4"/>
  <c r="C49" i="4"/>
  <c r="B49" i="4"/>
  <c r="K48" i="4"/>
  <c r="J48" i="4"/>
  <c r="I48" i="4"/>
  <c r="H48" i="4"/>
  <c r="G48" i="4"/>
  <c r="F48" i="4"/>
  <c r="E48" i="4"/>
  <c r="D48" i="4"/>
  <c r="C48" i="4"/>
  <c r="B48" i="4"/>
  <c r="K47" i="4"/>
  <c r="J47" i="4"/>
  <c r="I47" i="4"/>
  <c r="H47" i="4"/>
  <c r="G47" i="4"/>
  <c r="F47" i="4"/>
  <c r="E47" i="4"/>
  <c r="D47" i="4"/>
  <c r="C47" i="4"/>
  <c r="B47" i="4"/>
  <c r="K46" i="4"/>
  <c r="J46" i="4"/>
  <c r="I46" i="4"/>
  <c r="H46" i="4"/>
  <c r="G46" i="4"/>
  <c r="F46" i="4"/>
  <c r="E46" i="4"/>
  <c r="D46" i="4"/>
  <c r="C46" i="4"/>
  <c r="B46" i="4"/>
  <c r="K45" i="4"/>
  <c r="J45" i="4"/>
  <c r="I45" i="4"/>
  <c r="H45" i="4"/>
  <c r="G45" i="4"/>
  <c r="F45" i="4"/>
  <c r="E45" i="4"/>
  <c r="D45" i="4"/>
  <c r="C45" i="4"/>
  <c r="B45" i="4"/>
  <c r="K44" i="4"/>
  <c r="J44" i="4"/>
  <c r="I44" i="4"/>
  <c r="H44" i="4"/>
  <c r="G44" i="4"/>
  <c r="F44" i="4"/>
  <c r="E44" i="4"/>
  <c r="D44" i="4"/>
  <c r="C44" i="4"/>
  <c r="B44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1" i="4"/>
  <c r="J41" i="4"/>
  <c r="I41" i="4"/>
  <c r="H41" i="4"/>
  <c r="G41" i="4"/>
  <c r="F41" i="4"/>
  <c r="E41" i="4"/>
  <c r="D41" i="4"/>
  <c r="C41" i="4"/>
  <c r="B41" i="4"/>
  <c r="K40" i="4"/>
  <c r="J40" i="4"/>
  <c r="I40" i="4"/>
  <c r="H40" i="4"/>
  <c r="G40" i="4"/>
  <c r="F40" i="4"/>
  <c r="E40" i="4"/>
  <c r="D40" i="4"/>
  <c r="C40" i="4"/>
  <c r="B40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7" i="4"/>
  <c r="J37" i="4"/>
  <c r="I37" i="4"/>
  <c r="H37" i="4"/>
  <c r="G37" i="4"/>
  <c r="F37" i="4"/>
  <c r="E37" i="4"/>
  <c r="D37" i="4"/>
  <c r="C37" i="4"/>
  <c r="B37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4" i="4"/>
  <c r="J34" i="4"/>
  <c r="I34" i="4"/>
  <c r="H34" i="4"/>
  <c r="G34" i="4"/>
  <c r="F34" i="4"/>
  <c r="E34" i="4"/>
  <c r="D34" i="4"/>
  <c r="C34" i="4"/>
  <c r="B34" i="4"/>
  <c r="K33" i="4"/>
  <c r="J33" i="4"/>
  <c r="I33" i="4"/>
  <c r="H33" i="4"/>
  <c r="G33" i="4"/>
  <c r="F33" i="4"/>
  <c r="E33" i="4"/>
  <c r="D33" i="4"/>
  <c r="C33" i="4"/>
  <c r="B33" i="4"/>
  <c r="K32" i="4"/>
  <c r="J32" i="4"/>
  <c r="I32" i="4"/>
  <c r="H32" i="4"/>
  <c r="G32" i="4"/>
  <c r="F32" i="4"/>
  <c r="E32" i="4"/>
  <c r="D32" i="4"/>
  <c r="C32" i="4"/>
  <c r="B32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9" i="4"/>
  <c r="J29" i="4"/>
  <c r="I29" i="4"/>
  <c r="H29" i="4"/>
  <c r="G29" i="4"/>
  <c r="F29" i="4"/>
  <c r="E29" i="4"/>
  <c r="D29" i="4"/>
  <c r="C29" i="4"/>
  <c r="B29" i="4"/>
  <c r="K28" i="4"/>
  <c r="J28" i="4"/>
  <c r="I28" i="4"/>
  <c r="H28" i="4"/>
  <c r="G28" i="4"/>
  <c r="F28" i="4"/>
  <c r="E28" i="4"/>
  <c r="D28" i="4"/>
  <c r="C28" i="4"/>
  <c r="B28" i="4"/>
  <c r="K27" i="4"/>
  <c r="J27" i="4"/>
  <c r="I27" i="4"/>
  <c r="H27" i="4"/>
  <c r="G27" i="4"/>
  <c r="F27" i="4"/>
  <c r="E27" i="4"/>
  <c r="D27" i="4"/>
  <c r="C27" i="4"/>
  <c r="B27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24" i="4"/>
  <c r="J24" i="4"/>
  <c r="I24" i="4"/>
  <c r="H24" i="4"/>
  <c r="G24" i="4"/>
  <c r="F24" i="4"/>
  <c r="E24" i="4"/>
  <c r="D24" i="4"/>
  <c r="C24" i="4"/>
  <c r="B24" i="4"/>
  <c r="K23" i="4"/>
  <c r="J23" i="4"/>
  <c r="I23" i="4"/>
  <c r="H23" i="4"/>
  <c r="G23" i="4"/>
  <c r="F23" i="4"/>
  <c r="E23" i="4"/>
  <c r="D23" i="4"/>
  <c r="C23" i="4"/>
  <c r="B23" i="4"/>
  <c r="K22" i="4"/>
  <c r="J22" i="4"/>
  <c r="I22" i="4"/>
  <c r="H22" i="4"/>
  <c r="G22" i="4"/>
  <c r="F22" i="4"/>
  <c r="E22" i="4"/>
  <c r="D22" i="4"/>
  <c r="C22" i="4"/>
  <c r="B22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7" i="4"/>
  <c r="J17" i="4"/>
  <c r="I17" i="4"/>
  <c r="H17" i="4"/>
  <c r="G17" i="4"/>
  <c r="F17" i="4"/>
  <c r="E17" i="4"/>
  <c r="D17" i="4"/>
  <c r="C17" i="4"/>
  <c r="B17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3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K4" i="4"/>
  <c r="J4" i="4"/>
  <c r="I4" i="4"/>
  <c r="H4" i="4"/>
  <c r="G4" i="4"/>
  <c r="F4" i="4"/>
  <c r="E4" i="4"/>
  <c r="D4" i="4"/>
  <c r="C4" i="4"/>
  <c r="B4" i="4"/>
  <c r="K3" i="4"/>
  <c r="J3" i="4"/>
  <c r="I3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<sst xmlns="http://schemas.openxmlformats.org/spreadsheetml/2006/main" count="13" uniqueCount="8">
  <si>
    <t>Number of employed traits</t>
    <phoneticPr fontId="1"/>
  </si>
  <si>
    <t>1112 heterozygotes</t>
    <phoneticPr fontId="1"/>
  </si>
  <si>
    <t>114 replicates of wild-type</t>
    <phoneticPr fontId="1"/>
  </si>
  <si>
    <t>mean</t>
    <phoneticPr fontId="1"/>
  </si>
  <si>
    <t>noise</t>
    <phoneticPr fontId="1"/>
  </si>
  <si>
    <t>ratio</t>
    <phoneticPr fontId="1"/>
  </si>
  <si>
    <t>noise + mean</t>
    <phoneticPr fontId="1"/>
  </si>
  <si>
    <t>all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</si>
</sst>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3"/>
  <sheetViews>
    <sheetView tabSelected="1" workbookViewId="0">
      <pane ySplit="2" topLeftCell="A3" activePane="bottomLeft" state="frozen"/>
      <selection pane="bottomLeft" sqref="A1:A2"/>
    </sheetView>
  </sheetViews>
  <sheetFormatPr defaultRowHeight="13.5" x14ac:dyDescent="0.15"/>
  <sheetData>
    <row r="1" spans="1:11" x14ac:dyDescent="0.15">
      <c r="A1" s="1" t="s">
        <v>0</v>
      </c>
      <c r="B1" s="2" t="s">
        <v>1</v>
      </c>
      <c r="C1" s="2"/>
      <c r="D1" s="2"/>
      <c r="E1" s="2"/>
      <c r="F1" s="2"/>
      <c r="G1" s="2" t="s">
        <v>2</v>
      </c>
      <c r="H1" s="2"/>
      <c r="I1" s="2"/>
      <c r="J1" s="2"/>
      <c r="K1" s="2"/>
    </row>
    <row r="2" spans="1:11" ht="27" customHeight="1" x14ac:dyDescent="0.15">
      <c r="A2" s="1"/>
      <c r="B2" s="3" t="s">
        <v>3</v>
      </c>
      <c r="C2" s="3" t="s">
        <v>4</v>
      </c>
      <c r="D2" s="3" t="s">
        <v>5</v>
      </c>
      <c r="E2" s="4" t="s">
        <v>6</v>
      </c>
      <c r="F2" s="3" t="s">
        <v>7</v>
      </c>
      <c r="G2" s="3" t="s">
        <v>3</v>
      </c>
      <c r="H2" s="3" t="s">
        <v>4</v>
      </c>
      <c r="I2" s="3" t="s">
        <v>5</v>
      </c>
      <c r="J2" s="4" t="s">
        <v>6</v>
      </c>
      <c r="K2" s="3" t="s">
        <v>7</v>
      </c>
    </row>
    <row r="3" spans="1:11" x14ac:dyDescent="0.15">
      <c r="A3">
        <v>1</v>
      </c>
      <c r="B3" s="5">
        <f>9.185/1112</f>
        <v>8.259892086330935E-3</v>
      </c>
      <c r="C3" s="5">
        <f>7.37366666666667/1112</f>
        <v>6.6309952038369341E-3</v>
      </c>
      <c r="D3" s="5">
        <f>8.197/1112</f>
        <v>7.3714028776978406E-3</v>
      </c>
      <c r="E3" s="5">
        <f>8.559/1112</f>
        <v>7.6969424460431651E-3</v>
      </c>
      <c r="F3" s="5">
        <f>8.40866666666667/1112</f>
        <v>7.5617505995203872E-3</v>
      </c>
      <c r="G3" s="5">
        <f>0.008/114</f>
        <v>7.0175438596491223E-5</v>
      </c>
      <c r="H3" s="5">
        <f>0.0236666666666667/114</f>
        <v>2.0760233918128685E-4</v>
      </c>
      <c r="I3" s="5">
        <f t="shared" ref="I3:I63" si="0">0/114</f>
        <v>0</v>
      </c>
      <c r="J3" s="5">
        <f>0.0146666666666667/114</f>
        <v>1.2865497076023421E-4</v>
      </c>
      <c r="K3" s="5">
        <f>0.015/114</f>
        <v>1.3157894736842105E-4</v>
      </c>
    </row>
    <row r="4" spans="1:11" x14ac:dyDescent="0.15">
      <c r="A4">
        <v>2</v>
      </c>
      <c r="B4" s="5">
        <f>17.956/1112</f>
        <v>1.6147482014388488E-2</v>
      </c>
      <c r="C4" s="5">
        <f>15.4016666666667/1112</f>
        <v>1.3850419664268615E-2</v>
      </c>
      <c r="D4" s="5">
        <f>15.5343333333333/1112</f>
        <v>1.3969724220623472E-2</v>
      </c>
      <c r="E4" s="5">
        <f>16.3066666666667/1112</f>
        <v>1.4664268585131925E-2</v>
      </c>
      <c r="F4" s="5">
        <f>16.462/1112</f>
        <v>1.4803956834532374E-2</v>
      </c>
      <c r="G4" s="5">
        <f>0.0233333333333333/114</f>
        <v>2.0467836257309912E-4</v>
      </c>
      <c r="H4" s="5">
        <f>0.0463333333333333/114</f>
        <v>4.0643274853801144E-4</v>
      </c>
      <c r="I4" s="5">
        <f t="shared" si="0"/>
        <v>0</v>
      </c>
      <c r="J4" s="5">
        <f>0.0333333333333333/114</f>
        <v>2.9239766081871313E-4</v>
      </c>
      <c r="K4" s="5">
        <f>0.0253333333333333/114</f>
        <v>2.2222222222222193E-4</v>
      </c>
    </row>
    <row r="5" spans="1:11" x14ac:dyDescent="0.15">
      <c r="A5">
        <v>3</v>
      </c>
      <c r="B5" s="5">
        <f>26.0846666666667/1112</f>
        <v>2.3457434052757822E-2</v>
      </c>
      <c r="C5" s="5">
        <f>21.963/1112</f>
        <v>1.9750899280575541E-2</v>
      </c>
      <c r="D5" s="5">
        <f>22.398/1112</f>
        <v>2.0142086330935251E-2</v>
      </c>
      <c r="E5" s="5">
        <f>24.458/1112</f>
        <v>2.1994604316546762E-2</v>
      </c>
      <c r="F5" s="5">
        <f>24.3553333333333/1112</f>
        <v>2.1902278177458004E-2</v>
      </c>
      <c r="G5" s="5">
        <f>0.026/114</f>
        <v>2.2807017543859649E-4</v>
      </c>
      <c r="H5" s="5">
        <f>0.067/114</f>
        <v>5.8771929824561408E-4</v>
      </c>
      <c r="I5" s="5">
        <f t="shared" si="0"/>
        <v>0</v>
      </c>
      <c r="J5" s="5">
        <f>0.0473333333333333/114</f>
        <v>4.1520467836257278E-4</v>
      </c>
      <c r="K5" s="5">
        <f>0.0373333333333333/114</f>
        <v>3.2748538011695877E-4</v>
      </c>
    </row>
    <row r="6" spans="1:11" x14ac:dyDescent="0.15">
      <c r="A6">
        <v>4</v>
      </c>
      <c r="B6" s="5">
        <f>33.9543333333333/1112</f>
        <v>3.0534472422062323E-2</v>
      </c>
      <c r="C6" s="5">
        <f>28.365/1112</f>
        <v>2.5508093525179854E-2</v>
      </c>
      <c r="D6" s="5">
        <f>28.4566666666667/1112</f>
        <v>2.5590527577937679E-2</v>
      </c>
      <c r="E6" s="5">
        <f>31.9406666666667/1112</f>
        <v>2.8723621103117537E-2</v>
      </c>
      <c r="F6" s="5">
        <f>31.492/1112</f>
        <v>2.8320143884892086E-2</v>
      </c>
      <c r="G6" s="5">
        <f>0.0313333333333333/114</f>
        <v>2.7485380116959039E-4</v>
      </c>
      <c r="H6" s="5">
        <f>0.088/114</f>
        <v>7.7192982456140351E-4</v>
      </c>
      <c r="I6" s="5">
        <f t="shared" si="0"/>
        <v>0</v>
      </c>
      <c r="J6" s="5">
        <f>0.068/114</f>
        <v>5.9649122807017548E-4</v>
      </c>
      <c r="K6" s="5">
        <f>0.057/114</f>
        <v>5.0000000000000001E-4</v>
      </c>
    </row>
    <row r="7" spans="1:11" x14ac:dyDescent="0.15">
      <c r="A7">
        <v>5</v>
      </c>
      <c r="B7" s="5">
        <f>40.9986666666667/1112</f>
        <v>3.6869304556354947E-2</v>
      </c>
      <c r="C7" s="5">
        <f>34.8536666666667/1112</f>
        <v>3.1343225419664299E-2</v>
      </c>
      <c r="D7" s="5">
        <f>34.5066666666667/1112</f>
        <v>3.1031175059952072E-2</v>
      </c>
      <c r="E7" s="5">
        <f>39.1073333333333/1112</f>
        <v>3.5168465227817719E-2</v>
      </c>
      <c r="F7" s="5">
        <f>38.928/1112</f>
        <v>3.5007194244604314E-2</v>
      </c>
      <c r="G7" s="5">
        <f>0.0486666666666667/114</f>
        <v>4.2690058479532189E-4</v>
      </c>
      <c r="H7" s="5">
        <f>0.116/114</f>
        <v>1.0175438596491228E-3</v>
      </c>
      <c r="I7" s="5">
        <f t="shared" si="0"/>
        <v>0</v>
      </c>
      <c r="J7" s="5">
        <f>0.0836666666666667/114</f>
        <v>7.3391812865497097E-4</v>
      </c>
      <c r="K7" s="5">
        <f>0.0716666666666667/114</f>
        <v>6.2865497076023422E-4</v>
      </c>
    </row>
    <row r="8" spans="1:11" x14ac:dyDescent="0.15">
      <c r="A8">
        <v>6</v>
      </c>
      <c r="B8" s="5">
        <f>47.924/1112</f>
        <v>4.3097122302158272E-2</v>
      </c>
      <c r="C8" s="5">
        <f>42.208/1112</f>
        <v>3.7956834532374098E-2</v>
      </c>
      <c r="D8" s="5">
        <f>38.9846666666667/1112</f>
        <v>3.5058153477218253E-2</v>
      </c>
      <c r="E8" s="5">
        <f>46.0156666666667/1112</f>
        <v>4.1380995203836958E-2</v>
      </c>
      <c r="F8" s="5">
        <f>46.4233333333333/1112</f>
        <v>4.1747601918465195E-2</v>
      </c>
      <c r="G8" s="5">
        <f>0.052/114</f>
        <v>4.5614035087719298E-4</v>
      </c>
      <c r="H8" s="5">
        <f>0.137/114</f>
        <v>1.2017543859649123E-3</v>
      </c>
      <c r="I8" s="5">
        <f t="shared" si="0"/>
        <v>0</v>
      </c>
      <c r="J8" s="5">
        <f>0.0976666666666667/114</f>
        <v>8.5672514619883062E-4</v>
      </c>
      <c r="K8" s="5">
        <f>0.0853333333333333/114</f>
        <v>7.4853801169590616E-4</v>
      </c>
    </row>
    <row r="9" spans="1:11" x14ac:dyDescent="0.15">
      <c r="A9">
        <v>7</v>
      </c>
      <c r="B9" s="5">
        <f>54.2916666666667/1112</f>
        <v>4.8823441247002428E-2</v>
      </c>
      <c r="C9" s="5">
        <f>48.0433333333333/1112</f>
        <v>4.3204436450839302E-2</v>
      </c>
      <c r="D9" s="5">
        <f>44.3643333333333/1112</f>
        <v>3.9895983213429229E-2</v>
      </c>
      <c r="E9" s="5">
        <f>52.4406666666667/1112</f>
        <v>4.7158872901678688E-2</v>
      </c>
      <c r="F9" s="5">
        <f>53.289/1112</f>
        <v>4.7921762589928057E-2</v>
      </c>
      <c r="G9" s="5">
        <f>0.0646666666666667/114</f>
        <v>5.6725146198830444E-4</v>
      </c>
      <c r="H9" s="5">
        <f>0.163666666666667/114</f>
        <v>1.4356725146198858E-3</v>
      </c>
      <c r="I9" s="5">
        <f t="shared" si="0"/>
        <v>0</v>
      </c>
      <c r="J9" s="5">
        <f>0.118/114</f>
        <v>1.0350877192982456E-3</v>
      </c>
      <c r="K9" s="5">
        <f>0.102/114</f>
        <v>8.9473684210526305E-4</v>
      </c>
    </row>
    <row r="10" spans="1:11" x14ac:dyDescent="0.15">
      <c r="A10">
        <v>8</v>
      </c>
      <c r="B10" s="5">
        <f>59.53/1112</f>
        <v>5.3534172661870508E-2</v>
      </c>
      <c r="C10" s="5">
        <f>54.9246666666667/1112</f>
        <v>4.9392685851318979E-2</v>
      </c>
      <c r="D10" s="5">
        <f>48.958/1112</f>
        <v>4.4026978417266188E-2</v>
      </c>
      <c r="E10" s="5">
        <f>58.7456666666667/1112</f>
        <v>5.2828836930455668E-2</v>
      </c>
      <c r="F10" s="5">
        <f>58.6426666666667/1112</f>
        <v>5.2736211031175088E-2</v>
      </c>
      <c r="G10" s="5">
        <f>0.074/114</f>
        <v>6.4912280701754385E-4</v>
      </c>
      <c r="H10" s="5">
        <f>0.181/114</f>
        <v>1.587719298245614E-3</v>
      </c>
      <c r="I10" s="5">
        <f t="shared" si="0"/>
        <v>0</v>
      </c>
      <c r="J10" s="5">
        <f>0.119666666666667/114</f>
        <v>1.0497076023391842E-3</v>
      </c>
      <c r="K10" s="5">
        <f>0.118666666666667/114</f>
        <v>1.0409356725146228E-3</v>
      </c>
    </row>
    <row r="11" spans="1:11" x14ac:dyDescent="0.15">
      <c r="A11">
        <v>9</v>
      </c>
      <c r="B11" s="5">
        <f>66.9256666666667/1112</f>
        <v>6.0184952038369335E-2</v>
      </c>
      <c r="C11" s="5">
        <f>59.5813333333333/1112</f>
        <v>5.3580335731414838E-2</v>
      </c>
      <c r="D11" s="5">
        <f>52.3553333333333/1112</f>
        <v>4.7082134292565914E-2</v>
      </c>
      <c r="E11" s="5">
        <f>65.7873333333333/1112</f>
        <v>5.9161270983213395E-2</v>
      </c>
      <c r="F11" s="5">
        <f>65.1213333333333/1112</f>
        <v>5.8562350119904044E-2</v>
      </c>
      <c r="G11" s="5">
        <f>0.0893333333333333/114</f>
        <v>7.8362573099415185E-4</v>
      </c>
      <c r="H11" s="5">
        <f>0.19/114</f>
        <v>1.6666666666666668E-3</v>
      </c>
      <c r="I11" s="5">
        <f t="shared" si="0"/>
        <v>0</v>
      </c>
      <c r="J11" s="5">
        <f>0.141666666666667/114</f>
        <v>1.2426900584795351E-3</v>
      </c>
      <c r="K11" s="5">
        <f>0.119666666666667/114</f>
        <v>1.0497076023391842E-3</v>
      </c>
    </row>
    <row r="12" spans="1:11" x14ac:dyDescent="0.15">
      <c r="A12">
        <v>10</v>
      </c>
      <c r="B12" s="5">
        <f>71.9553333333333/1112</f>
        <v>6.4708033573141463E-2</v>
      </c>
      <c r="C12" s="5">
        <f>66.4473333333333/1112</f>
        <v>5.9754796163069515E-2</v>
      </c>
      <c r="D12" s="5">
        <f>56.1903333333333/1112</f>
        <v>5.0530875299760164E-2</v>
      </c>
      <c r="E12" s="5">
        <f>71.086/1112</f>
        <v>6.3926258992805754E-2</v>
      </c>
      <c r="F12" s="5">
        <f>71.6806666666667/1112</f>
        <v>6.4461031175059982E-2</v>
      </c>
      <c r="G12" s="5">
        <f>0.102/114</f>
        <v>8.9473684210526305E-4</v>
      </c>
      <c r="H12" s="5">
        <f>0.223666666666667/114</f>
        <v>1.9619883040935702E-3</v>
      </c>
      <c r="I12" s="5">
        <f t="shared" si="0"/>
        <v>0</v>
      </c>
      <c r="J12" s="5">
        <f>0.157333333333333/114</f>
        <v>1.3801169590643245E-3</v>
      </c>
      <c r="K12" s="5">
        <f>0.149333333333333/114</f>
        <v>1.3099415204678333E-3</v>
      </c>
    </row>
    <row r="13" spans="1:11" x14ac:dyDescent="0.15">
      <c r="A13">
        <v>11</v>
      </c>
      <c r="B13" s="5">
        <f>77.315/1112</f>
        <v>6.9527877697841731E-2</v>
      </c>
      <c r="C13" s="5">
        <f>71.5473333333333/1112</f>
        <v>6.4341127098321307E-2</v>
      </c>
      <c r="D13" s="5">
        <f>59.3386666666667/1112</f>
        <v>5.336211031175063E-2</v>
      </c>
      <c r="E13" s="5">
        <f>77.1576666666667/1112</f>
        <v>6.9386390887290192E-2</v>
      </c>
      <c r="F13" s="5">
        <f>76.7793333333333/1112</f>
        <v>6.9046163069544336E-2</v>
      </c>
      <c r="G13" s="5">
        <f>0.104/114</f>
        <v>9.1228070175438595E-4</v>
      </c>
      <c r="H13" s="5">
        <f>0.239333333333333/114</f>
        <v>2.0994152046783596E-3</v>
      </c>
      <c r="I13" s="5">
        <f t="shared" si="0"/>
        <v>0</v>
      </c>
      <c r="J13" s="5">
        <f>0.174/114</f>
        <v>1.526315789473684E-3</v>
      </c>
      <c r="K13" s="5">
        <f>0.15/114</f>
        <v>1.3157894736842105E-3</v>
      </c>
    </row>
    <row r="14" spans="1:11" x14ac:dyDescent="0.15">
      <c r="A14">
        <v>12</v>
      </c>
      <c r="B14" s="5">
        <f>82.569/1112</f>
        <v>7.4252697841726625E-2</v>
      </c>
      <c r="C14" s="5">
        <f>77.4053333333333/1112</f>
        <v>6.9609112709832111E-2</v>
      </c>
      <c r="D14" s="5">
        <f>62.6256666666667/1112</f>
        <v>5.6318045563549191E-2</v>
      </c>
      <c r="E14" s="5">
        <f>82.8826666666667/1112</f>
        <v>7.4534772182254225E-2</v>
      </c>
      <c r="F14" s="5">
        <f>82.3486666666667/1112</f>
        <v>7.4054556354916104E-2</v>
      </c>
      <c r="G14" s="5">
        <f>0.115333333333333/114</f>
        <v>1.0116959064327457E-3</v>
      </c>
      <c r="H14" s="5">
        <f>0.267666666666667/114</f>
        <v>2.3479532163742721E-3</v>
      </c>
      <c r="I14" s="5">
        <f t="shared" si="0"/>
        <v>0</v>
      </c>
      <c r="J14" s="5">
        <f>0.188333333333333/114</f>
        <v>1.652046783625728E-3</v>
      </c>
      <c r="K14" s="5">
        <f>0.161666666666667/114</f>
        <v>1.4181286549707632E-3</v>
      </c>
    </row>
    <row r="15" spans="1:11" x14ac:dyDescent="0.15">
      <c r="A15">
        <v>13</v>
      </c>
      <c r="B15" s="5">
        <f>87.6903333333333/1112</f>
        <v>7.8858213429256571E-2</v>
      </c>
      <c r="C15" s="5">
        <f>82.1663333333333/1112</f>
        <v>7.3890587529975987E-2</v>
      </c>
      <c r="D15" s="5">
        <f>66.2156666666667/1112</f>
        <v>5.9546462829736246E-2</v>
      </c>
      <c r="E15" s="5">
        <f>88.0746666666667/1112</f>
        <v>7.9203836930455671E-2</v>
      </c>
      <c r="F15" s="5">
        <f>88.136/1112</f>
        <v>7.9258992805755393E-2</v>
      </c>
      <c r="G15" s="5">
        <f>0.123333333333333/114</f>
        <v>1.0818713450292368E-3</v>
      </c>
      <c r="H15" s="5">
        <f>0.298666666666667/114</f>
        <v>2.6198830409356758E-3</v>
      </c>
      <c r="I15" s="5">
        <f t="shared" si="0"/>
        <v>0</v>
      </c>
      <c r="J15" s="5">
        <f>0.206/114</f>
        <v>1.8070175438596491E-3</v>
      </c>
      <c r="K15" s="5">
        <f>0.170333333333333/114</f>
        <v>1.4941520467836229E-3</v>
      </c>
    </row>
    <row r="16" spans="1:11" x14ac:dyDescent="0.15">
      <c r="A16">
        <v>14</v>
      </c>
      <c r="B16" s="5">
        <f>92.9323333333333/1112</f>
        <v>8.3572242206234992E-2</v>
      </c>
      <c r="C16" s="5">
        <f>88.0046666666667/1112</f>
        <v>7.9140887290167897E-2</v>
      </c>
      <c r="D16" s="5">
        <f>68.8646666666667/1112</f>
        <v>6.1928657074340553E-2</v>
      </c>
      <c r="E16" s="5">
        <f>94.4043333333333/1112</f>
        <v>8.4895983213429227E-2</v>
      </c>
      <c r="F16" s="5">
        <f>93.0463333333333/1112</f>
        <v>8.3674760191846484E-2</v>
      </c>
      <c r="G16" s="5">
        <f>0.128/114</f>
        <v>1.1228070175438596E-3</v>
      </c>
      <c r="H16" s="5">
        <f>0.31/114</f>
        <v>2.719298245614035E-3</v>
      </c>
      <c r="I16" s="5">
        <f t="shared" si="0"/>
        <v>0</v>
      </c>
      <c r="J16" s="5">
        <f>0.221666666666667/114</f>
        <v>1.9444444444444474E-3</v>
      </c>
      <c r="K16" s="5">
        <f>0.205666666666667/114</f>
        <v>1.8040935672514649E-3</v>
      </c>
    </row>
    <row r="17" spans="1:11" x14ac:dyDescent="0.15">
      <c r="A17">
        <v>15</v>
      </c>
      <c r="B17" s="5">
        <f>96.7073333333333/1112</f>
        <v>8.6967026378896847E-2</v>
      </c>
      <c r="C17" s="5">
        <f>93.2666666666667/1112</f>
        <v>8.3872901678657102E-2</v>
      </c>
      <c r="D17" s="5">
        <f>71.5326666666667/1112</f>
        <v>6.4327937649880124E-2</v>
      </c>
      <c r="E17" s="5">
        <f>98.9653333333333/1112</f>
        <v>8.8997601918465202E-2</v>
      </c>
      <c r="F17" s="5">
        <f>98.4393333333333/1112</f>
        <v>8.8524580335731379E-2</v>
      </c>
      <c r="G17" s="5">
        <f>0.137333333333333/114</f>
        <v>1.2046783625730966E-3</v>
      </c>
      <c r="H17" s="5">
        <f>0.325/114</f>
        <v>2.8508771929824563E-3</v>
      </c>
      <c r="I17" s="5">
        <f t="shared" si="0"/>
        <v>0</v>
      </c>
      <c r="J17" s="5">
        <f>0.219/114</f>
        <v>1.9210526315789475E-3</v>
      </c>
      <c r="K17" s="5">
        <f>0.206/114</f>
        <v>1.8070175438596491E-3</v>
      </c>
    </row>
    <row r="18" spans="1:11" x14ac:dyDescent="0.15">
      <c r="A18">
        <v>16</v>
      </c>
      <c r="B18" s="5">
        <f>100.485666666667/1112</f>
        <v>9.0364808153477513E-2</v>
      </c>
      <c r="C18" s="5">
        <f>98.582/1112</f>
        <v>8.865287769784172E-2</v>
      </c>
      <c r="D18" s="5">
        <f>74.1926666666667/1112</f>
        <v>6.6720023980815377E-2</v>
      </c>
      <c r="E18" s="5">
        <f>104.126/1112</f>
        <v>9.3638489208633102E-2</v>
      </c>
      <c r="F18" s="5">
        <f>103.823/1112</f>
        <v>9.3366007194244593E-2</v>
      </c>
      <c r="G18" s="5">
        <f>0.149333333333333/114</f>
        <v>1.3099415204678333E-3</v>
      </c>
      <c r="H18" s="5">
        <f>0.35/114</f>
        <v>3.0701754385964912E-3</v>
      </c>
      <c r="I18" s="5">
        <f t="shared" si="0"/>
        <v>0</v>
      </c>
      <c r="J18" s="5">
        <f>0.249/114</f>
        <v>2.1842105263157894E-3</v>
      </c>
      <c r="K18" s="5">
        <f>0.224/114</f>
        <v>1.9649122807017545E-3</v>
      </c>
    </row>
    <row r="19" spans="1:11" x14ac:dyDescent="0.15">
      <c r="A19">
        <v>17</v>
      </c>
      <c r="B19" s="5">
        <f>104.587/1112</f>
        <v>9.4053057553956834E-2</v>
      </c>
      <c r="C19" s="5">
        <f>103.500666666667/1112</f>
        <v>9.3076139088729318E-2</v>
      </c>
      <c r="D19" s="5">
        <f>76.5686666666667/1112</f>
        <v>6.88567146282974E-2</v>
      </c>
      <c r="E19" s="5">
        <f>109.898333333333/1112</f>
        <v>9.8829436450839026E-2</v>
      </c>
      <c r="F19" s="5">
        <f>108.259666666667/1112</f>
        <v>9.7355815347722127E-2</v>
      </c>
      <c r="G19" s="5">
        <f>0.155333333333333/114</f>
        <v>1.3625730994152017E-3</v>
      </c>
      <c r="H19" s="5">
        <f>0.376333333333333/114</f>
        <v>3.3011695906432722E-3</v>
      </c>
      <c r="I19" s="5">
        <f t="shared" si="0"/>
        <v>0</v>
      </c>
      <c r="J19" s="5">
        <f>0.267/114</f>
        <v>2.3421052631578949E-3</v>
      </c>
      <c r="K19" s="5">
        <f>0.213333333333333/114</f>
        <v>1.8713450292397631E-3</v>
      </c>
    </row>
    <row r="20" spans="1:11" x14ac:dyDescent="0.15">
      <c r="A20">
        <v>18</v>
      </c>
      <c r="B20" s="5">
        <f>108.920333333333/1112</f>
        <v>9.7949940047961329E-2</v>
      </c>
      <c r="C20" s="5">
        <f>108.16/1112</f>
        <v>9.7266187050359706E-2</v>
      </c>
      <c r="D20" s="5">
        <f>79.356/1112</f>
        <v>7.1363309352517987E-2</v>
      </c>
      <c r="E20" s="5">
        <f>114.788666666667/1112</f>
        <v>0.10322721822541996</v>
      </c>
      <c r="F20" s="5">
        <f>113.968333333333/1112</f>
        <v>0.10248950839328508</v>
      </c>
      <c r="G20" s="5">
        <f>0.16/114</f>
        <v>1.4035087719298247E-3</v>
      </c>
      <c r="H20" s="5">
        <f>0.414/114</f>
        <v>3.631578947368421E-3</v>
      </c>
      <c r="I20" s="5">
        <f t="shared" si="0"/>
        <v>0</v>
      </c>
      <c r="J20" s="5">
        <f>0.287/114</f>
        <v>2.5175438596491224E-3</v>
      </c>
      <c r="K20" s="5">
        <f>0.257333333333333/114</f>
        <v>2.2573099415204652E-3</v>
      </c>
    </row>
    <row r="21" spans="1:11" x14ac:dyDescent="0.15">
      <c r="A21">
        <v>19</v>
      </c>
      <c r="B21" s="5">
        <f>113.496666666667/1112</f>
        <v>0.10206534772182284</v>
      </c>
      <c r="C21" s="5">
        <f>113.842/1112</f>
        <v>0.10237589928057554</v>
      </c>
      <c r="D21" s="5">
        <f>81.2986666666667/1112</f>
        <v>7.3110311750599552E-2</v>
      </c>
      <c r="E21" s="5">
        <f>118.684333333333/1112</f>
        <v>0.10673051558752968</v>
      </c>
      <c r="F21" s="5">
        <f>118.5/1112</f>
        <v>0.10656474820143885</v>
      </c>
      <c r="G21" s="5">
        <f>0.146666666666667/114</f>
        <v>1.2865497076023421E-3</v>
      </c>
      <c r="H21" s="5">
        <f>0.430666666666667/114</f>
        <v>3.7777777777777805E-3</v>
      </c>
      <c r="I21" s="5">
        <f t="shared" si="0"/>
        <v>0</v>
      </c>
      <c r="J21" s="5">
        <f>0.301666666666667/114</f>
        <v>2.64619883040936E-3</v>
      </c>
      <c r="K21" s="5">
        <f>0.25/114</f>
        <v>2.1929824561403508E-3</v>
      </c>
    </row>
    <row r="22" spans="1:11" x14ac:dyDescent="0.15">
      <c r="A22">
        <v>20</v>
      </c>
      <c r="B22" s="5">
        <f>116.919333333333/1112</f>
        <v>0.10514328537170234</v>
      </c>
      <c r="C22" s="5">
        <f>117.275/1112</f>
        <v>0.10546312949640288</v>
      </c>
      <c r="D22" s="5">
        <f>83.5333333333333/1112</f>
        <v>7.5119904076738575E-2</v>
      </c>
      <c r="E22" s="5">
        <f>124.33/1112</f>
        <v>0.11180755395683453</v>
      </c>
      <c r="F22" s="5">
        <f>121.687666666667/1112</f>
        <v>0.10943135491606744</v>
      </c>
      <c r="G22" s="5">
        <f>0.168/114</f>
        <v>1.4736842105263158E-3</v>
      </c>
      <c r="H22" s="5">
        <f>0.453666666666667/114</f>
        <v>3.9795321637426931E-3</v>
      </c>
      <c r="I22" s="5">
        <f t="shared" si="0"/>
        <v>0</v>
      </c>
      <c r="J22" s="5">
        <f>0.308/114</f>
        <v>2.7017543859649122E-3</v>
      </c>
      <c r="K22" s="5">
        <f>0.242333333333333/114</f>
        <v>2.1257309941520438E-3</v>
      </c>
    </row>
    <row r="23" spans="1:11" x14ac:dyDescent="0.15">
      <c r="A23">
        <v>21</v>
      </c>
      <c r="B23" s="5">
        <f>121.070333333333/1112</f>
        <v>0.10887619904076708</v>
      </c>
      <c r="C23" s="5">
        <f>122.871333333333/1112</f>
        <v>0.11049580335731385</v>
      </c>
      <c r="D23" s="5">
        <f>85.518/1112</f>
        <v>7.6904676258992805E-2</v>
      </c>
      <c r="E23" s="5">
        <f>127.781333333333/1112</f>
        <v>0.11491127098321313</v>
      </c>
      <c r="F23" s="5">
        <f>128.085/1112</f>
        <v>0.11518435251798562</v>
      </c>
      <c r="G23" s="5">
        <f>0.181333333333333/114</f>
        <v>1.5906432748537984E-3</v>
      </c>
      <c r="H23" s="5">
        <f>0.442666666666667/114</f>
        <v>3.8830409356725173E-3</v>
      </c>
      <c r="I23" s="5">
        <f t="shared" si="0"/>
        <v>0</v>
      </c>
      <c r="J23" s="5">
        <f>0.337333333333333/114</f>
        <v>2.9590643274853769E-3</v>
      </c>
      <c r="K23" s="5">
        <f>0.283666666666667/114</f>
        <v>2.4883040935672544E-3</v>
      </c>
    </row>
    <row r="24" spans="1:11" x14ac:dyDescent="0.15">
      <c r="A24">
        <v>22</v>
      </c>
      <c r="B24" s="5">
        <f>125.082333333333/1112</f>
        <v>0.11248411270983183</v>
      </c>
      <c r="C24" s="5">
        <f>128.389333333333/1112</f>
        <v>0.1154580335731412</v>
      </c>
      <c r="D24" s="5">
        <f>87.537/1112</f>
        <v>7.8720323741007195E-2</v>
      </c>
      <c r="E24" s="5">
        <f>133.12/1112</f>
        <v>0.11971223021582734</v>
      </c>
      <c r="F24" s="5">
        <f>131.918/1112</f>
        <v>0.11863129496402879</v>
      </c>
      <c r="G24" s="5">
        <f>0.204/114</f>
        <v>1.7894736842105261E-3</v>
      </c>
      <c r="H24" s="5">
        <f>0.503333333333333/114</f>
        <v>4.4152046783625699E-3</v>
      </c>
      <c r="I24" s="5">
        <f t="shared" si="0"/>
        <v>0</v>
      </c>
      <c r="J24" s="5">
        <f>0.351666666666667/114</f>
        <v>3.0847953216374298E-3</v>
      </c>
      <c r="K24" s="5">
        <f>0.321333333333333/114</f>
        <v>2.818713450292395E-3</v>
      </c>
    </row>
    <row r="25" spans="1:11" x14ac:dyDescent="0.15">
      <c r="A25">
        <v>23</v>
      </c>
      <c r="B25" s="5">
        <f>127.445666666667/1112</f>
        <v>0.11460941247002428</v>
      </c>
      <c r="C25" s="5">
        <f>131.440333333333/1112</f>
        <v>0.11820173860911241</v>
      </c>
      <c r="D25" s="5">
        <f>89.0876666666667/1112</f>
        <v>8.0114808153477254E-2</v>
      </c>
      <c r="E25" s="5">
        <f>137.467666666667/1112</f>
        <v>0.12362200239808183</v>
      </c>
      <c r="F25" s="5">
        <f>136.376/1112</f>
        <v>0.12264028776978418</v>
      </c>
      <c r="G25" s="5">
        <f>0.193333333333333/114</f>
        <v>1.695906432748535E-3</v>
      </c>
      <c r="H25" s="5">
        <f>0.516666666666667/114</f>
        <v>4.5321637426900619E-3</v>
      </c>
      <c r="I25" s="5">
        <f t="shared" si="0"/>
        <v>0</v>
      </c>
      <c r="J25" s="5">
        <f>0.353333333333333/114</f>
        <v>3.0994152046783597E-3</v>
      </c>
      <c r="K25" s="5">
        <f>0.299/114</f>
        <v>2.6228070175438596E-3</v>
      </c>
    </row>
    <row r="26" spans="1:11" x14ac:dyDescent="0.15">
      <c r="A26">
        <v>24</v>
      </c>
      <c r="B26" s="5">
        <f>131.295/1112</f>
        <v>0.11807104316546761</v>
      </c>
      <c r="C26" s="5">
        <f>137.197/1112</f>
        <v>0.12337859712230216</v>
      </c>
      <c r="D26" s="5">
        <f>91.4393333333333/1112</f>
        <v>8.2229616306954398E-2</v>
      </c>
      <c r="E26" s="5">
        <f>141.462/1112</f>
        <v>0.12721402877697841</v>
      </c>
      <c r="F26" s="5">
        <f>140.336/1112</f>
        <v>0.12620143884892088</v>
      </c>
      <c r="G26" s="5">
        <f>0.219333333333333/114</f>
        <v>1.9239766081871315E-3</v>
      </c>
      <c r="H26" s="5">
        <f>0.513666666666667/114</f>
        <v>4.5058479532163777E-3</v>
      </c>
      <c r="I26" s="5">
        <f t="shared" si="0"/>
        <v>0</v>
      </c>
      <c r="J26" s="5">
        <f>0.379666666666667/114</f>
        <v>3.3304093567251489E-3</v>
      </c>
      <c r="K26" s="5">
        <f>0.307666666666667/114</f>
        <v>2.6988304093567279E-3</v>
      </c>
    </row>
    <row r="27" spans="1:11" x14ac:dyDescent="0.15">
      <c r="A27">
        <v>25</v>
      </c>
      <c r="B27" s="5">
        <f>134.553333333333/1112</f>
        <v>0.12100119904076709</v>
      </c>
      <c r="C27" s="5">
        <f>141.660666666667/1112</f>
        <v>0.12739268585131924</v>
      </c>
      <c r="D27" s="5">
        <f>93.139/1112</f>
        <v>8.375809352517985E-2</v>
      </c>
      <c r="E27" s="5">
        <f>146.117666666667/1112</f>
        <v>0.13140077937649911</v>
      </c>
      <c r="F27" s="5">
        <f>144.402666666667/1112</f>
        <v>0.12985851318944874</v>
      </c>
      <c r="G27" s="5">
        <f>0.206/114</f>
        <v>1.8070175438596491E-3</v>
      </c>
      <c r="H27" s="5">
        <f>0.549/114</f>
        <v>4.8157894736842108E-3</v>
      </c>
      <c r="I27" s="5">
        <f t="shared" si="0"/>
        <v>0</v>
      </c>
      <c r="J27" s="5">
        <f>0.401333333333333/114</f>
        <v>3.5204678362573071E-3</v>
      </c>
      <c r="K27" s="5">
        <f>0.353333333333333/114</f>
        <v>3.0994152046783597E-3</v>
      </c>
    </row>
    <row r="28" spans="1:11" x14ac:dyDescent="0.15">
      <c r="A28">
        <v>26</v>
      </c>
      <c r="B28" s="5">
        <f>137.046333333333/1112</f>
        <v>0.12324310551558723</v>
      </c>
      <c r="C28" s="5">
        <f>144.153666666667/1112</f>
        <v>0.12963459232613939</v>
      </c>
      <c r="D28" s="5">
        <f>94.6566666666667/1112</f>
        <v>8.5122901678657104E-2</v>
      </c>
      <c r="E28" s="5">
        <f>150.359333333333/1112</f>
        <v>0.1352152278177455</v>
      </c>
      <c r="F28" s="5">
        <f>148.259333333333/1112</f>
        <v>0.1333267386091124</v>
      </c>
      <c r="G28" s="5">
        <f>0.250666666666667/114</f>
        <v>2.1988304093567279E-3</v>
      </c>
      <c r="H28" s="5">
        <f>0.58/114</f>
        <v>5.0877192982456141E-3</v>
      </c>
      <c r="I28" s="5">
        <f t="shared" si="0"/>
        <v>0</v>
      </c>
      <c r="J28" s="5">
        <f>0.415666666666667/114</f>
        <v>3.64619883040936E-3</v>
      </c>
      <c r="K28" s="5">
        <f>0.358333333333333/114</f>
        <v>3.1432748538011666E-3</v>
      </c>
    </row>
    <row r="29" spans="1:11" x14ac:dyDescent="0.15">
      <c r="A29">
        <v>27</v>
      </c>
      <c r="B29" s="5">
        <f>141.393666666667/1112</f>
        <v>0.12715257793765017</v>
      </c>
      <c r="C29" s="5">
        <f>150.432666666667/1112</f>
        <v>0.13528117505995232</v>
      </c>
      <c r="D29" s="5">
        <f>96.559/1112</f>
        <v>8.6833633093525181E-2</v>
      </c>
      <c r="E29" s="5">
        <f>154.353333333333/1112</f>
        <v>0.13880695443645055</v>
      </c>
      <c r="F29" s="5">
        <f>151.704333333333/1112</f>
        <v>0.13642476019184624</v>
      </c>
      <c r="G29" s="5">
        <f>0.225333333333333/114</f>
        <v>1.9766081871345001E-3</v>
      </c>
      <c r="H29" s="5">
        <f>0.599/114</f>
        <v>5.2543859649122806E-3</v>
      </c>
      <c r="I29" s="5">
        <f t="shared" si="0"/>
        <v>0</v>
      </c>
      <c r="J29" s="5">
        <f>0.441666666666667/114</f>
        <v>3.8742690058479559E-3</v>
      </c>
      <c r="K29" s="5">
        <f>0.377/114</f>
        <v>3.3070175438596489E-3</v>
      </c>
    </row>
    <row r="30" spans="1:11" x14ac:dyDescent="0.15">
      <c r="A30">
        <v>28</v>
      </c>
      <c r="B30" s="5">
        <f>143.629333333333/1112</f>
        <v>0.12916306954436421</v>
      </c>
      <c r="C30" s="5">
        <f>153.953333333333/1112</f>
        <v>0.13844724220623472</v>
      </c>
      <c r="D30" s="5">
        <f>97.3046666666667/1112</f>
        <v>8.7504196642685883E-2</v>
      </c>
      <c r="E30" s="5">
        <f>158.150666666667/1112</f>
        <v>0.14222182254196672</v>
      </c>
      <c r="F30" s="5">
        <f>155.866333333333/1112</f>
        <v>0.14016756594724189</v>
      </c>
      <c r="G30" s="5">
        <f>0.277333333333333/114</f>
        <v>2.4327485380116927E-3</v>
      </c>
      <c r="H30" s="5">
        <f>0.577/114</f>
        <v>5.0614035087719299E-3</v>
      </c>
      <c r="I30" s="5">
        <f t="shared" si="0"/>
        <v>0</v>
      </c>
      <c r="J30" s="5">
        <f>0.437333333333333/114</f>
        <v>3.8362573099415178E-3</v>
      </c>
      <c r="K30" s="5">
        <f>0.391333333333333/114</f>
        <v>3.4327485380116927E-3</v>
      </c>
    </row>
    <row r="31" spans="1:11" x14ac:dyDescent="0.15">
      <c r="A31">
        <v>29</v>
      </c>
      <c r="B31" s="5">
        <f>147.022666666667/1112</f>
        <v>0.13221462829736241</v>
      </c>
      <c r="C31" s="5">
        <f>158.337666666667/1112</f>
        <v>0.14238998800959263</v>
      </c>
      <c r="D31" s="5">
        <f>99.3866666666667/1112</f>
        <v>8.9376498800959256E-2</v>
      </c>
      <c r="E31" s="5">
        <f>162.036/1112</f>
        <v>0.14571582733812949</v>
      </c>
      <c r="F31" s="5">
        <f>160.614333333333/1112</f>
        <v>0.14443735011990377</v>
      </c>
      <c r="G31" s="5">
        <f>0.269333333333333/114</f>
        <v>2.3625730994152015E-3</v>
      </c>
      <c r="H31" s="5">
        <f>0.640333333333333/114</f>
        <v>5.6169590643274821E-3</v>
      </c>
      <c r="I31" s="5">
        <f t="shared" si="0"/>
        <v>0</v>
      </c>
      <c r="J31" s="5">
        <f>0.435666666666667/114</f>
        <v>3.8216374269005875E-3</v>
      </c>
      <c r="K31" s="5">
        <f>0.409666666666667/114</f>
        <v>3.5935672514619912E-3</v>
      </c>
    </row>
    <row r="32" spans="1:11" x14ac:dyDescent="0.15">
      <c r="A32">
        <v>30</v>
      </c>
      <c r="B32" s="5">
        <f>149.607666666667/1112</f>
        <v>0.13453926858513218</v>
      </c>
      <c r="C32" s="5">
        <f>162.967333333333/1112</f>
        <v>0.14655335731414837</v>
      </c>
      <c r="D32" s="5">
        <f>101.034333333333/1112</f>
        <v>9.085821342925629E-2</v>
      </c>
      <c r="E32" s="5">
        <f>166.282/1112</f>
        <v>0.14953417266187052</v>
      </c>
      <c r="F32" s="5">
        <f>164.063666666667/1112</f>
        <v>0.14753926858513219</v>
      </c>
      <c r="G32" s="5">
        <f>0.273333333333333/114</f>
        <v>2.3976608187134471E-3</v>
      </c>
      <c r="H32" s="5">
        <f>0.663666666666667/114</f>
        <v>5.8216374269005871E-3</v>
      </c>
      <c r="I32" s="5">
        <f t="shared" si="0"/>
        <v>0</v>
      </c>
      <c r="J32" s="5">
        <f>0.485666666666667/114</f>
        <v>4.2602339181286577E-3</v>
      </c>
      <c r="K32" s="5">
        <f>0.408/114</f>
        <v>3.5789473684210522E-3</v>
      </c>
    </row>
    <row r="33" spans="1:11" x14ac:dyDescent="0.15">
      <c r="A33">
        <v>31</v>
      </c>
      <c r="B33" s="5">
        <f>153.327666666667/1112</f>
        <v>0.13788459232613939</v>
      </c>
      <c r="C33" s="5">
        <f>165.926/1112</f>
        <v>0.1492140287769784</v>
      </c>
      <c r="D33" s="5">
        <f>102.369666666667/1112</f>
        <v>9.2059052757794066E-2</v>
      </c>
      <c r="E33" s="5">
        <f>170.721/1112</f>
        <v>0.15352607913669064</v>
      </c>
      <c r="F33" s="5">
        <f>168.269/1112</f>
        <v>0.15132104316546763</v>
      </c>
      <c r="G33" s="5">
        <f>0.289333333333333/114</f>
        <v>2.5380116959064299E-3</v>
      </c>
      <c r="H33" s="5">
        <f>0.657666666666667/114</f>
        <v>5.7690058479532187E-3</v>
      </c>
      <c r="I33" s="5">
        <f t="shared" si="0"/>
        <v>0</v>
      </c>
      <c r="J33" s="5">
        <f>0.48/114</f>
        <v>4.2105263157894736E-3</v>
      </c>
      <c r="K33" s="5">
        <f>0.399666666666667/114</f>
        <v>3.5058479532163772E-3</v>
      </c>
    </row>
    <row r="34" spans="1:11" x14ac:dyDescent="0.15">
      <c r="A34">
        <v>32</v>
      </c>
      <c r="B34" s="5">
        <f>154.862/1112</f>
        <v>0.13926438848920863</v>
      </c>
      <c r="C34" s="5">
        <f>170.813666666667/1112</f>
        <v>0.15360941247002427</v>
      </c>
      <c r="D34" s="5">
        <f>103.799333333333/1112</f>
        <v>9.3344724220623204E-2</v>
      </c>
      <c r="E34" s="5">
        <f>173.047666666667/1112</f>
        <v>0.15561840527577966</v>
      </c>
      <c r="F34" s="5">
        <f>171.043333333333/1112</f>
        <v>0.15381594724220593</v>
      </c>
      <c r="G34" s="5">
        <f>0.278666666666667/114</f>
        <v>2.4444444444444474E-3</v>
      </c>
      <c r="H34" s="5">
        <f>0.714333333333333/114</f>
        <v>6.2660818713450271E-3</v>
      </c>
      <c r="I34" s="5">
        <f t="shared" si="0"/>
        <v>0</v>
      </c>
      <c r="J34" s="5">
        <f>0.499/114</f>
        <v>4.3771929824561401E-3</v>
      </c>
      <c r="K34" s="5">
        <f>0.424333333333333/114</f>
        <v>3.7222222222222192E-3</v>
      </c>
    </row>
    <row r="35" spans="1:11" x14ac:dyDescent="0.15">
      <c r="A35">
        <v>33</v>
      </c>
      <c r="B35" s="5">
        <f>157.968/1112</f>
        <v>0.14205755395683453</v>
      </c>
      <c r="C35" s="5">
        <f>174.848666666667/1112</f>
        <v>0.15723800959232642</v>
      </c>
      <c r="D35" s="5">
        <f>105.62/1112</f>
        <v>9.4982014388489217E-2</v>
      </c>
      <c r="E35" s="5">
        <f>177.144/1112</f>
        <v>0.15930215827338129</v>
      </c>
      <c r="F35" s="5">
        <f>175.690666666667/1112</f>
        <v>0.15799520383693075</v>
      </c>
      <c r="G35" s="5">
        <f>0.29/114</f>
        <v>2.543859649122807E-3</v>
      </c>
      <c r="H35" s="5">
        <f>0.737/114</f>
        <v>6.4649122807017541E-3</v>
      </c>
      <c r="I35" s="5">
        <f t="shared" si="0"/>
        <v>0</v>
      </c>
      <c r="J35" s="5">
        <f>0.512333333333333/114</f>
        <v>4.4941520467836225E-3</v>
      </c>
      <c r="K35" s="5">
        <f>0.463333333333333/114</f>
        <v>4.0643274853801141E-3</v>
      </c>
    </row>
    <row r="36" spans="1:11" x14ac:dyDescent="0.15">
      <c r="A36">
        <v>34</v>
      </c>
      <c r="B36" s="5">
        <f>161.514333333333/1112</f>
        <v>0.14524670263788941</v>
      </c>
      <c r="C36" s="5">
        <f>179.035666666667/1112</f>
        <v>0.16100329736211061</v>
      </c>
      <c r="D36" s="5">
        <f>106.717/1112</f>
        <v>9.5968525179856115E-2</v>
      </c>
      <c r="E36" s="5">
        <f>181.128666666667/1112</f>
        <v>0.16288549160671492</v>
      </c>
      <c r="F36" s="5">
        <f>177.745333333333/1112</f>
        <v>0.15984292565947214</v>
      </c>
      <c r="G36" s="5">
        <f>0.296/114</f>
        <v>2.5964912280701754E-3</v>
      </c>
      <c r="H36" s="5">
        <f>0.771666666666667/114</f>
        <v>6.7690058479532187E-3</v>
      </c>
      <c r="I36" s="5">
        <f t="shared" si="0"/>
        <v>0</v>
      </c>
      <c r="J36" s="5">
        <f>0.559/114</f>
        <v>4.9035087719298247E-3</v>
      </c>
      <c r="K36" s="5">
        <f>0.511333333333333/114</f>
        <v>4.4853801169590611E-3</v>
      </c>
    </row>
    <row r="37" spans="1:11" x14ac:dyDescent="0.15">
      <c r="A37">
        <v>35</v>
      </c>
      <c r="B37" s="5">
        <f>162.817666666667/1112</f>
        <v>0.1464187649880099</v>
      </c>
      <c r="C37" s="5">
        <f>181.683/1112</f>
        <v>0.16338399280575538</v>
      </c>
      <c r="D37" s="5">
        <f>107.99/1112</f>
        <v>9.7113309352517982E-2</v>
      </c>
      <c r="E37" s="5">
        <f>184.36/1112</f>
        <v>0.16579136690647484</v>
      </c>
      <c r="F37" s="5">
        <f>181.681666666667/1112</f>
        <v>0.16338279376498832</v>
      </c>
      <c r="G37" s="5">
        <f>0.326/114</f>
        <v>2.8596491228070177E-3</v>
      </c>
      <c r="H37" s="5">
        <f>0.796/114</f>
        <v>6.9824561403508774E-3</v>
      </c>
      <c r="I37" s="5">
        <f t="shared" si="0"/>
        <v>0</v>
      </c>
      <c r="J37" s="5">
        <f>0.548666666666667/114</f>
        <v>4.8128654970760257E-3</v>
      </c>
      <c r="K37" s="5">
        <f>0.487/114</f>
        <v>4.2719298245614034E-3</v>
      </c>
    </row>
    <row r="38" spans="1:11" x14ac:dyDescent="0.15">
      <c r="A38">
        <v>36</v>
      </c>
      <c r="B38" s="5">
        <f>166.173/1112</f>
        <v>0.14943615107913669</v>
      </c>
      <c r="C38" s="5">
        <f>185.776666666667/1112</f>
        <v>0.16706534772182285</v>
      </c>
      <c r="D38" s="5">
        <f>109.729333333333/1112</f>
        <v>9.8677458033572849E-2</v>
      </c>
      <c r="E38" s="5">
        <f>187.223333333333/1112</f>
        <v>0.16836630695443613</v>
      </c>
      <c r="F38" s="5">
        <f>185.676666666667/1112</f>
        <v>0.16697541966426888</v>
      </c>
      <c r="G38" s="5">
        <f>0.342/114</f>
        <v>3.0000000000000001E-3</v>
      </c>
      <c r="H38" s="5">
        <f>0.815333333333333/114</f>
        <v>7.1520467836257281E-3</v>
      </c>
      <c r="I38" s="5">
        <f t="shared" si="0"/>
        <v>0</v>
      </c>
      <c r="J38" s="5">
        <f>0.571/114</f>
        <v>5.0087719298245606E-3</v>
      </c>
      <c r="K38" s="5">
        <f>0.482/114</f>
        <v>4.2280701754385964E-3</v>
      </c>
    </row>
    <row r="39" spans="1:11" x14ac:dyDescent="0.15">
      <c r="A39">
        <v>37</v>
      </c>
      <c r="B39" s="5">
        <f>169.341333333333/1112</f>
        <v>0.15228537170263759</v>
      </c>
      <c r="C39" s="5">
        <f>189.210333333333/1112</f>
        <v>0.17015317745803329</v>
      </c>
      <c r="D39" s="5">
        <f>110.720666666667/1112</f>
        <v>9.9568944844124999E-2</v>
      </c>
      <c r="E39" s="5">
        <f>191.162/1112</f>
        <v>0.17190827338129497</v>
      </c>
      <c r="F39" s="5">
        <f>190.269333333333/1112</f>
        <v>0.17110551558752968</v>
      </c>
      <c r="G39" s="5">
        <f>0.339333333333333/114</f>
        <v>2.9766081871344997E-3</v>
      </c>
      <c r="H39" s="5">
        <f>0.796/114</f>
        <v>6.9824561403508774E-3</v>
      </c>
      <c r="I39" s="5">
        <f t="shared" si="0"/>
        <v>0</v>
      </c>
      <c r="J39" s="5">
        <f>0.566333333333333/114</f>
        <v>4.9678362573099388E-3</v>
      </c>
      <c r="K39" s="5">
        <f>0.542/114</f>
        <v>4.754385964912281E-3</v>
      </c>
    </row>
    <row r="40" spans="1:11" x14ac:dyDescent="0.15">
      <c r="A40">
        <v>38</v>
      </c>
      <c r="B40" s="5">
        <f>171.278333333333/1112</f>
        <v>0.15402727817745773</v>
      </c>
      <c r="C40" s="5">
        <f>193.214666666667/1112</f>
        <v>0.17375419664268615</v>
      </c>
      <c r="D40" s="5">
        <f>112.074/1112</f>
        <v>0.10078597122302158</v>
      </c>
      <c r="E40" s="5">
        <f>194.388666666667/1112</f>
        <v>0.1748099520383696</v>
      </c>
      <c r="F40" s="5">
        <f>192.328666666667/1112</f>
        <v>0.1729574340527581</v>
      </c>
      <c r="G40" s="5">
        <f>0.360666666666667/114</f>
        <v>3.1637426900584828E-3</v>
      </c>
      <c r="H40" s="5">
        <f>0.841666666666667/114</f>
        <v>7.3830409356725173E-3</v>
      </c>
      <c r="I40" s="5">
        <f t="shared" si="0"/>
        <v>0</v>
      </c>
      <c r="J40" s="5">
        <f>0.590333333333333/114</f>
        <v>5.1783625730994123E-3</v>
      </c>
      <c r="K40" s="5">
        <f>0.528666666666667/114</f>
        <v>4.6374269005847978E-3</v>
      </c>
    </row>
    <row r="41" spans="1:11" x14ac:dyDescent="0.15">
      <c r="A41">
        <v>39</v>
      </c>
      <c r="B41" s="5">
        <f>174.324666666667/1112</f>
        <v>0.15676678657074372</v>
      </c>
      <c r="C41" s="5">
        <f>197.395/1112</f>
        <v>0.17751348920863311</v>
      </c>
      <c r="D41" s="5">
        <f>113.284333333333/1112</f>
        <v>0.101874400479616</v>
      </c>
      <c r="E41" s="5">
        <f>198.070333333333/1112</f>
        <v>0.17812080335731384</v>
      </c>
      <c r="F41" s="5">
        <f>195.83/1112</f>
        <v>0.17610611510791369</v>
      </c>
      <c r="G41" s="5">
        <f>0.361333333333333/114</f>
        <v>3.1695906432748508E-3</v>
      </c>
      <c r="H41" s="5">
        <f>0.858333333333333/114</f>
        <v>7.5292397660818682E-3</v>
      </c>
      <c r="I41" s="5">
        <f t="shared" si="0"/>
        <v>0</v>
      </c>
      <c r="J41" s="5">
        <f>0.608666666666667/114</f>
        <v>5.3391812865497103E-3</v>
      </c>
      <c r="K41" s="5">
        <f>0.528/114</f>
        <v>4.6315789473684215E-3</v>
      </c>
    </row>
    <row r="42" spans="1:11" x14ac:dyDescent="0.15">
      <c r="A42">
        <v>40</v>
      </c>
      <c r="B42" s="5">
        <f>176.091/1112</f>
        <v>0.15835521582733814</v>
      </c>
      <c r="C42" s="5">
        <f>200.824666666667/1112</f>
        <v>0.18059772182254227</v>
      </c>
      <c r="D42" s="5">
        <f>114.321666666667/1112</f>
        <v>0.10280725419664298</v>
      </c>
      <c r="E42" s="5">
        <f>201.885666666667/1112</f>
        <v>0.18155185851318975</v>
      </c>
      <c r="F42" s="5">
        <f>199.637333333333/1112</f>
        <v>0.17952997601918436</v>
      </c>
      <c r="G42" s="5">
        <f>0.344666666666667/114</f>
        <v>3.0233918128655E-3</v>
      </c>
      <c r="H42" s="5">
        <f>0.893666666666667/114</f>
        <v>7.8391812865497117E-3</v>
      </c>
      <c r="I42" s="5">
        <f t="shared" si="0"/>
        <v>0</v>
      </c>
      <c r="J42" s="5">
        <f>0.637666666666667/114</f>
        <v>5.5935672514619917E-3</v>
      </c>
      <c r="K42" s="5">
        <f>0.556333333333333/114</f>
        <v>4.8801169590643248E-3</v>
      </c>
    </row>
    <row r="43" spans="1:11" x14ac:dyDescent="0.15">
      <c r="A43">
        <v>41</v>
      </c>
      <c r="B43" s="5">
        <f>178.781333333333/1112</f>
        <v>0.16077458033573111</v>
      </c>
      <c r="C43" s="5">
        <f>204.875333333333/1112</f>
        <v>0.1842404076738606</v>
      </c>
      <c r="D43" s="5">
        <f>115.715/1112</f>
        <v>0.10406025179856115</v>
      </c>
      <c r="E43" s="5">
        <f>204.882666666667/1112</f>
        <v>0.18424700239808184</v>
      </c>
      <c r="F43" s="5">
        <f>201.636333333333/1112</f>
        <v>0.18132763788968795</v>
      </c>
      <c r="G43" s="5">
        <f>0.365333333333333/114</f>
        <v>3.2046783625730964E-3</v>
      </c>
      <c r="H43" s="5">
        <f>0.884333333333333/114</f>
        <v>7.7573099415204644E-3</v>
      </c>
      <c r="I43" s="5">
        <f t="shared" si="0"/>
        <v>0</v>
      </c>
      <c r="J43" s="5">
        <f>0.665333333333333/114</f>
        <v>5.8362573099415178E-3</v>
      </c>
      <c r="K43" s="5">
        <f>0.573333333333333/114</f>
        <v>5.0292397660818685E-3</v>
      </c>
    </row>
    <row r="44" spans="1:11" x14ac:dyDescent="0.15">
      <c r="A44">
        <v>42</v>
      </c>
      <c r="B44" s="5">
        <f>180.624/1112</f>
        <v>0.162431654676259</v>
      </c>
      <c r="C44" s="5">
        <f>208.172333333333/1112</f>
        <v>0.18720533573141457</v>
      </c>
      <c r="D44" s="5">
        <f>116.775/1112</f>
        <v>0.1050134892086331</v>
      </c>
      <c r="E44" s="5">
        <f>207.682333333333/1112</f>
        <v>0.18676468824940018</v>
      </c>
      <c r="F44" s="5">
        <f>206.005/1112</f>
        <v>0.18525629496402876</v>
      </c>
      <c r="G44" s="5">
        <f>0.392/114</f>
        <v>3.4385964912280703E-3</v>
      </c>
      <c r="H44" s="5">
        <f>0.942/114</f>
        <v>8.263157894736842E-3</v>
      </c>
      <c r="I44" s="5">
        <f t="shared" si="0"/>
        <v>0</v>
      </c>
      <c r="J44" s="5">
        <f>0.661/114</f>
        <v>5.798245614035088E-3</v>
      </c>
      <c r="K44" s="5">
        <f>0.552666666666667/114</f>
        <v>4.8479532163742713E-3</v>
      </c>
    </row>
    <row r="45" spans="1:11" x14ac:dyDescent="0.15">
      <c r="A45">
        <v>43</v>
      </c>
      <c r="B45" s="5">
        <f>181.973666666667/1112</f>
        <v>0.16364538369304585</v>
      </c>
      <c r="C45" s="5">
        <f>211.327333333333/1112</f>
        <v>0.19004256594724192</v>
      </c>
      <c r="D45" s="5">
        <f>117.858666666667/1112</f>
        <v>0.10598800959232645</v>
      </c>
      <c r="E45" s="5">
        <f>210.488/1112</f>
        <v>0.18928776978417267</v>
      </c>
      <c r="F45" s="5">
        <f>209.202333333333/1112</f>
        <v>0.18813159472422034</v>
      </c>
      <c r="G45" s="5">
        <f>0.390666666666667/114</f>
        <v>3.4269005847953247E-3</v>
      </c>
      <c r="H45" s="5">
        <f>0.959666666666667/114</f>
        <v>8.4181286549707638E-3</v>
      </c>
      <c r="I45" s="5">
        <f t="shared" si="0"/>
        <v>0</v>
      </c>
      <c r="J45" s="5">
        <f>0.698666666666667/114</f>
        <v>6.1286549707602368E-3</v>
      </c>
      <c r="K45" s="5">
        <f>0.585/114</f>
        <v>5.131578947368421E-3</v>
      </c>
    </row>
    <row r="46" spans="1:11" x14ac:dyDescent="0.15">
      <c r="A46">
        <v>44</v>
      </c>
      <c r="B46" s="5">
        <f>185.140666666667/1112</f>
        <v>0.16649340527577966</v>
      </c>
      <c r="C46" s="5">
        <f>215.576333333333/1112</f>
        <v>0.19386360911270953</v>
      </c>
      <c r="D46" s="5">
        <f>118.969/1112</f>
        <v>0.1069865107913669</v>
      </c>
      <c r="E46" s="5">
        <f>214.478333333333/1112</f>
        <v>0.19287619904076711</v>
      </c>
      <c r="F46" s="5">
        <f>211.475666666667/1112</f>
        <v>0.19017595923261421</v>
      </c>
      <c r="G46" s="5">
        <f>0.4/114</f>
        <v>3.5087719298245615E-3</v>
      </c>
      <c r="H46" s="5">
        <f>0.962333333333333/114</f>
        <v>8.4415204678362551E-3</v>
      </c>
      <c r="I46" s="5">
        <f t="shared" si="0"/>
        <v>0</v>
      </c>
      <c r="J46" s="5">
        <f>0.674/114</f>
        <v>5.9122807017543862E-3</v>
      </c>
      <c r="K46" s="5">
        <f>0.584/114</f>
        <v>5.1228070175438596E-3</v>
      </c>
    </row>
    <row r="47" spans="1:11" x14ac:dyDescent="0.15">
      <c r="A47">
        <v>45</v>
      </c>
      <c r="B47" s="5">
        <f>187.970333333333/1112</f>
        <v>0.16903806954436421</v>
      </c>
      <c r="C47" s="5">
        <f>218.997666666667/1112</f>
        <v>0.19694034772182284</v>
      </c>
      <c r="D47" s="5">
        <f>120.237/1112</f>
        <v>0.10812679856115108</v>
      </c>
      <c r="E47" s="5">
        <f>216.753333333333/1112</f>
        <v>0.19492206235011961</v>
      </c>
      <c r="F47" s="5">
        <f>214.151666666667/1112</f>
        <v>0.1925824340527581</v>
      </c>
      <c r="G47" s="5">
        <f>0.408666666666667/114</f>
        <v>3.5847953216374298E-3</v>
      </c>
      <c r="H47" s="5">
        <f>0.977333333333333/114</f>
        <v>8.5730994152046752E-3</v>
      </c>
      <c r="I47" s="5">
        <f t="shared" si="0"/>
        <v>0</v>
      </c>
      <c r="J47" s="5">
        <f>0.708333333333333/114</f>
        <v>6.2134502923976579E-3</v>
      </c>
      <c r="K47" s="5">
        <f>0.636666666666667/114</f>
        <v>5.5847953216374303E-3</v>
      </c>
    </row>
    <row r="48" spans="1:11" x14ac:dyDescent="0.15">
      <c r="A48">
        <v>46</v>
      </c>
      <c r="B48" s="5">
        <f>190.290333333333/1112</f>
        <v>0.171124400479616</v>
      </c>
      <c r="C48" s="5">
        <f>220.647666666667/1112</f>
        <v>0.19842416067146312</v>
      </c>
      <c r="D48" s="5">
        <f>121.291333333333/1112</f>
        <v>0.10907494004796132</v>
      </c>
      <c r="E48" s="5">
        <f>221.304666666667/1112</f>
        <v>0.19901498800959264</v>
      </c>
      <c r="F48" s="5">
        <f>218.272666666667/1112</f>
        <v>0.19628836930455665</v>
      </c>
      <c r="G48" s="5">
        <f>0.421333333333333/114</f>
        <v>3.695906432748535E-3</v>
      </c>
      <c r="H48" s="5">
        <f>1.018/114</f>
        <v>8.9298245614035082E-3</v>
      </c>
      <c r="I48" s="5">
        <f t="shared" si="0"/>
        <v>0</v>
      </c>
      <c r="J48" s="5">
        <f>0.679/114</f>
        <v>5.9561403508771931E-3</v>
      </c>
      <c r="K48" s="5">
        <f>0.619/114</f>
        <v>5.4298245614035085E-3</v>
      </c>
    </row>
    <row r="49" spans="1:11" x14ac:dyDescent="0.15">
      <c r="A49">
        <v>47</v>
      </c>
      <c r="B49" s="5">
        <f>191.66/1112</f>
        <v>0.17235611510791365</v>
      </c>
      <c r="C49" s="5">
        <f>224.815/1112</f>
        <v>0.20217176258992806</v>
      </c>
      <c r="D49" s="5">
        <f>122.423/1112</f>
        <v>0.11009262589928058</v>
      </c>
      <c r="E49" s="5">
        <f>224.137666666667/1112</f>
        <v>0.20156264988009623</v>
      </c>
      <c r="F49" s="5">
        <f>220.393/1112</f>
        <v>0.19819514388489209</v>
      </c>
      <c r="G49" s="5">
        <f>0.456666666666667/114</f>
        <v>4.0058479532163772E-3</v>
      </c>
      <c r="H49" s="5">
        <f>1.03233333333333/114</f>
        <v>9.0555555555555268E-3</v>
      </c>
      <c r="I49" s="5">
        <f t="shared" si="0"/>
        <v>0</v>
      </c>
      <c r="J49" s="5">
        <f>0.722333333333333/114</f>
        <v>6.3362573099415183E-3</v>
      </c>
      <c r="K49" s="5">
        <f>0.647333333333333/114</f>
        <v>5.6783625730994118E-3</v>
      </c>
    </row>
    <row r="50" spans="1:11" x14ac:dyDescent="0.15">
      <c r="A50">
        <v>48</v>
      </c>
      <c r="B50" s="5">
        <f>194.061666666667/1112</f>
        <v>0.17451588729016818</v>
      </c>
      <c r="C50" s="5">
        <f>228.014666666667/1112</f>
        <v>0.20504916067146314</v>
      </c>
      <c r="D50" s="5">
        <f>123.442/1112</f>
        <v>0.11100899280575539</v>
      </c>
      <c r="E50" s="5">
        <f>227.052/1112</f>
        <v>0.20418345323741008</v>
      </c>
      <c r="F50" s="5">
        <f>224.140666666667/1112</f>
        <v>0.20156534772182283</v>
      </c>
      <c r="G50" s="5">
        <f>0.437333333333333/114</f>
        <v>3.8362573099415178E-3</v>
      </c>
      <c r="H50" s="5">
        <f>1.05266666666667/114</f>
        <v>9.2339181286550005E-3</v>
      </c>
      <c r="I50" s="5">
        <f t="shared" si="0"/>
        <v>0</v>
      </c>
      <c r="J50" s="5">
        <f>0.760333333333333/114</f>
        <v>6.6695906432748505E-3</v>
      </c>
      <c r="K50" s="5">
        <f>0.673333333333333/114</f>
        <v>5.906432748538009E-3</v>
      </c>
    </row>
    <row r="51" spans="1:11" x14ac:dyDescent="0.15">
      <c r="A51">
        <v>49</v>
      </c>
      <c r="B51" s="5">
        <f>195.314666666667/1112</f>
        <v>0.17564268585131923</v>
      </c>
      <c r="C51" s="5">
        <f>232.082333333333/1112</f>
        <v>0.20870713429256565</v>
      </c>
      <c r="D51" s="5">
        <f>124.187333333333/1112</f>
        <v>0.11167925659472393</v>
      </c>
      <c r="E51" s="5">
        <f>228.710666666667/1112</f>
        <v>0.20567505995203869</v>
      </c>
      <c r="F51" s="5">
        <f>226.457666666667/1112</f>
        <v>0.20364898081534802</v>
      </c>
      <c r="G51" s="5">
        <f>0.454/114</f>
        <v>3.9824561403508773E-3</v>
      </c>
      <c r="H51" s="5">
        <f>1.09/114</f>
        <v>9.5614035087719304E-3</v>
      </c>
      <c r="I51" s="5">
        <f t="shared" si="0"/>
        <v>0</v>
      </c>
      <c r="J51" s="5">
        <f>0.757/114</f>
        <v>6.6403508771929829E-3</v>
      </c>
      <c r="K51" s="5">
        <f>0.699/114</f>
        <v>6.1315789473684211E-3</v>
      </c>
    </row>
    <row r="52" spans="1:11" x14ac:dyDescent="0.15">
      <c r="A52">
        <v>50</v>
      </c>
      <c r="B52" s="5">
        <f>198.225/1112</f>
        <v>0.17825989208633092</v>
      </c>
      <c r="C52" s="5">
        <f>235.009/1112</f>
        <v>0.21133902877697841</v>
      </c>
      <c r="D52" s="5">
        <f>125.388/1112</f>
        <v>0.1127589928057554</v>
      </c>
      <c r="E52" s="5">
        <f>232.022/1112</f>
        <v>0.20865287769784172</v>
      </c>
      <c r="F52" s="5">
        <f>229.809666666667/1112</f>
        <v>0.20666336930455664</v>
      </c>
      <c r="G52" s="5">
        <f>0.446666666666667/114</f>
        <v>3.9181286549707633E-3</v>
      </c>
      <c r="H52" s="5">
        <f>1.09666666666667/114</f>
        <v>9.619883040935702E-3</v>
      </c>
      <c r="I52" s="5">
        <f t="shared" si="0"/>
        <v>0</v>
      </c>
      <c r="J52" s="5">
        <f>0.782666666666667/114</f>
        <v>6.8654970760233941E-3</v>
      </c>
      <c r="K52" s="5">
        <f>0.67/114</f>
        <v>5.8771929824561406E-3</v>
      </c>
    </row>
    <row r="53" spans="1:11" x14ac:dyDescent="0.15">
      <c r="A53">
        <v>51</v>
      </c>
      <c r="B53" s="5">
        <f>200.086666666667/1112</f>
        <v>0.17993405275779409</v>
      </c>
      <c r="C53" s="5">
        <f>236.590666666667/1112</f>
        <v>0.21276139088729049</v>
      </c>
      <c r="D53" s="5">
        <f>126.25/1112</f>
        <v>0.11353417266187051</v>
      </c>
      <c r="E53" s="5">
        <f>235.073333333333/1112</f>
        <v>0.21139688249400451</v>
      </c>
      <c r="F53" s="5">
        <f>232.146333333333/1112</f>
        <v>0.20876468824940017</v>
      </c>
      <c r="G53" s="5">
        <f>0.464666666666667/114</f>
        <v>4.0760233918128684E-3</v>
      </c>
      <c r="H53" s="5">
        <f>1.10933333333333/114</f>
        <v>9.7309941520467534E-3</v>
      </c>
      <c r="I53" s="5">
        <f t="shared" si="0"/>
        <v>0</v>
      </c>
      <c r="J53" s="5">
        <f>0.793333333333333/114</f>
        <v>6.9590643274853774E-3</v>
      </c>
      <c r="K53" s="5">
        <f>0.697/114</f>
        <v>6.1140350877192974E-3</v>
      </c>
    </row>
    <row r="54" spans="1:11" x14ac:dyDescent="0.15">
      <c r="A54">
        <v>52</v>
      </c>
      <c r="B54" s="5">
        <f>202.188333333333/1112</f>
        <v>0.18182404076738579</v>
      </c>
      <c r="C54" s="5">
        <f>240.741666666667/1112</f>
        <v>0.21649430455635521</v>
      </c>
      <c r="D54" s="5">
        <f>127.202/1112</f>
        <v>0.11439028776978417</v>
      </c>
      <c r="E54" s="5">
        <f>239.066666666667/1112</f>
        <v>0.21498800959232645</v>
      </c>
      <c r="F54" s="5">
        <f>234.627/1112</f>
        <v>0.2109955035971223</v>
      </c>
      <c r="G54" s="5">
        <f>0.446666666666667/114</f>
        <v>3.9181286549707633E-3</v>
      </c>
      <c r="H54" s="5">
        <f>1.109/114</f>
        <v>9.7280701754385961E-3</v>
      </c>
      <c r="I54" s="5">
        <f t="shared" si="0"/>
        <v>0</v>
      </c>
      <c r="J54" s="5">
        <f>0.8/114</f>
        <v>7.0175438596491229E-3</v>
      </c>
      <c r="K54" s="5">
        <f>0.717666666666667/114</f>
        <v>6.2953216374269034E-3</v>
      </c>
    </row>
    <row r="55" spans="1:11" x14ac:dyDescent="0.15">
      <c r="A55">
        <v>53</v>
      </c>
      <c r="B55" s="5">
        <f>203.700333333333/1112</f>
        <v>0.18318375299760162</v>
      </c>
      <c r="C55" s="5">
        <f>243.692333333333/1112</f>
        <v>0.21914778177458005</v>
      </c>
      <c r="D55" s="5">
        <f>128.130666666667/1112</f>
        <v>0.11522541966426889</v>
      </c>
      <c r="E55" s="5">
        <f>240.439333333333/1112</f>
        <v>0.21622242206234982</v>
      </c>
      <c r="F55" s="5">
        <f>236.322666666667/1112</f>
        <v>0.21252038369304588</v>
      </c>
      <c r="G55" s="5">
        <f>0.464/114</f>
        <v>4.0701754385964913E-3</v>
      </c>
      <c r="H55" s="5">
        <f>1.13133333333333/114</f>
        <v>9.9239766081871059E-3</v>
      </c>
      <c r="I55" s="5">
        <f t="shared" si="0"/>
        <v>0</v>
      </c>
      <c r="J55" s="5">
        <f>0.789/114</f>
        <v>6.9210526315789476E-3</v>
      </c>
      <c r="K55" s="5">
        <f>0.74/114</f>
        <v>6.4912280701754383E-3</v>
      </c>
    </row>
    <row r="56" spans="1:11" x14ac:dyDescent="0.15">
      <c r="A56">
        <v>54</v>
      </c>
      <c r="B56" s="5">
        <f>205.757666666667/1112</f>
        <v>0.18503387290167897</v>
      </c>
      <c r="C56" s="5">
        <f>248.223/1112</f>
        <v>0.22322212230215829</v>
      </c>
      <c r="D56" s="5">
        <f>129.116/1112</f>
        <v>0.11611151079136692</v>
      </c>
      <c r="E56" s="5">
        <f>243.968/1112</f>
        <v>0.2193956834532374</v>
      </c>
      <c r="F56" s="5">
        <f>241.060666666667/1112</f>
        <v>0.21678117505995234</v>
      </c>
      <c r="G56" s="5">
        <f>0.486/114</f>
        <v>4.263157894736842E-3</v>
      </c>
      <c r="H56" s="5">
        <f>1.17133333333333/114</f>
        <v>1.0274853801169562E-2</v>
      </c>
      <c r="I56" s="5">
        <f t="shared" si="0"/>
        <v>0</v>
      </c>
      <c r="J56" s="5">
        <f>0.873333333333333/114</f>
        <v>7.6608187134502891E-3</v>
      </c>
      <c r="K56" s="5">
        <f>0.739/114</f>
        <v>6.4824561403508769E-3</v>
      </c>
    </row>
    <row r="57" spans="1:11" x14ac:dyDescent="0.15">
      <c r="A57">
        <v>55</v>
      </c>
      <c r="B57" s="5">
        <f>207.347666666667/1112</f>
        <v>0.18646372901678687</v>
      </c>
      <c r="C57" s="5">
        <f>251.370333333333/1112</f>
        <v>0.22605245803357285</v>
      </c>
      <c r="D57" s="5">
        <f>129.923666666667/1112</f>
        <v>0.11683782973621133</v>
      </c>
      <c r="E57" s="5">
        <f>246.595/1112</f>
        <v>0.22175809352517986</v>
      </c>
      <c r="F57" s="5">
        <f>243.271/1112</f>
        <v>0.21876888489208632</v>
      </c>
      <c r="G57" s="5">
        <f>0.483333333333333/114</f>
        <v>4.239766081871342E-3</v>
      </c>
      <c r="H57" s="5">
        <f>1.19233333333333/114</f>
        <v>1.045906432748535E-2</v>
      </c>
      <c r="I57" s="5">
        <f t="shared" si="0"/>
        <v>0</v>
      </c>
      <c r="J57" s="5">
        <f>0.863333333333333/114</f>
        <v>7.5730994152046751E-3</v>
      </c>
      <c r="K57" s="5">
        <f>0.765/114</f>
        <v>6.7105263157894741E-3</v>
      </c>
    </row>
    <row r="58" spans="1:11" x14ac:dyDescent="0.15">
      <c r="A58">
        <v>56</v>
      </c>
      <c r="B58" s="5">
        <f>209.477333333333/1112</f>
        <v>0.18837889688249371</v>
      </c>
      <c r="C58" s="5">
        <f>254.208333333333/1112</f>
        <v>0.22860461630695414</v>
      </c>
      <c r="D58" s="5">
        <f>130.807666666667/1112</f>
        <v>0.11763279376498829</v>
      </c>
      <c r="E58" s="5">
        <f>249.529666666667/1112</f>
        <v>0.22439718225419694</v>
      </c>
      <c r="F58" s="5">
        <f>245.768333333333/1112</f>
        <v>0.22101468824940018</v>
      </c>
      <c r="G58" s="5">
        <f>0.495333333333333/114</f>
        <v>4.3450292397660788E-3</v>
      </c>
      <c r="H58" s="5">
        <f>1.20166666666667/114</f>
        <v>1.0540935672514649E-2</v>
      </c>
      <c r="I58" s="5">
        <f t="shared" si="0"/>
        <v>0</v>
      </c>
      <c r="J58" s="5">
        <f>0.898666666666667/114</f>
        <v>7.8830409356725178E-3</v>
      </c>
      <c r="K58" s="5">
        <f>0.763333333333333/114</f>
        <v>6.6959064327485347E-3</v>
      </c>
    </row>
    <row r="59" spans="1:11" x14ac:dyDescent="0.15">
      <c r="A59">
        <v>57</v>
      </c>
      <c r="B59" s="5">
        <f>212.234333333333/1112</f>
        <v>0.1908582134292563</v>
      </c>
      <c r="C59" s="5">
        <f>256.21/1112</f>
        <v>0.23040467625899277</v>
      </c>
      <c r="D59" s="5">
        <f>131.656/1112</f>
        <v>0.11839568345323742</v>
      </c>
      <c r="E59" s="5">
        <f>251.716333333333/1112</f>
        <v>0.22636360911270953</v>
      </c>
      <c r="F59" s="5">
        <f>248.475333333333/1112</f>
        <v>0.22344904076738578</v>
      </c>
      <c r="G59" s="5">
        <f>0.534666666666667/114</f>
        <v>4.6900584795321661E-3</v>
      </c>
      <c r="H59" s="5">
        <f>1.23466666666667/114</f>
        <v>1.0830409356725175E-2</v>
      </c>
      <c r="I59" s="5">
        <f t="shared" si="0"/>
        <v>0</v>
      </c>
      <c r="J59" s="5">
        <f>0.866666666666667/114</f>
        <v>7.6023391812865531E-3</v>
      </c>
      <c r="K59" s="5">
        <f>0.797666666666667/114</f>
        <v>6.9970760233918159E-3</v>
      </c>
    </row>
    <row r="60" spans="1:11" x14ac:dyDescent="0.15">
      <c r="A60">
        <v>58</v>
      </c>
      <c r="B60" s="5">
        <f>213.016666666667/1112</f>
        <v>0.19156175059952069</v>
      </c>
      <c r="C60" s="5">
        <f>259.668/1112</f>
        <v>0.23351438848920864</v>
      </c>
      <c r="D60" s="5">
        <f>132.514/1112</f>
        <v>0.11916726618705037</v>
      </c>
      <c r="E60" s="5">
        <f>253.856666666667/1112</f>
        <v>0.22828836930455665</v>
      </c>
      <c r="F60" s="5">
        <f>251.541333333333/1112</f>
        <v>0.22620623501199011</v>
      </c>
      <c r="G60" s="5">
        <f>0.503333333333333/114</f>
        <v>4.4152046783625699E-3</v>
      </c>
      <c r="H60" s="5">
        <f>1.24066666666667/114</f>
        <v>1.0883040935672543E-2</v>
      </c>
      <c r="I60" s="5">
        <f t="shared" si="0"/>
        <v>0</v>
      </c>
      <c r="J60" s="5">
        <f>0.925/114</f>
        <v>8.1140350877192992E-3</v>
      </c>
      <c r="K60" s="5">
        <f>0.81/114</f>
        <v>7.1052631578947369E-3</v>
      </c>
    </row>
    <row r="61" spans="1:11" x14ac:dyDescent="0.15">
      <c r="A61">
        <v>59</v>
      </c>
      <c r="B61" s="5">
        <f>214.970666666667/1112</f>
        <v>0.19331894484412501</v>
      </c>
      <c r="C61" s="5">
        <f>262.521666666667/1112</f>
        <v>0.23608063549160702</v>
      </c>
      <c r="D61" s="5">
        <f>133.313/1112</f>
        <v>0.11988579136690647</v>
      </c>
      <c r="E61" s="5">
        <f>257.703/1112</f>
        <v>0.23174730215827335</v>
      </c>
      <c r="F61" s="5">
        <f>253.731666666667/1112</f>
        <v>0.22817595923261422</v>
      </c>
      <c r="G61" s="5">
        <f>0.506666666666667/114</f>
        <v>4.4444444444444479E-3</v>
      </c>
      <c r="H61" s="5">
        <f>1.29666666666667/114</f>
        <v>1.1374269005847983E-2</v>
      </c>
      <c r="I61" s="5">
        <f t="shared" si="0"/>
        <v>0</v>
      </c>
      <c r="J61" s="5">
        <f>0.925666666666667/114</f>
        <v>8.1198830409356746E-3</v>
      </c>
      <c r="K61" s="5">
        <f>0.798666666666667/114</f>
        <v>7.0058479532163773E-3</v>
      </c>
    </row>
    <row r="62" spans="1:11" x14ac:dyDescent="0.15">
      <c r="A62">
        <v>60</v>
      </c>
      <c r="B62" s="5">
        <f>216.392/1112</f>
        <v>0.19459712230215828</v>
      </c>
      <c r="C62" s="5">
        <f>265.154333333333/1112</f>
        <v>0.23844814148681026</v>
      </c>
      <c r="D62" s="5">
        <f>134.211333333333/1112</f>
        <v>0.12069364508393254</v>
      </c>
      <c r="E62" s="5">
        <f>259.894666666667/1112</f>
        <v>0.23371822541966455</v>
      </c>
      <c r="F62" s="5">
        <f>255.463333333333/1112</f>
        <v>0.22973321342925629</v>
      </c>
      <c r="G62" s="5">
        <f>0.548/114</f>
        <v>4.8070175438596494E-3</v>
      </c>
      <c r="H62" s="5">
        <f>1.282/114</f>
        <v>1.124561403508772E-2</v>
      </c>
      <c r="I62" s="5">
        <f t="shared" si="0"/>
        <v>0</v>
      </c>
      <c r="J62" s="5">
        <f>0.909/114</f>
        <v>7.9736842105263168E-3</v>
      </c>
      <c r="K62" s="5">
        <f>0.833/114</f>
        <v>7.307017543859649E-3</v>
      </c>
    </row>
    <row r="63" spans="1:11" x14ac:dyDescent="0.15">
      <c r="A63">
        <v>61</v>
      </c>
      <c r="B63" s="5">
        <f>218.156333333333/1112</f>
        <v>0.19618375299760163</v>
      </c>
      <c r="C63" s="5">
        <f>269.404/1112</f>
        <v>0.24226978417266187</v>
      </c>
      <c r="D63" s="5">
        <f>135/1112</f>
        <v>0.12140287769784172</v>
      </c>
      <c r="E63" s="5">
        <f>262.602/1112</f>
        <v>0.23615287769784171</v>
      </c>
      <c r="F63" s="5">
        <f>258.231333333333/1112</f>
        <v>0.23222242206234983</v>
      </c>
      <c r="G63" s="5">
        <f>0.562666666666667/114</f>
        <v>4.9356725146198861E-3</v>
      </c>
      <c r="H63" s="5">
        <f>1.295/114</f>
        <v>1.1359649122807017E-2</v>
      </c>
      <c r="I63" s="5">
        <f t="shared" si="0"/>
        <v>0</v>
      </c>
      <c r="J63" s="5">
        <f>0.938333333333333/114</f>
        <v>8.2309941520467816E-3</v>
      </c>
      <c r="K63" s="5">
        <f>0.819666666666667/114</f>
        <v>7.1900584795321666E-3</v>
      </c>
    </row>
    <row r="64" spans="1:11" x14ac:dyDescent="0.15">
      <c r="A64">
        <v>62</v>
      </c>
      <c r="B64" s="5">
        <f>219.065/1112</f>
        <v>0.19700089928057554</v>
      </c>
      <c r="C64" s="5">
        <f>270.980333333333/1112</f>
        <v>0.24368735011990381</v>
      </c>
      <c r="D64" s="5"/>
      <c r="E64" s="5">
        <f>264.630666666667/1112</f>
        <v>0.23797721822541998</v>
      </c>
      <c r="F64" s="5">
        <f>259.225/1112</f>
        <v>0.23311600719424463</v>
      </c>
      <c r="G64" s="5">
        <f>0.552666666666667/114</f>
        <v>4.8479532163742713E-3</v>
      </c>
      <c r="H64" s="5">
        <f>1.347/114</f>
        <v>1.181578947368421E-2</v>
      </c>
      <c r="I64" s="5"/>
      <c r="J64" s="5">
        <f>0.945666666666667/114</f>
        <v>8.2953216374269043E-3</v>
      </c>
      <c r="K64" s="5">
        <f>0.844333333333333/114</f>
        <v>7.4064327485380095E-3</v>
      </c>
    </row>
    <row r="65" spans="1:11" x14ac:dyDescent="0.15">
      <c r="A65">
        <v>63</v>
      </c>
      <c r="B65" s="5">
        <f>221.847666666667/1112</f>
        <v>0.19950329736211062</v>
      </c>
      <c r="C65" s="5">
        <f>273.648666666667/1112</f>
        <v>0.24608693045563579</v>
      </c>
      <c r="D65" s="5"/>
      <c r="E65" s="5">
        <f>267.593666666667/1112</f>
        <v>0.2406417865707437</v>
      </c>
      <c r="F65" s="5">
        <f>262.789/1112</f>
        <v>0.23632104316546762</v>
      </c>
      <c r="G65" s="5">
        <f>0.558666666666667/114</f>
        <v>4.9005847953216405E-3</v>
      </c>
      <c r="H65" s="5">
        <f>1.353/114</f>
        <v>1.1868421052631578E-2</v>
      </c>
      <c r="I65" s="5"/>
      <c r="J65" s="5">
        <f>0.958/114</f>
        <v>8.4035087719298244E-3</v>
      </c>
      <c r="K65" s="5">
        <f>0.859666666666667/114</f>
        <v>7.5409356725146233E-3</v>
      </c>
    </row>
    <row r="66" spans="1:11" x14ac:dyDescent="0.15">
      <c r="A66">
        <v>64</v>
      </c>
      <c r="B66" s="5">
        <f>222.989666666667/1112</f>
        <v>0.20053027577937679</v>
      </c>
      <c r="C66" s="5">
        <f>277.457333333333/1112</f>
        <v>0.24951199040767355</v>
      </c>
      <c r="D66" s="5"/>
      <c r="E66" s="5">
        <f>269.800666666667/1112</f>
        <v>0.24262649880095952</v>
      </c>
      <c r="F66" s="5">
        <f>265.515333333333/1112</f>
        <v>0.23877278177458003</v>
      </c>
      <c r="G66" s="5">
        <f>0.586/114</f>
        <v>5.1403508771929824E-3</v>
      </c>
      <c r="H66" s="5">
        <f>1.382/114</f>
        <v>1.2122807017543858E-2</v>
      </c>
      <c r="I66" s="5"/>
      <c r="J66" s="5">
        <f>0.983/114</f>
        <v>8.6228070175438602E-3</v>
      </c>
      <c r="K66" s="5">
        <f>0.888/114</f>
        <v>7.7894736842105267E-3</v>
      </c>
    </row>
    <row r="67" spans="1:11" x14ac:dyDescent="0.15">
      <c r="A67">
        <v>65</v>
      </c>
      <c r="B67" s="5">
        <f>224.797/1112</f>
        <v>0.20215557553956834</v>
      </c>
      <c r="C67" s="5">
        <f>279.470666666667/1112</f>
        <v>0.25132254196642717</v>
      </c>
      <c r="D67" s="5"/>
      <c r="E67" s="5">
        <f>272.642333333333/1112</f>
        <v>0.24518195443645055</v>
      </c>
      <c r="F67" s="5">
        <f>268.570666666667/1112</f>
        <v>0.24152038369304588</v>
      </c>
      <c r="G67" s="5">
        <f>0.582/114</f>
        <v>5.1052631578947369E-3</v>
      </c>
      <c r="H67" s="5">
        <f>1.41133333333333/114</f>
        <v>1.2380116959064299E-2</v>
      </c>
      <c r="I67" s="5"/>
      <c r="J67" s="5">
        <f>0.993666666666667/114</f>
        <v>8.7163742690058513E-3</v>
      </c>
      <c r="K67" s="5">
        <f>0.895/114</f>
        <v>7.8508771929824556E-3</v>
      </c>
    </row>
    <row r="68" spans="1:11" x14ac:dyDescent="0.15">
      <c r="A68">
        <v>66</v>
      </c>
      <c r="B68" s="5">
        <f>226.193/1112</f>
        <v>0.2034109712230216</v>
      </c>
      <c r="C68" s="5">
        <f>282.364/1112</f>
        <v>0.25392446043165467</v>
      </c>
      <c r="D68" s="5"/>
      <c r="E68" s="5">
        <f>274.519666666667/1112</f>
        <v>0.24687020383693073</v>
      </c>
      <c r="F68" s="5">
        <f>271.362666666667/1112</f>
        <v>0.24403117505995234</v>
      </c>
      <c r="G68" s="5">
        <f>0.606/114</f>
        <v>5.3157894736842104E-3</v>
      </c>
      <c r="H68" s="5">
        <f>1.38966666666667/114</f>
        <v>1.2190058479532192E-2</v>
      </c>
      <c r="I68" s="5"/>
      <c r="J68" s="5">
        <f>1.018/114</f>
        <v>8.9298245614035082E-3</v>
      </c>
      <c r="K68" s="5">
        <f>0.893666666666667/114</f>
        <v>7.8391812865497117E-3</v>
      </c>
    </row>
    <row r="69" spans="1:11" x14ac:dyDescent="0.15">
      <c r="A69">
        <v>67</v>
      </c>
      <c r="B69" s="5">
        <f>228.165333333333/1112</f>
        <v>0.20518465227817714</v>
      </c>
      <c r="C69" s="5">
        <f>285.246333333333/1112</f>
        <v>0.25651648681055123</v>
      </c>
      <c r="D69" s="5"/>
      <c r="E69" s="5">
        <f>277.780333333333/1112</f>
        <v>0.24980245803357282</v>
      </c>
      <c r="F69" s="5">
        <f>272.889/1112</f>
        <v>0.24540377697841728</v>
      </c>
      <c r="G69" s="5">
        <f>0.587333333333333/114</f>
        <v>5.1520467836257281E-3</v>
      </c>
      <c r="H69" s="5">
        <f>1.42366666666667/114</f>
        <v>1.2488304093567281E-2</v>
      </c>
      <c r="I69" s="5"/>
      <c r="J69" s="5">
        <f>1.00766666666667/114</f>
        <v>8.8391812865497368E-3</v>
      </c>
      <c r="K69" s="5">
        <f>0.907333333333333/114</f>
        <v>7.9590643274853774E-3</v>
      </c>
    </row>
    <row r="70" spans="1:11" x14ac:dyDescent="0.15">
      <c r="A70">
        <v>68</v>
      </c>
      <c r="B70" s="5">
        <f>229.424333333333/1112</f>
        <v>0.20631684652278148</v>
      </c>
      <c r="C70" s="5">
        <f>286.771666666667/1112</f>
        <v>0.25788818944844155</v>
      </c>
      <c r="D70" s="5"/>
      <c r="E70" s="5">
        <f>280.162/1112</f>
        <v>0.25194424460431653</v>
      </c>
      <c r="F70" s="5">
        <f>274.443666666667/1112</f>
        <v>0.24680185851318975</v>
      </c>
      <c r="G70" s="5">
        <f>0.636666666666667/114</f>
        <v>5.5847953216374303E-3</v>
      </c>
      <c r="H70" s="5">
        <f>1.44366666666667/114</f>
        <v>1.2663742690058509E-2</v>
      </c>
      <c r="I70" s="5"/>
      <c r="J70" s="5">
        <f>1.04066666666667/114</f>
        <v>9.128654970760262E-3</v>
      </c>
      <c r="K70" s="5">
        <f>0.925/114</f>
        <v>8.1140350877192992E-3</v>
      </c>
    </row>
    <row r="71" spans="1:11" x14ac:dyDescent="0.15">
      <c r="A71">
        <v>69</v>
      </c>
      <c r="B71" s="5">
        <f>231.295/1112</f>
        <v>0.20799910071942446</v>
      </c>
      <c r="C71" s="5">
        <f>290.270333333333/1112</f>
        <v>0.26103447242206201</v>
      </c>
      <c r="D71" s="5"/>
      <c r="E71" s="5">
        <f>282.098/1112</f>
        <v>0.25368525179856116</v>
      </c>
      <c r="F71" s="5">
        <f>277.516333333333/1112</f>
        <v>0.24956504796163043</v>
      </c>
      <c r="G71" s="5">
        <f>0.613333333333333/114</f>
        <v>5.3801169590643244E-3</v>
      </c>
      <c r="H71" s="5">
        <f>1.445/114</f>
        <v>1.2675438596491229E-2</v>
      </c>
      <c r="I71" s="5"/>
      <c r="J71" s="5">
        <f>1.06/114</f>
        <v>9.2982456140350885E-3</v>
      </c>
      <c r="K71" s="5">
        <f>0.936333333333333/114</f>
        <v>8.2134502923976588E-3</v>
      </c>
    </row>
    <row r="72" spans="1:11" x14ac:dyDescent="0.15">
      <c r="A72">
        <v>70</v>
      </c>
      <c r="B72" s="5">
        <f>232.574333333333/1112</f>
        <v>0.20914958033573111</v>
      </c>
      <c r="C72" s="5">
        <f>292.5/1112</f>
        <v>0.26303956834532372</v>
      </c>
      <c r="D72" s="5"/>
      <c r="E72" s="5">
        <f>284.064333333333/1112</f>
        <v>0.25545353717026353</v>
      </c>
      <c r="F72" s="5">
        <f>280.460333333333/1112</f>
        <v>0.2522125299760189</v>
      </c>
      <c r="G72" s="5">
        <f>0.650666666666667/114</f>
        <v>5.7076023391812889E-3</v>
      </c>
      <c r="H72" s="5">
        <f>1.501/114</f>
        <v>1.3166666666666665E-2</v>
      </c>
      <c r="I72" s="5"/>
      <c r="J72" s="5">
        <f>1.07866666666667/114</f>
        <v>9.4619883040935968E-3</v>
      </c>
      <c r="K72" s="5">
        <f>0.955333333333333/114</f>
        <v>8.3801169590643244E-3</v>
      </c>
    </row>
    <row r="73" spans="1:11" x14ac:dyDescent="0.15">
      <c r="A73">
        <v>71</v>
      </c>
      <c r="B73" s="5">
        <f>235.140666666667/1112</f>
        <v>0.21145743405275808</v>
      </c>
      <c r="C73" s="5">
        <f>295.541/1112</f>
        <v>0.26577428057553959</v>
      </c>
      <c r="D73" s="5"/>
      <c r="E73" s="5">
        <f>287.095666666667/1112</f>
        <v>0.25817955635491635</v>
      </c>
      <c r="F73" s="5">
        <f>282.529333333333/1112</f>
        <v>0.25407314148681026</v>
      </c>
      <c r="G73" s="5">
        <f>0.634666666666667/114</f>
        <v>5.5672514619883075E-3</v>
      </c>
      <c r="H73" s="5">
        <f>1.50866666666667/114</f>
        <v>1.3233918128654999E-2</v>
      </c>
      <c r="I73" s="5"/>
      <c r="J73" s="5">
        <f>1.104/114</f>
        <v>9.6842105263157899E-3</v>
      </c>
      <c r="K73" s="5">
        <f>0.945/114</f>
        <v>8.2894736842105254E-3</v>
      </c>
    </row>
    <row r="74" spans="1:11" x14ac:dyDescent="0.15">
      <c r="A74">
        <v>72</v>
      </c>
      <c r="B74" s="5">
        <f>235.877333333333/1112</f>
        <v>0.21211990407673831</v>
      </c>
      <c r="C74" s="5">
        <f>297.468666666667/1112</f>
        <v>0.26750779376498829</v>
      </c>
      <c r="D74" s="5"/>
      <c r="E74" s="5">
        <f>288.336/1112</f>
        <v>0.259294964028777</v>
      </c>
      <c r="F74" s="5">
        <f>284.408666666667/1112</f>
        <v>0.25576318944844156</v>
      </c>
      <c r="G74" s="5">
        <f>0.634/114</f>
        <v>5.5614035087719303E-3</v>
      </c>
      <c r="H74" s="5">
        <f>1.55166666666667/114</f>
        <v>1.3611111111111142E-2</v>
      </c>
      <c r="I74" s="5"/>
      <c r="J74" s="5">
        <f>1.10433333333333/114</f>
        <v>9.6871345029239473E-3</v>
      </c>
      <c r="K74" s="5">
        <f>0.994333333333333/114</f>
        <v>8.7222222222222198E-3</v>
      </c>
    </row>
    <row r="75" spans="1:11" x14ac:dyDescent="0.15">
      <c r="A75">
        <v>73</v>
      </c>
      <c r="B75" s="5">
        <f>237.739666666667/1112</f>
        <v>0.21379466426858543</v>
      </c>
      <c r="C75" s="5">
        <f>300.272/1112</f>
        <v>0.27002877697841726</v>
      </c>
      <c r="D75" s="5"/>
      <c r="E75" s="5">
        <f>290.973333333333/1112</f>
        <v>0.26166666666666638</v>
      </c>
      <c r="F75" s="5">
        <f>286.800666666667/1112</f>
        <v>0.25791426858513217</v>
      </c>
      <c r="G75" s="5">
        <f>0.651333333333333/114</f>
        <v>5.7134502923976574E-3</v>
      </c>
      <c r="H75" s="5">
        <f>1.526/114</f>
        <v>1.3385964912280703E-2</v>
      </c>
      <c r="I75" s="5"/>
      <c r="J75" s="5">
        <f>1.135/114</f>
        <v>9.9561403508771924E-3</v>
      </c>
      <c r="K75" s="5">
        <f>1.01566666666667/114</f>
        <v>8.909356725146228E-3</v>
      </c>
    </row>
    <row r="76" spans="1:11" x14ac:dyDescent="0.15">
      <c r="A76">
        <v>74</v>
      </c>
      <c r="B76" s="5">
        <f>238.84/1112</f>
        <v>0.2147841726618705</v>
      </c>
      <c r="C76" s="5">
        <f>303.235333333333/1112</f>
        <v>0.27269364508393257</v>
      </c>
      <c r="D76" s="5"/>
      <c r="E76" s="5">
        <f>294.326333333333/1112</f>
        <v>0.26468195443645054</v>
      </c>
      <c r="F76" s="5">
        <f>289.054666666667/1112</f>
        <v>0.2599412470023984</v>
      </c>
      <c r="G76" s="5">
        <f>0.648666666666667/114</f>
        <v>5.6900584795321662E-3</v>
      </c>
      <c r="H76" s="5">
        <f>1.56266666666667/114</f>
        <v>1.3707602339181316E-2</v>
      </c>
      <c r="I76" s="5"/>
      <c r="J76" s="5">
        <f>1.119/114</f>
        <v>9.81578947368421E-3</v>
      </c>
      <c r="K76" s="5">
        <f>0.984/114</f>
        <v>8.6315789473684207E-3</v>
      </c>
    </row>
    <row r="77" spans="1:11" x14ac:dyDescent="0.15">
      <c r="A77">
        <v>75</v>
      </c>
      <c r="B77" s="5">
        <f>240.505666666667/1112</f>
        <v>0.21628207434052787</v>
      </c>
      <c r="C77" s="5">
        <f>305.477666666667/1112</f>
        <v>0.27471013189448473</v>
      </c>
      <c r="D77" s="5"/>
      <c r="E77" s="5">
        <f>296.922/1112</f>
        <v>0.26701618705035973</v>
      </c>
      <c r="F77" s="5">
        <f>290.514666666667/1112</f>
        <v>0.26125419664268612</v>
      </c>
      <c r="G77" s="5">
        <f>0.681333333333333/114</f>
        <v>5.9766081871345002E-3</v>
      </c>
      <c r="H77" s="5">
        <f>1.56833333333333/114</f>
        <v>1.3757309941520439E-2</v>
      </c>
      <c r="I77" s="5"/>
      <c r="J77" s="5">
        <f>1.13533333333333/114</f>
        <v>9.9590643274853514E-3</v>
      </c>
      <c r="K77" s="5">
        <f>1.05133333333333/114</f>
        <v>9.2222222222221924E-3</v>
      </c>
    </row>
    <row r="78" spans="1:11" x14ac:dyDescent="0.15">
      <c r="A78">
        <v>76</v>
      </c>
      <c r="B78" s="5">
        <f>242.105/1112</f>
        <v>0.21772032374100719</v>
      </c>
      <c r="C78" s="5">
        <f>307.055/1112</f>
        <v>0.27612859712230214</v>
      </c>
      <c r="D78" s="5"/>
      <c r="E78" s="5">
        <f>297.373333333333/1112</f>
        <v>0.26742206235011962</v>
      </c>
      <c r="F78" s="5">
        <f>292.977/1112</f>
        <v>0.26346852517985608</v>
      </c>
      <c r="G78" s="5">
        <f>0.706666666666667/114</f>
        <v>6.198830409356728E-3</v>
      </c>
      <c r="H78" s="5">
        <f>1.59933333333333/114</f>
        <v>1.4029239766081841E-2</v>
      </c>
      <c r="I78" s="5"/>
      <c r="J78" s="5">
        <f>1.16666666666667/114</f>
        <v>1.0233918128655001E-2</v>
      </c>
      <c r="K78" s="5">
        <f>1.053/114</f>
        <v>9.2368421052631579E-3</v>
      </c>
    </row>
    <row r="79" spans="1:11" x14ac:dyDescent="0.15">
      <c r="A79">
        <v>77</v>
      </c>
      <c r="B79" s="5">
        <f>243.570666666667/1112</f>
        <v>0.21903836930455664</v>
      </c>
      <c r="C79" s="5">
        <f>310.468/1112</f>
        <v>0.27919784172661871</v>
      </c>
      <c r="D79" s="5"/>
      <c r="E79" s="5">
        <f>299.593333333333/1112</f>
        <v>0.26941846522781748</v>
      </c>
      <c r="F79" s="5">
        <f>295.049/1112</f>
        <v>0.26533183453237408</v>
      </c>
      <c r="G79" s="5">
        <f>0.679333333333333/114</f>
        <v>5.9590643274853774E-3</v>
      </c>
      <c r="H79" s="5">
        <f>1.62466666666667/114</f>
        <v>1.4251461988304123E-2</v>
      </c>
      <c r="I79" s="5"/>
      <c r="J79" s="5">
        <f>1.18266666666667/114</f>
        <v>1.0374269005847984E-2</v>
      </c>
      <c r="K79" s="5">
        <f>1.07233333333333/114</f>
        <v>9.4064327485379826E-3</v>
      </c>
    </row>
    <row r="80" spans="1:11" x14ac:dyDescent="0.15">
      <c r="A80">
        <v>78</v>
      </c>
      <c r="B80" s="5">
        <f>244.282/1112</f>
        <v>0.21967805755395683</v>
      </c>
      <c r="C80" s="5">
        <f>313.075333333333/1112</f>
        <v>0.28154256594724192</v>
      </c>
      <c r="D80" s="5"/>
      <c r="E80" s="5">
        <f>302.864/1112</f>
        <v>0.27235971223021582</v>
      </c>
      <c r="F80" s="5">
        <f>297.417/1112</f>
        <v>0.26746133093525176</v>
      </c>
      <c r="G80" s="5">
        <f>0.746666666666667/114</f>
        <v>6.5497076023391847E-3</v>
      </c>
      <c r="H80" s="5">
        <f>1.65233333333333/114</f>
        <v>1.4494152046783598E-2</v>
      </c>
      <c r="I80" s="5"/>
      <c r="J80" s="5">
        <f>1.18433333333333/114</f>
        <v>1.0388888888888859E-2</v>
      </c>
      <c r="K80" s="5">
        <f>1.06966666666667/114</f>
        <v>9.3830409356725451E-3</v>
      </c>
    </row>
    <row r="81" spans="1:11" x14ac:dyDescent="0.15">
      <c r="A81">
        <v>79</v>
      </c>
      <c r="B81" s="5">
        <f>246.158333333333/1112</f>
        <v>0.22136540767386059</v>
      </c>
      <c r="C81" s="5">
        <f>315.007/1112</f>
        <v>0.28327967625899281</v>
      </c>
      <c r="D81" s="5"/>
      <c r="E81" s="5">
        <f>304.489/1112</f>
        <v>0.27382104316546763</v>
      </c>
      <c r="F81" s="5">
        <f>299.234333333333/1112</f>
        <v>0.2690956235011987</v>
      </c>
      <c r="G81" s="5">
        <f>0.729333333333333/114</f>
        <v>6.3976608187134472E-3</v>
      </c>
      <c r="H81" s="5">
        <f>1.68333333333333/114</f>
        <v>1.4766081871345E-2</v>
      </c>
      <c r="I81" s="5"/>
      <c r="J81" s="5">
        <f>1.233/114</f>
        <v>1.0815789473684211E-2</v>
      </c>
      <c r="K81" s="5">
        <f>1.07266666666667/114</f>
        <v>9.4093567251462285E-3</v>
      </c>
    </row>
    <row r="82" spans="1:11" x14ac:dyDescent="0.15">
      <c r="A82">
        <v>80</v>
      </c>
      <c r="B82" s="5">
        <f>247.649666666667/1112</f>
        <v>0.22270653477218255</v>
      </c>
      <c r="C82" s="5">
        <f>318.526666666667/1112</f>
        <v>0.2864448441247005</v>
      </c>
      <c r="D82" s="5"/>
      <c r="E82" s="5">
        <f>306.335/1112</f>
        <v>0.27548111510791368</v>
      </c>
      <c r="F82" s="5">
        <f>301.799666666667/1112</f>
        <v>0.27140257793765021</v>
      </c>
      <c r="G82" s="5">
        <f>0.693333333333333/114</f>
        <v>6.0818713450292369E-3</v>
      </c>
      <c r="H82" s="5">
        <f>1.69933333333333/114</f>
        <v>1.4906432748537982E-2</v>
      </c>
      <c r="I82" s="5"/>
      <c r="J82" s="5">
        <f>1.24533333333333/114</f>
        <v>1.0923976608187107E-2</v>
      </c>
      <c r="K82" s="5">
        <f>1.08633333333333/114</f>
        <v>9.5292397660818422E-3</v>
      </c>
    </row>
    <row r="83" spans="1:11" x14ac:dyDescent="0.15">
      <c r="A83">
        <v>81</v>
      </c>
      <c r="B83" s="5">
        <f>248.983/1112</f>
        <v>0.22390557553956836</v>
      </c>
      <c r="C83" s="5">
        <f>320.381/1112</f>
        <v>0.28811241007194244</v>
      </c>
      <c r="D83" s="5"/>
      <c r="E83" s="5">
        <f>309.374333333333/1112</f>
        <v>0.27821432853716999</v>
      </c>
      <c r="F83" s="5">
        <f>303.415666666667/1112</f>
        <v>0.27285581534772213</v>
      </c>
      <c r="G83" s="5">
        <f>0.728666666666667/114</f>
        <v>6.3918128654970787E-3</v>
      </c>
      <c r="H83" s="5">
        <f>1.72266666666667/114</f>
        <v>1.5111111111111139E-2</v>
      </c>
      <c r="I83" s="5"/>
      <c r="J83" s="5">
        <f>1.207/114</f>
        <v>1.0587719298245615E-2</v>
      </c>
      <c r="K83" s="5">
        <f>1.09166666666667/114</f>
        <v>9.5760233918128941E-3</v>
      </c>
    </row>
    <row r="84" spans="1:11" x14ac:dyDescent="0.15">
      <c r="A84">
        <v>82</v>
      </c>
      <c r="B84" s="5">
        <f>249.249666666667/1112</f>
        <v>0.22414538369304585</v>
      </c>
      <c r="C84" s="5">
        <f>322.790333333333/1112</f>
        <v>0.29027907673860881</v>
      </c>
      <c r="D84" s="5"/>
      <c r="E84" s="5">
        <f>311.041333333333/1112</f>
        <v>0.27971342925659443</v>
      </c>
      <c r="F84" s="5">
        <f>305.833/1112</f>
        <v>0.27502967625899283</v>
      </c>
      <c r="G84" s="5">
        <f>0.743333333333333/114</f>
        <v>6.5204678362573067E-3</v>
      </c>
      <c r="H84" s="5">
        <f>1.72266666666667/114</f>
        <v>1.5111111111111139E-2</v>
      </c>
      <c r="I84" s="5"/>
      <c r="J84" s="5">
        <f>1.266/114</f>
        <v>1.1105263157894736E-2</v>
      </c>
      <c r="K84" s="5">
        <f>1.09966666666667/114</f>
        <v>9.6461988304093853E-3</v>
      </c>
    </row>
    <row r="85" spans="1:11" x14ac:dyDescent="0.15">
      <c r="A85">
        <v>83</v>
      </c>
      <c r="B85" s="5">
        <f>251.179666666667/1112</f>
        <v>0.22588099520383723</v>
      </c>
      <c r="C85" s="5">
        <f>324.854666666667/1112</f>
        <v>0.29213549160671493</v>
      </c>
      <c r="D85" s="5"/>
      <c r="E85" s="5">
        <f>312.843/1112</f>
        <v>0.28133363309352521</v>
      </c>
      <c r="F85" s="5">
        <f>307.204/1112</f>
        <v>0.27626258992805758</v>
      </c>
      <c r="G85" s="5">
        <f>0.745333333333333/114</f>
        <v>6.5380116959064295E-3</v>
      </c>
      <c r="H85" s="5">
        <f>1.72733333333333/114</f>
        <v>1.5152046783625701E-2</v>
      </c>
      <c r="I85" s="5"/>
      <c r="J85" s="5">
        <f>1.273/114</f>
        <v>1.1166666666666665E-2</v>
      </c>
      <c r="K85" s="5">
        <f>1.11333333333333/114</f>
        <v>9.766081871344999E-3</v>
      </c>
    </row>
    <row r="86" spans="1:11" x14ac:dyDescent="0.15">
      <c r="A86">
        <v>84</v>
      </c>
      <c r="B86" s="5">
        <f>252.394/1112</f>
        <v>0.22697302158273383</v>
      </c>
      <c r="C86" s="5">
        <f>328.184/1112</f>
        <v>0.29512949640287772</v>
      </c>
      <c r="D86" s="5"/>
      <c r="E86" s="5">
        <f>314.820333333333/1112</f>
        <v>0.28311181055155843</v>
      </c>
      <c r="F86" s="5">
        <f>310.067/1112</f>
        <v>0.27883723021582735</v>
      </c>
      <c r="G86" s="5">
        <f>0.788666666666667/114</f>
        <v>6.9181286549707625E-3</v>
      </c>
      <c r="H86" s="5">
        <f>1.77833333333333/114</f>
        <v>1.5599415204678333E-2</v>
      </c>
      <c r="I86" s="5"/>
      <c r="J86" s="5">
        <f>1.278/114</f>
        <v>1.1210526315789475E-2</v>
      </c>
      <c r="K86" s="5">
        <f>1.15066666666667/114</f>
        <v>1.0093567251462017E-2</v>
      </c>
    </row>
    <row r="87" spans="1:11" x14ac:dyDescent="0.15">
      <c r="A87">
        <v>85</v>
      </c>
      <c r="B87" s="5">
        <f>253.773666666667/1112</f>
        <v>0.22821372901678688</v>
      </c>
      <c r="C87" s="5">
        <f>329.706/1112</f>
        <v>0.29649820143884892</v>
      </c>
      <c r="D87" s="5"/>
      <c r="E87" s="5">
        <f>317.290666666667/1112</f>
        <v>0.28533333333333361</v>
      </c>
      <c r="F87" s="5">
        <f>311.530333333333/1112</f>
        <v>0.28015317745803325</v>
      </c>
      <c r="G87" s="5">
        <f>0.791333333333333/114</f>
        <v>6.9415204678362546E-3</v>
      </c>
      <c r="H87" s="5">
        <f>1.79933333333333/114</f>
        <v>1.5783625730994122E-2</v>
      </c>
      <c r="I87" s="5"/>
      <c r="J87" s="5">
        <f>1.29533333333333/114</f>
        <v>1.1362573099415175E-2</v>
      </c>
      <c r="K87" s="5">
        <f>1.165/114</f>
        <v>1.0219298245614036E-2</v>
      </c>
    </row>
    <row r="88" spans="1:11" x14ac:dyDescent="0.15">
      <c r="A88">
        <v>86</v>
      </c>
      <c r="B88" s="5">
        <f>255.377666666667/1112</f>
        <v>0.22965617505995234</v>
      </c>
      <c r="C88" s="5">
        <f>330.832333333333/1112</f>
        <v>0.297511091127098</v>
      </c>
      <c r="D88" s="5"/>
      <c r="E88" s="5">
        <f>319.342/1112</f>
        <v>0.28717805755395681</v>
      </c>
      <c r="F88" s="5">
        <f>313.280333333333/1112</f>
        <v>0.28172691846522752</v>
      </c>
      <c r="G88" s="5">
        <f>0.792/114</f>
        <v>6.9473684210526318E-3</v>
      </c>
      <c r="H88" s="5">
        <f>1.83933333333333/114</f>
        <v>1.6134502923976578E-2</v>
      </c>
      <c r="I88" s="5"/>
      <c r="J88" s="5">
        <f>1.31233333333333/114</f>
        <v>1.1511695906432719E-2</v>
      </c>
      <c r="K88" s="5">
        <f>1.16233333333333/114</f>
        <v>1.019590643274851E-2</v>
      </c>
    </row>
    <row r="89" spans="1:11" x14ac:dyDescent="0.15">
      <c r="A89">
        <v>87</v>
      </c>
      <c r="B89" s="5">
        <f>256.68/1112</f>
        <v>0.23082733812949641</v>
      </c>
      <c r="C89" s="5">
        <f>334.531666666667/1112</f>
        <v>0.30083782973621132</v>
      </c>
      <c r="D89" s="5"/>
      <c r="E89" s="5">
        <f>321.580666666667/1112</f>
        <v>0.2891912470023984</v>
      </c>
      <c r="F89" s="5">
        <f>315.935666666667/1112</f>
        <v>0.2841148081534775</v>
      </c>
      <c r="G89" s="5">
        <f>0.773333333333333/114</f>
        <v>6.7836257309941486E-3</v>
      </c>
      <c r="H89" s="5">
        <f>1.80633333333333/114</f>
        <v>1.5845029239766054E-2</v>
      </c>
      <c r="I89" s="5"/>
      <c r="J89" s="5">
        <f>1.35566666666667/114</f>
        <v>1.1891812865497104E-2</v>
      </c>
      <c r="K89" s="5">
        <f>1.18133333333333/114</f>
        <v>1.0362573099415176E-2</v>
      </c>
    </row>
    <row r="90" spans="1:11" x14ac:dyDescent="0.15">
      <c r="A90">
        <v>88</v>
      </c>
      <c r="B90" s="5">
        <f>257.622666666667/1112</f>
        <v>0.23167505995203866</v>
      </c>
      <c r="C90" s="5">
        <f>337.423/1112</f>
        <v>0.30343794964028775</v>
      </c>
      <c r="D90" s="5"/>
      <c r="E90" s="5">
        <f>323.209/1112</f>
        <v>0.29065557553956833</v>
      </c>
      <c r="F90" s="5">
        <f>317.251/1112</f>
        <v>0.28529766187050359</v>
      </c>
      <c r="G90" s="5">
        <f>0.787333333333333/114</f>
        <v>6.906432748538009E-3</v>
      </c>
      <c r="H90" s="5">
        <f>1.84466666666667/114</f>
        <v>1.6181286549707633E-2</v>
      </c>
      <c r="I90" s="5"/>
      <c r="J90" s="5">
        <f>1.34033333333333/114</f>
        <v>1.1757309941520439E-2</v>
      </c>
      <c r="K90" s="5">
        <f>1.18133333333333/114</f>
        <v>1.0362573099415176E-2</v>
      </c>
    </row>
    <row r="91" spans="1:11" x14ac:dyDescent="0.15">
      <c r="A91">
        <v>89</v>
      </c>
      <c r="B91" s="5">
        <f>259.078/1112</f>
        <v>0.23298381294964027</v>
      </c>
      <c r="C91" s="5">
        <f>338.307/1112</f>
        <v>0.30423291366906474</v>
      </c>
      <c r="D91" s="5"/>
      <c r="E91" s="5">
        <f>324.676333333333/1112</f>
        <v>0.29197511990407643</v>
      </c>
      <c r="F91" s="5">
        <f>319.059666666667/1112</f>
        <v>0.28692416067146315</v>
      </c>
      <c r="G91" s="5">
        <f>0.814/114</f>
        <v>7.1403508771929816E-3</v>
      </c>
      <c r="H91" s="5">
        <f>1.859/114</f>
        <v>1.6307017543859648E-2</v>
      </c>
      <c r="I91" s="5"/>
      <c r="J91" s="5">
        <f>1.383/114</f>
        <v>1.213157894736842E-2</v>
      </c>
      <c r="K91" s="5">
        <f>1.253/114</f>
        <v>1.0991228070175437E-2</v>
      </c>
    </row>
    <row r="92" spans="1:11" x14ac:dyDescent="0.15">
      <c r="A92">
        <v>90</v>
      </c>
      <c r="B92" s="5">
        <f>259.804666666667/1112</f>
        <v>0.23363729016786602</v>
      </c>
      <c r="C92" s="5">
        <f>340.884666666667/1112</f>
        <v>0.30655095923261422</v>
      </c>
      <c r="D92" s="5"/>
      <c r="E92" s="5">
        <f>327.292/1112</f>
        <v>0.29432733812949635</v>
      </c>
      <c r="F92" s="5">
        <f>320.118333333333/1112</f>
        <v>0.28787619904076711</v>
      </c>
      <c r="G92" s="5">
        <f>0.808666666666667/114</f>
        <v>7.0935672514619913E-3</v>
      </c>
      <c r="H92" s="5">
        <f>1.86833333333333/114</f>
        <v>1.6388888888888859E-2</v>
      </c>
      <c r="I92" s="5"/>
      <c r="J92" s="5">
        <f>1.386/114</f>
        <v>1.2157894736842104E-2</v>
      </c>
      <c r="K92" s="5">
        <f>1.23233333333333/114</f>
        <v>1.0809941520467806E-2</v>
      </c>
    </row>
    <row r="93" spans="1:11" x14ac:dyDescent="0.15">
      <c r="A93">
        <v>91</v>
      </c>
      <c r="B93" s="5">
        <f>260.984666666667/1112</f>
        <v>0.2346984412470027</v>
      </c>
      <c r="C93" s="5">
        <f>343.588333333333/1112</f>
        <v>0.30898231414868077</v>
      </c>
      <c r="D93" s="5"/>
      <c r="E93" s="5">
        <f>329.477/1112</f>
        <v>0.29629226618705035</v>
      </c>
      <c r="F93" s="5">
        <f>322.943/1112</f>
        <v>0.29041636690647482</v>
      </c>
      <c r="G93" s="5">
        <f>0.838/114</f>
        <v>7.350877192982456E-3</v>
      </c>
      <c r="H93" s="5">
        <f>1.89033333333333/114</f>
        <v>1.6581871345029212E-2</v>
      </c>
      <c r="I93" s="5"/>
      <c r="J93" s="5">
        <f>1.433/114</f>
        <v>1.2570175438596492E-2</v>
      </c>
      <c r="K93" s="5">
        <f>1.26566666666667/114</f>
        <v>1.1102339181286579E-2</v>
      </c>
    </row>
    <row r="94" spans="1:11" x14ac:dyDescent="0.15">
      <c r="A94">
        <v>92</v>
      </c>
      <c r="B94" s="5">
        <f>262.444666666667/1112</f>
        <v>0.23601139088729045</v>
      </c>
      <c r="C94" s="5">
        <f>345.4/1112</f>
        <v>0.3106115107913669</v>
      </c>
      <c r="D94" s="5"/>
      <c r="E94" s="5">
        <f>331.195666666667/1112</f>
        <v>0.29783782973621137</v>
      </c>
      <c r="F94" s="5">
        <f>325.568666666667/1112</f>
        <v>0.29277757793765019</v>
      </c>
      <c r="G94" s="5">
        <f>0.832666666666667/114</f>
        <v>7.3040935672514648E-3</v>
      </c>
      <c r="H94" s="5">
        <f>1.92466666666667/114</f>
        <v>1.6883040935672545E-2</v>
      </c>
      <c r="I94" s="5"/>
      <c r="J94" s="5">
        <f>1.41266666666667/114</f>
        <v>1.2391812865497107E-2</v>
      </c>
      <c r="K94" s="5">
        <f>1.28366666666667/114</f>
        <v>1.1260233918128686E-2</v>
      </c>
    </row>
    <row r="95" spans="1:11" x14ac:dyDescent="0.15">
      <c r="A95">
        <v>93</v>
      </c>
      <c r="B95" s="5">
        <f>264.097333333333/1112</f>
        <v>0.23749760191846492</v>
      </c>
      <c r="C95" s="5">
        <f>346.905333333333/1112</f>
        <v>0.31196522781774549</v>
      </c>
      <c r="D95" s="5"/>
      <c r="E95" s="5">
        <f>332.586666666667/1112</f>
        <v>0.29908872901678685</v>
      </c>
      <c r="F95" s="5">
        <f>326.97/1112</f>
        <v>0.29403776978417268</v>
      </c>
      <c r="G95" s="5">
        <f>0.824/114</f>
        <v>7.2280701754385964E-3</v>
      </c>
      <c r="H95" s="5">
        <f>1.94433333333333/114</f>
        <v>1.7055555555555525E-2</v>
      </c>
      <c r="I95" s="5"/>
      <c r="J95" s="5">
        <f>1.424/114</f>
        <v>1.2491228070175438E-2</v>
      </c>
      <c r="K95" s="5">
        <f>1.28066666666667/114</f>
        <v>1.1233918128654999E-2</v>
      </c>
    </row>
    <row r="96" spans="1:11" x14ac:dyDescent="0.15">
      <c r="A96">
        <v>94</v>
      </c>
      <c r="B96" s="5">
        <f>265.086666666667/1112</f>
        <v>0.238387290167866</v>
      </c>
      <c r="C96" s="5">
        <f>349.198666666667/1112</f>
        <v>0.31402757793765018</v>
      </c>
      <c r="D96" s="5"/>
      <c r="E96" s="5">
        <f>335.021333333333/1112</f>
        <v>0.30127817745803331</v>
      </c>
      <c r="F96" s="5">
        <f>329.004333333333/1112</f>
        <v>0.29586720623501173</v>
      </c>
      <c r="G96" s="5">
        <f>0.834666666666667/114</f>
        <v>7.3216374269005876E-3</v>
      </c>
      <c r="H96" s="5">
        <f>1.93366666666667/114</f>
        <v>1.6961988304093595E-2</v>
      </c>
      <c r="I96" s="5"/>
      <c r="J96" s="5">
        <f>1.44166666666667/114</f>
        <v>1.2646198830409386E-2</v>
      </c>
      <c r="K96" s="5">
        <f>1.24633333333333/114</f>
        <v>1.0932748538011666E-2</v>
      </c>
    </row>
    <row r="97" spans="1:11" x14ac:dyDescent="0.15">
      <c r="A97">
        <v>95</v>
      </c>
      <c r="B97" s="5">
        <f>265.658666666667/1112</f>
        <v>0.23890167865707462</v>
      </c>
      <c r="C97" s="5">
        <f>352.332666666667/1112</f>
        <v>0.31684592326139122</v>
      </c>
      <c r="D97" s="5"/>
      <c r="E97" s="5">
        <f>337.009666666667/1112</f>
        <v>0.30306624700239837</v>
      </c>
      <c r="F97" s="5">
        <f>330.422333333333/1112</f>
        <v>0.29714238609112675</v>
      </c>
      <c r="G97" s="5">
        <f>0.88/114</f>
        <v>7.7192982456140355E-3</v>
      </c>
      <c r="H97" s="5">
        <f>1.981/114</f>
        <v>1.737719298245614E-2</v>
      </c>
      <c r="I97" s="5"/>
      <c r="J97" s="5">
        <f>1.491/114</f>
        <v>1.3078947368421053E-2</v>
      </c>
      <c r="K97" s="5">
        <f>1.30133333333333/114</f>
        <v>1.1415204678362543E-2</v>
      </c>
    </row>
    <row r="98" spans="1:11" x14ac:dyDescent="0.15">
      <c r="A98">
        <v>96</v>
      </c>
      <c r="B98" s="5">
        <f>267.991666666667/1112</f>
        <v>0.24099970023980846</v>
      </c>
      <c r="C98" s="5">
        <f>353.710666666667/1112</f>
        <v>0.31808513189448473</v>
      </c>
      <c r="D98" s="5"/>
      <c r="E98" s="5">
        <f>337.489333333333/1112</f>
        <v>0.30349760191846492</v>
      </c>
      <c r="F98" s="5">
        <f>332.942333333333/1112</f>
        <v>0.2994085731414865</v>
      </c>
      <c r="G98" s="5">
        <f>0.883333333333333/114</f>
        <v>7.7485380116959031E-3</v>
      </c>
      <c r="H98" s="5">
        <f>1.98266666666667/114</f>
        <v>1.7391812865497104E-2</v>
      </c>
      <c r="I98" s="5"/>
      <c r="J98" s="5">
        <f>1.47133333333333/114</f>
        <v>1.2906432748537982E-2</v>
      </c>
      <c r="K98" s="5">
        <f>1.314/114</f>
        <v>1.1526315789473685E-2</v>
      </c>
    </row>
    <row r="99" spans="1:11" x14ac:dyDescent="0.15">
      <c r="A99">
        <v>97</v>
      </c>
      <c r="B99" s="5">
        <f>268.928333333333/1112</f>
        <v>0.2418420263788966</v>
      </c>
      <c r="C99" s="5">
        <f>355.7/1112</f>
        <v>0.31987410071942446</v>
      </c>
      <c r="D99" s="5"/>
      <c r="E99" s="5">
        <f>340.561/1112</f>
        <v>0.30625989208633092</v>
      </c>
      <c r="F99" s="5">
        <f>334.339666666667/1112</f>
        <v>0.30066516786570768</v>
      </c>
      <c r="G99" s="5">
        <f>0.848/114</f>
        <v>7.4385964912280699E-3</v>
      </c>
      <c r="H99" s="5">
        <f>1.988/114</f>
        <v>1.7438596491228069E-2</v>
      </c>
      <c r="I99" s="5"/>
      <c r="J99" s="5">
        <f>1.49266666666667/114</f>
        <v>1.3093567251462017E-2</v>
      </c>
      <c r="K99" s="5">
        <f>1.29833333333333/114</f>
        <v>1.138888888888886E-2</v>
      </c>
    </row>
    <row r="100" spans="1:11" x14ac:dyDescent="0.15">
      <c r="A100">
        <v>98</v>
      </c>
      <c r="B100" s="5">
        <f>269.297333333333/1112</f>
        <v>0.24217386091127066</v>
      </c>
      <c r="C100" s="5">
        <f>358.637666666667/1112</f>
        <v>0.32251588729016817</v>
      </c>
      <c r="D100" s="5"/>
      <c r="E100" s="5">
        <f>342.183333333333/1112</f>
        <v>0.30771882494004765</v>
      </c>
      <c r="F100" s="5">
        <f>335.979666666667/1112</f>
        <v>0.30213998800959263</v>
      </c>
      <c r="G100" s="5">
        <f>0.854666666666667/114</f>
        <v>7.4970760233918163E-3</v>
      </c>
      <c r="H100" s="5">
        <f>2.047/114</f>
        <v>1.7956140350877194E-2</v>
      </c>
      <c r="I100" s="5"/>
      <c r="J100" s="5">
        <f>1.502/114</f>
        <v>1.3175438596491227E-2</v>
      </c>
      <c r="K100" s="5">
        <f>1.323/114</f>
        <v>1.1605263157894737E-2</v>
      </c>
    </row>
    <row r="101" spans="1:11" x14ac:dyDescent="0.15">
      <c r="A101">
        <v>99</v>
      </c>
      <c r="B101" s="5">
        <f>271.083333333333/1112</f>
        <v>0.24377997601918433</v>
      </c>
      <c r="C101" s="5">
        <f>360.088/1112</f>
        <v>0.32382014388489211</v>
      </c>
      <c r="D101" s="5"/>
      <c r="E101" s="5">
        <f>344.873666666667/1112</f>
        <v>0.31013818944844157</v>
      </c>
      <c r="F101" s="5">
        <f>337.567666666667/1112</f>
        <v>0.30356804556354944</v>
      </c>
      <c r="G101" s="5">
        <f>0.867333333333333/114</f>
        <v>7.6081871345029207E-3</v>
      </c>
      <c r="H101" s="5">
        <f>2.039/114</f>
        <v>1.7885964912280703E-2</v>
      </c>
      <c r="I101" s="5"/>
      <c r="J101" s="5">
        <f>1.51966666666667/114</f>
        <v>1.3330409356725175E-2</v>
      </c>
      <c r="K101" s="5">
        <f>1.327/114</f>
        <v>1.1640350877192982E-2</v>
      </c>
    </row>
    <row r="102" spans="1:11" x14ac:dyDescent="0.15">
      <c r="A102">
        <v>100</v>
      </c>
      <c r="B102" s="5">
        <f>272.485/1112</f>
        <v>0.24504046762589929</v>
      </c>
      <c r="C102" s="5">
        <f>361.565/1112</f>
        <v>0.32514838129496404</v>
      </c>
      <c r="D102" s="5"/>
      <c r="E102" s="5">
        <f>346.651/1112</f>
        <v>0.31173651079136694</v>
      </c>
      <c r="F102" s="5">
        <f>340.066/1112</f>
        <v>0.30581474820143884</v>
      </c>
      <c r="G102" s="5">
        <f>0.917333333333333/114</f>
        <v>8.0467836257309914E-3</v>
      </c>
      <c r="H102" s="5">
        <f>2.08666666666667/114</f>
        <v>1.8304093567251493E-2</v>
      </c>
      <c r="I102" s="5"/>
      <c r="J102" s="5">
        <f>1.55266666666667/114</f>
        <v>1.3619883040935702E-2</v>
      </c>
      <c r="K102" s="5">
        <f>1.38166666666667/114</f>
        <v>1.2119883040935701E-2</v>
      </c>
    </row>
    <row r="103" spans="1:11" x14ac:dyDescent="0.15">
      <c r="A103">
        <v>101</v>
      </c>
      <c r="B103" s="5">
        <f>273.118333333333/1112</f>
        <v>0.24561001199040738</v>
      </c>
      <c r="C103" s="5">
        <f>364.823666666667/1112</f>
        <v>0.32807883693045592</v>
      </c>
      <c r="D103" s="5"/>
      <c r="E103" s="5">
        <f>348.363333333333/1112</f>
        <v>0.3132763788968822</v>
      </c>
      <c r="F103" s="5">
        <f>341.451/1112</f>
        <v>0.30706025179856117</v>
      </c>
      <c r="G103" s="5">
        <f>0.908/114</f>
        <v>7.9649122807017546E-3</v>
      </c>
      <c r="H103" s="5">
        <f>2.10233333333333/114</f>
        <v>1.8441520467836228E-2</v>
      </c>
      <c r="I103" s="5"/>
      <c r="J103" s="5">
        <f>1.55633333333333/114</f>
        <v>1.3652046783625702E-2</v>
      </c>
      <c r="K103" s="5">
        <f>1.37433333333333/114</f>
        <v>1.2055555555555528E-2</v>
      </c>
    </row>
    <row r="104" spans="1:11" x14ac:dyDescent="0.15">
      <c r="A104">
        <v>102</v>
      </c>
      <c r="B104" s="5">
        <f>274.756333333333/1112</f>
        <v>0.24708303357314115</v>
      </c>
      <c r="C104" s="5">
        <f>366.036/1112</f>
        <v>0.32916906474820146</v>
      </c>
      <c r="D104" s="5"/>
      <c r="E104" s="5">
        <f>350.341333333333/1112</f>
        <v>0.31505515587529948</v>
      </c>
      <c r="F104" s="5">
        <f>342.941333333333/1112</f>
        <v>0.30840047961630662</v>
      </c>
      <c r="G104" s="5">
        <f>0.939333333333333/114</f>
        <v>8.2397660818713421E-3</v>
      </c>
      <c r="H104" s="5">
        <f>2.11666666666667/114</f>
        <v>1.8567251461988333E-2</v>
      </c>
      <c r="I104" s="5"/>
      <c r="J104" s="5">
        <f>1.575/114</f>
        <v>1.381578947368421E-2</v>
      </c>
      <c r="K104" s="5">
        <f>1.409/114</f>
        <v>1.2359649122807018E-2</v>
      </c>
    </row>
    <row r="105" spans="1:11" x14ac:dyDescent="0.15">
      <c r="A105">
        <v>103</v>
      </c>
      <c r="B105" s="5">
        <f>275.266333333333/1112</f>
        <v>0.24754166666666638</v>
      </c>
      <c r="C105" s="5">
        <f>368.222666666667/1112</f>
        <v>0.33113549160671496</v>
      </c>
      <c r="D105" s="5"/>
      <c r="E105" s="5">
        <f>351.804333333333/1112</f>
        <v>0.31637080335731382</v>
      </c>
      <c r="F105" s="5">
        <f>344.723333333333/1112</f>
        <v>0.31000299760191818</v>
      </c>
      <c r="G105" s="5">
        <f>0.939333333333333/114</f>
        <v>8.2397660818713421E-3</v>
      </c>
      <c r="H105" s="5">
        <f>2.104/114</f>
        <v>1.8456140350877195E-2</v>
      </c>
      <c r="I105" s="5"/>
      <c r="J105" s="5">
        <f>1.56733333333333/114</f>
        <v>1.3748538011695876E-2</v>
      </c>
      <c r="K105" s="5">
        <f>1.36866666666667/114</f>
        <v>1.2005847953216403E-2</v>
      </c>
    </row>
    <row r="106" spans="1:11" x14ac:dyDescent="0.15">
      <c r="A106">
        <v>104</v>
      </c>
      <c r="B106" s="5">
        <f>276.168/1112</f>
        <v>0.2483525179856115</v>
      </c>
      <c r="C106" s="5">
        <f>369.761/1112</f>
        <v>0.33251888489208636</v>
      </c>
      <c r="D106" s="5"/>
      <c r="E106" s="5">
        <f>353.387/1112</f>
        <v>0.31779406474820143</v>
      </c>
      <c r="F106" s="5">
        <f>346.849666666667/1112</f>
        <v>0.31191516786570778</v>
      </c>
      <c r="G106" s="5">
        <f>0.926666666666667/114</f>
        <v>8.1286549707602369E-3</v>
      </c>
      <c r="H106" s="5">
        <f>2.12733333333333/114</f>
        <v>1.8660818713450263E-2</v>
      </c>
      <c r="I106" s="5"/>
      <c r="J106" s="5">
        <f>1.615/114</f>
        <v>1.4166666666666666E-2</v>
      </c>
      <c r="K106" s="5">
        <f>1.404/114</f>
        <v>1.2315789473684211E-2</v>
      </c>
    </row>
    <row r="107" spans="1:11" x14ac:dyDescent="0.15">
      <c r="A107">
        <v>105</v>
      </c>
      <c r="B107" s="5">
        <f>277.217666666667/1112</f>
        <v>0.24929646282973653</v>
      </c>
      <c r="C107" s="5">
        <f>371.741666666667/1112</f>
        <v>0.33430005995203871</v>
      </c>
      <c r="D107" s="5"/>
      <c r="E107" s="5">
        <f>355.269333333333/1112</f>
        <v>0.31948681055155848</v>
      </c>
      <c r="F107" s="5">
        <f>348.518666666667/1112</f>
        <v>0.31341606714628328</v>
      </c>
      <c r="G107" s="5">
        <f>0.950666666666667/114</f>
        <v>8.3391812865497104E-3</v>
      </c>
      <c r="H107" s="5">
        <f>2.15633333333333/114</f>
        <v>1.8915204678362541E-2</v>
      </c>
      <c r="I107" s="5"/>
      <c r="J107" s="5">
        <f>1.61533333333333/114</f>
        <v>1.4169590643274825E-2</v>
      </c>
      <c r="K107" s="5">
        <f>1.44733333333333/114</f>
        <v>1.2695906432748509E-2</v>
      </c>
    </row>
    <row r="108" spans="1:11" x14ac:dyDescent="0.15">
      <c r="A108">
        <v>106</v>
      </c>
      <c r="B108" s="5">
        <f>278.467/1112</f>
        <v>0.25041996402877698</v>
      </c>
      <c r="C108" s="5">
        <f>374.147/1112</f>
        <v>0.33646312949640289</v>
      </c>
      <c r="D108" s="5"/>
      <c r="E108" s="5">
        <f>356.941666666667/1112</f>
        <v>0.32099070743405306</v>
      </c>
      <c r="F108" s="5">
        <f>350.549333333333/1112</f>
        <v>0.3152422062350117</v>
      </c>
      <c r="G108" s="5">
        <f>0.938666666666667/114</f>
        <v>8.2339181286549736E-3</v>
      </c>
      <c r="H108" s="5">
        <f>2.157/114</f>
        <v>1.8921052631578946E-2</v>
      </c>
      <c r="I108" s="5"/>
      <c r="J108" s="5">
        <f>1.62233333333333/114</f>
        <v>1.4230994152046756E-2</v>
      </c>
      <c r="K108" s="5">
        <f>1.43266666666667/114</f>
        <v>1.2567251461988335E-2</v>
      </c>
    </row>
    <row r="109" spans="1:11" x14ac:dyDescent="0.15">
      <c r="A109">
        <v>107</v>
      </c>
      <c r="B109" s="5">
        <f>280.294666666667/1112</f>
        <v>0.25206354916067175</v>
      </c>
      <c r="C109" s="5">
        <f>375.563666666667/1112</f>
        <v>0.33773711031175091</v>
      </c>
      <c r="D109" s="5"/>
      <c r="E109" s="5">
        <f>358.446666666667/1112</f>
        <v>0.3223441247002401</v>
      </c>
      <c r="F109" s="5">
        <f>351.743/1112</f>
        <v>0.31631564748201441</v>
      </c>
      <c r="G109" s="5">
        <f>0.956/114</f>
        <v>8.3859649122807016E-3</v>
      </c>
      <c r="H109" s="5">
        <f>2.196/114</f>
        <v>1.9263157894736843E-2</v>
      </c>
      <c r="I109" s="5"/>
      <c r="J109" s="5">
        <f>1.66166666666667/114</f>
        <v>1.4576023391812895E-2</v>
      </c>
      <c r="K109" s="5">
        <f>1.45333333333333/114</f>
        <v>1.2748538011695877E-2</v>
      </c>
    </row>
    <row r="110" spans="1:11" x14ac:dyDescent="0.15">
      <c r="A110">
        <v>108</v>
      </c>
      <c r="B110" s="5">
        <f>281.371/1112</f>
        <v>0.25303147482014388</v>
      </c>
      <c r="C110" s="5">
        <f>377.389333333333/1112</f>
        <v>0.33937889688249373</v>
      </c>
      <c r="D110" s="5"/>
      <c r="E110" s="5">
        <f>360.073666666667/1112</f>
        <v>0.32380725419664297</v>
      </c>
      <c r="F110" s="5">
        <f>354.076333333333/1112</f>
        <v>0.31841396882493977</v>
      </c>
      <c r="G110" s="5">
        <f>0.971333333333333/114</f>
        <v>8.5204678362573068E-3</v>
      </c>
      <c r="H110" s="5">
        <f>2.19733333333333/114</f>
        <v>1.9274853801169559E-2</v>
      </c>
      <c r="I110" s="5"/>
      <c r="J110" s="5">
        <f>1.62533333333333/114</f>
        <v>1.4257309941520439E-2</v>
      </c>
      <c r="K110" s="5">
        <f>1.476/114</f>
        <v>1.2947368421052631E-2</v>
      </c>
    </row>
    <row r="111" spans="1:11" x14ac:dyDescent="0.15">
      <c r="A111">
        <v>109</v>
      </c>
      <c r="B111" s="5">
        <f>281.613666666667/1112</f>
        <v>0.25324970023980842</v>
      </c>
      <c r="C111" s="5">
        <f>380.254/1112</f>
        <v>0.34195503597122306</v>
      </c>
      <c r="D111" s="5"/>
      <c r="E111" s="5">
        <f>361.633666666667/1112</f>
        <v>0.32521013189448472</v>
      </c>
      <c r="F111" s="5">
        <f>355.795333333333/1112</f>
        <v>0.3199598321342923</v>
      </c>
      <c r="G111" s="5">
        <f>0.978666666666667/114</f>
        <v>8.5847953216374295E-3</v>
      </c>
      <c r="H111" s="5">
        <f>2.24433333333333/114</f>
        <v>1.9687134502923948E-2</v>
      </c>
      <c r="I111" s="5"/>
      <c r="J111" s="5">
        <f>1.723/114</f>
        <v>1.5114035087719298E-2</v>
      </c>
      <c r="K111" s="5">
        <f>1.47733333333333/114</f>
        <v>1.2959064327485351E-2</v>
      </c>
    </row>
    <row r="112" spans="1:11" x14ac:dyDescent="0.15">
      <c r="A112">
        <v>110</v>
      </c>
      <c r="B112" s="5">
        <f>283.035/1112</f>
        <v>0.25452787769784174</v>
      </c>
      <c r="C112" s="5">
        <f>381.680333333333/1112</f>
        <v>0.34323770983213397</v>
      </c>
      <c r="D112" s="5"/>
      <c r="E112" s="5">
        <f>363.321/1112</f>
        <v>0.32672751798561156</v>
      </c>
      <c r="F112" s="5">
        <f>357.231666666667/1112</f>
        <v>0.32125149880095955</v>
      </c>
      <c r="G112" s="5">
        <f>0.982/114</f>
        <v>8.6140350877192979E-3</v>
      </c>
      <c r="H112" s="5">
        <f>2.24666666666667/114</f>
        <v>1.9707602339181316E-2</v>
      </c>
      <c r="I112" s="5"/>
      <c r="J112" s="5">
        <f>1.69633333333333/114</f>
        <v>1.4880116959064297E-2</v>
      </c>
      <c r="K112" s="5">
        <f>1.49933333333333/114</f>
        <v>1.3152046783625703E-2</v>
      </c>
    </row>
    <row r="113" spans="1:11" x14ac:dyDescent="0.15">
      <c r="A113">
        <v>111</v>
      </c>
      <c r="B113" s="5">
        <f>283.667/1112</f>
        <v>0.25509622302158269</v>
      </c>
      <c r="C113" s="5">
        <f>382.68/1112</f>
        <v>0.34413669064748204</v>
      </c>
      <c r="D113" s="5"/>
      <c r="E113" s="5">
        <f>364.907666666667/1112</f>
        <v>0.32815437649880125</v>
      </c>
      <c r="F113" s="5">
        <f>357.879666666667/1112</f>
        <v>0.32183423261390914</v>
      </c>
      <c r="G113" s="5">
        <f>1.00333333333333/114</f>
        <v>8.8011695906432472E-3</v>
      </c>
      <c r="H113" s="5">
        <f>2.282/114</f>
        <v>2.0017543859649121E-2</v>
      </c>
      <c r="I113" s="5"/>
      <c r="J113" s="5">
        <f>1.70133333333333/114</f>
        <v>1.4923976608187105E-2</v>
      </c>
      <c r="K113" s="5">
        <f>1.50566666666667/114</f>
        <v>1.3207602339181316E-2</v>
      </c>
    </row>
    <row r="114" spans="1:11" x14ac:dyDescent="0.15">
      <c r="A114">
        <v>112</v>
      </c>
      <c r="B114" s="5">
        <f>285.301333333333/1112</f>
        <v>0.25656594724220594</v>
      </c>
      <c r="C114" s="5">
        <f>385.257666666667/1112</f>
        <v>0.34645473621103146</v>
      </c>
      <c r="D114" s="5"/>
      <c r="E114" s="5">
        <f>366.713333333333/1112</f>
        <v>0.32977817745803328</v>
      </c>
      <c r="F114" s="5">
        <f>360.39/1112</f>
        <v>0.324091726618705</v>
      </c>
      <c r="G114" s="5">
        <f>1.00133333333333/114</f>
        <v>8.7836257309941226E-3</v>
      </c>
      <c r="H114" s="5">
        <f>2.281/114</f>
        <v>2.0008771929824563E-2</v>
      </c>
      <c r="I114" s="5"/>
      <c r="J114" s="5">
        <f>1.70233333333333/114</f>
        <v>1.4932748538011666E-2</v>
      </c>
      <c r="K114" s="5">
        <f>1.53/114</f>
        <v>1.3421052631578948E-2</v>
      </c>
    </row>
    <row r="115" spans="1:11" x14ac:dyDescent="0.15">
      <c r="A115">
        <v>113</v>
      </c>
      <c r="B115" s="5">
        <f>285.835666666667/1112</f>
        <v>0.25704646282973653</v>
      </c>
      <c r="C115" s="5">
        <f>386.811333333333/1112</f>
        <v>0.34785191846522751</v>
      </c>
      <c r="D115" s="5"/>
      <c r="E115" s="5">
        <f>368.999666666667/1112</f>
        <v>0.33183423261390915</v>
      </c>
      <c r="F115" s="5">
        <f>361.958/1112</f>
        <v>0.32550179856115108</v>
      </c>
      <c r="G115" s="5">
        <f>1.02866666666667/114</f>
        <v>9.0233918128655253E-3</v>
      </c>
      <c r="H115" s="5">
        <f>2.303/114</f>
        <v>2.0201754385964912E-2</v>
      </c>
      <c r="I115" s="5"/>
      <c r="J115" s="5">
        <f>1.70233333333333/114</f>
        <v>1.4932748538011666E-2</v>
      </c>
      <c r="K115" s="5">
        <f>1.51233333333333/114</f>
        <v>1.3266081871345E-2</v>
      </c>
    </row>
    <row r="116" spans="1:11" x14ac:dyDescent="0.15">
      <c r="A116">
        <v>114</v>
      </c>
      <c r="B116" s="5">
        <f>286.416/1112</f>
        <v>0.25756834532374101</v>
      </c>
      <c r="C116" s="5">
        <f>388.886666666667/1112</f>
        <v>0.34971822541966457</v>
      </c>
      <c r="D116" s="5"/>
      <c r="E116" s="5">
        <f>370.054666666667/1112</f>
        <v>0.33278297362110343</v>
      </c>
      <c r="F116" s="5">
        <f>363.102666666667/1112</f>
        <v>0.32653117505995233</v>
      </c>
      <c r="G116" s="5">
        <f>1.04533333333333/114</f>
        <v>9.1695906432748241E-3</v>
      </c>
      <c r="H116" s="5">
        <f>2.307/114</f>
        <v>2.0236842105263157E-2</v>
      </c>
      <c r="I116" s="5"/>
      <c r="J116" s="5">
        <f>1.71233333333333/114</f>
        <v>1.502046783625728E-2</v>
      </c>
      <c r="K116" s="5">
        <f>1.528/114</f>
        <v>1.3403508771929825E-2</v>
      </c>
    </row>
    <row r="117" spans="1:11" x14ac:dyDescent="0.15">
      <c r="A117">
        <v>115</v>
      </c>
      <c r="B117" s="5">
        <f>288.065/1112</f>
        <v>0.25905125899280573</v>
      </c>
      <c r="C117" s="5">
        <f>390.512/1112</f>
        <v>0.35117985611510794</v>
      </c>
      <c r="D117" s="5"/>
      <c r="E117" s="5">
        <f>372.486666666667/1112</f>
        <v>0.33497002398081566</v>
      </c>
      <c r="F117" s="5">
        <f>364.354/1112</f>
        <v>0.32765647482014387</v>
      </c>
      <c r="G117" s="5">
        <f>1.014/114</f>
        <v>8.8947368421052626E-3</v>
      </c>
      <c r="H117" s="5">
        <f>2.334/114</f>
        <v>2.0473684210526318E-2</v>
      </c>
      <c r="I117" s="5"/>
      <c r="J117" s="5">
        <f>1.72433333333333/114</f>
        <v>1.5125730994152016E-2</v>
      </c>
      <c r="K117" s="5">
        <f>1.52633333333333/114</f>
        <v>1.338888888888886E-2</v>
      </c>
    </row>
    <row r="118" spans="1:11" x14ac:dyDescent="0.15">
      <c r="A118">
        <v>116</v>
      </c>
      <c r="B118" s="5">
        <f>288.727/1112</f>
        <v>0.25964658273381291</v>
      </c>
      <c r="C118" s="5">
        <f>392.383666666667/1112</f>
        <v>0.35286300959232647</v>
      </c>
      <c r="D118" s="5"/>
      <c r="E118" s="5">
        <f>374.128333333333/1112</f>
        <v>0.33644634292565917</v>
      </c>
      <c r="F118" s="5">
        <f>367.122666666667/1112</f>
        <v>0.33014628297362142</v>
      </c>
      <c r="G118" s="5">
        <f>1.05133333333333/114</f>
        <v>9.2222222222221924E-3</v>
      </c>
      <c r="H118" s="5">
        <f>2.329/114</f>
        <v>2.042982456140351E-2</v>
      </c>
      <c r="I118" s="5"/>
      <c r="J118" s="5">
        <f>1.80866666666667/114</f>
        <v>1.5865497076023419E-2</v>
      </c>
      <c r="K118" s="5">
        <f>1.578/114</f>
        <v>1.3842105263157895E-2</v>
      </c>
    </row>
    <row r="119" spans="1:11" x14ac:dyDescent="0.15">
      <c r="A119">
        <v>117</v>
      </c>
      <c r="B119" s="5">
        <f>290.321333333333/1112</f>
        <v>0.26108033573141454</v>
      </c>
      <c r="C119" s="5">
        <f>394.411666666667/1112</f>
        <v>0.35468675059952065</v>
      </c>
      <c r="D119" s="5"/>
      <c r="E119" s="5">
        <f>374.813333333333/1112</f>
        <v>0.33706235011990376</v>
      </c>
      <c r="F119" s="5">
        <f>368.412/1112</f>
        <v>0.33130575539568341</v>
      </c>
      <c r="G119" s="5">
        <f>1.052/114</f>
        <v>9.2280701754385974E-3</v>
      </c>
      <c r="H119" s="5">
        <f>2.377/114</f>
        <v>2.0850877192982453E-2</v>
      </c>
      <c r="I119" s="5"/>
      <c r="J119" s="5">
        <f>1.79666666666667/114</f>
        <v>1.5760233918128683E-2</v>
      </c>
      <c r="K119" s="5">
        <f>1.56733333333333/114</f>
        <v>1.3748538011695876E-2</v>
      </c>
    </row>
    <row r="120" spans="1:11" x14ac:dyDescent="0.15">
      <c r="A120">
        <v>118</v>
      </c>
      <c r="B120" s="5">
        <f>291.070666666667/1112</f>
        <v>0.26175419664268618</v>
      </c>
      <c r="C120" s="5">
        <f>396.082666666667/1112</f>
        <v>0.35618944844124734</v>
      </c>
      <c r="D120" s="5"/>
      <c r="E120" s="5">
        <f>376.953/1112</f>
        <v>0.33898651079136688</v>
      </c>
      <c r="F120" s="5">
        <f>369.203333333333/1112</f>
        <v>0.3320173860911268</v>
      </c>
      <c r="G120" s="5">
        <f>1.104/114</f>
        <v>9.6842105263157899E-3</v>
      </c>
      <c r="H120" s="5">
        <f>2.42166666666667/114</f>
        <v>2.124269005847956E-2</v>
      </c>
      <c r="I120" s="5"/>
      <c r="J120" s="5">
        <f>1.807/114</f>
        <v>1.5850877192982456E-2</v>
      </c>
      <c r="K120" s="5">
        <f>1.63233333333333/114</f>
        <v>1.431871345029237E-2</v>
      </c>
    </row>
    <row r="121" spans="1:11" x14ac:dyDescent="0.15">
      <c r="A121">
        <v>119</v>
      </c>
      <c r="B121" s="5">
        <f>292.230333333333/1112</f>
        <v>0.26279706235011963</v>
      </c>
      <c r="C121" s="5">
        <f>398.370666666667/1112</f>
        <v>0.35824700239808183</v>
      </c>
      <c r="D121" s="5"/>
      <c r="E121" s="5">
        <f>377.85/1112</f>
        <v>0.33979316546762595</v>
      </c>
      <c r="F121" s="5">
        <f>370.696/1112</f>
        <v>0.33335971223021588</v>
      </c>
      <c r="G121" s="5">
        <f>1.09666666666667/114</f>
        <v>9.619883040935702E-3</v>
      </c>
      <c r="H121" s="5">
        <f>2.39833333333333/114</f>
        <v>2.1038011695906401E-2</v>
      </c>
      <c r="I121" s="5"/>
      <c r="J121" s="5">
        <f>1.80933333333333/114</f>
        <v>1.5871345029239738E-2</v>
      </c>
      <c r="K121" s="5">
        <f>1.52433333333333/114</f>
        <v>1.3371345029239737E-2</v>
      </c>
    </row>
    <row r="122" spans="1:11" x14ac:dyDescent="0.15">
      <c r="A122">
        <v>120</v>
      </c>
      <c r="B122" s="5">
        <f>292.941/1112</f>
        <v>0.26343615107913665</v>
      </c>
      <c r="C122" s="5">
        <f>399.881333333333/1112</f>
        <v>0.35960551558752968</v>
      </c>
      <c r="D122" s="5"/>
      <c r="E122" s="5">
        <f>380.167666666667/1112</f>
        <v>0.34187739808153506</v>
      </c>
      <c r="F122" s="5">
        <f>373.01/1112</f>
        <v>0.33544064748201435</v>
      </c>
      <c r="G122" s="5">
        <f>1.10133333333333/114</f>
        <v>9.6608187134502622E-3</v>
      </c>
      <c r="H122" s="5">
        <f>2.44766666666667/114</f>
        <v>2.1470760233918161E-2</v>
      </c>
      <c r="I122" s="5"/>
      <c r="J122" s="5">
        <f>1.82933333333333/114</f>
        <v>1.6046783625730966E-2</v>
      </c>
      <c r="K122" s="5">
        <f>1.64766666666667/114</f>
        <v>1.4453216374269034E-2</v>
      </c>
    </row>
    <row r="123" spans="1:11" x14ac:dyDescent="0.15">
      <c r="A123">
        <v>121</v>
      </c>
      <c r="B123" s="5">
        <f>293.584666666667/1112</f>
        <v>0.26401498800959261</v>
      </c>
      <c r="C123" s="5">
        <f>401.196333333333/1112</f>
        <v>0.36078806954436421</v>
      </c>
      <c r="D123" s="5"/>
      <c r="E123" s="5">
        <f>381.047333333333/1112</f>
        <v>0.34266846522781741</v>
      </c>
      <c r="F123" s="5">
        <f>374.281333333333/1112</f>
        <v>0.33658393285371674</v>
      </c>
      <c r="G123" s="5">
        <f>1.10266666666667/114</f>
        <v>9.6725146198830703E-3</v>
      </c>
      <c r="H123" s="5">
        <f>2.46033333333333/114</f>
        <v>2.1581871345029213E-2</v>
      </c>
      <c r="I123" s="5"/>
      <c r="J123" s="5">
        <f>1.87666666666667/114</f>
        <v>1.6461988304093598E-2</v>
      </c>
      <c r="K123" s="5">
        <f>1.60533333333333/114</f>
        <v>1.4081871345029209E-2</v>
      </c>
    </row>
    <row r="124" spans="1:11" x14ac:dyDescent="0.15">
      <c r="A124">
        <v>122</v>
      </c>
      <c r="B124" s="5">
        <f>294.926333333333/1112</f>
        <v>0.2652215227817743</v>
      </c>
      <c r="C124" s="5">
        <f>403.406666666667/1112</f>
        <v>0.36277577937649907</v>
      </c>
      <c r="D124" s="5"/>
      <c r="E124" s="5">
        <f>382.732/1112</f>
        <v>0.34418345323741012</v>
      </c>
      <c r="F124" s="5">
        <f>376.101666666667/1112</f>
        <v>0.33822092326139114</v>
      </c>
      <c r="G124" s="5">
        <f>1.126/114</f>
        <v>9.8771929824561389E-3</v>
      </c>
      <c r="H124" s="5">
        <f>2.452/114</f>
        <v>2.1508771929824561E-2</v>
      </c>
      <c r="I124" s="5"/>
      <c r="J124" s="5">
        <f>1.831/114</f>
        <v>1.6061403508771929E-2</v>
      </c>
      <c r="K124" s="5">
        <f>1.63033333333333/114</f>
        <v>1.4301169590643247E-2</v>
      </c>
    </row>
    <row r="125" spans="1:11" x14ac:dyDescent="0.15">
      <c r="A125">
        <v>123</v>
      </c>
      <c r="B125" s="5">
        <f>295.279666666667/1112</f>
        <v>0.26553926858513222</v>
      </c>
      <c r="C125" s="5">
        <f>405.304/1112</f>
        <v>0.36448201438848921</v>
      </c>
      <c r="D125" s="5"/>
      <c r="E125" s="5">
        <f>384.299/1112</f>
        <v>0.34559262589928058</v>
      </c>
      <c r="F125" s="5">
        <f>377.541666666667/1112</f>
        <v>0.33951588729016818</v>
      </c>
      <c r="G125" s="5">
        <f>1.10266666666667/114</f>
        <v>9.6725146198830703E-3</v>
      </c>
      <c r="H125" s="5">
        <f>2.509/114</f>
        <v>2.2008771929824561E-2</v>
      </c>
      <c r="I125" s="5"/>
      <c r="J125" s="5">
        <f>1.866/114</f>
        <v>1.6368421052631581E-2</v>
      </c>
      <c r="K125" s="5">
        <f>1.633/114</f>
        <v>1.4324561403508773E-2</v>
      </c>
    </row>
    <row r="126" spans="1:11" x14ac:dyDescent="0.15">
      <c r="A126">
        <v>124</v>
      </c>
      <c r="B126" s="5">
        <f>296.506/1112</f>
        <v>0.26664208633093522</v>
      </c>
      <c r="C126" s="5">
        <f>407.232666666667/1112</f>
        <v>0.36621642685851347</v>
      </c>
      <c r="D126" s="5"/>
      <c r="E126" s="5">
        <f>386.731/1112</f>
        <v>0.34777967625899281</v>
      </c>
      <c r="F126" s="5">
        <f>378.51/1112</f>
        <v>0.340386690647482</v>
      </c>
      <c r="G126" s="5">
        <f>1.14733333333333/114</f>
        <v>1.0064327485380088E-2</v>
      </c>
      <c r="H126" s="5">
        <f>2.504/114</f>
        <v>2.1964912280701753E-2</v>
      </c>
      <c r="I126" s="5"/>
      <c r="J126" s="5">
        <f>1.889/114</f>
        <v>1.6570175438596492E-2</v>
      </c>
      <c r="K126" s="5">
        <f>1.693/114</f>
        <v>1.4850877192982457E-2</v>
      </c>
    </row>
    <row r="127" spans="1:11" x14ac:dyDescent="0.15">
      <c r="A127">
        <v>125</v>
      </c>
      <c r="B127" s="5">
        <f>297.371666666667/1112</f>
        <v>0.26742056354916099</v>
      </c>
      <c r="C127" s="5">
        <f>408.370333333333/1112</f>
        <v>0.36723950839328506</v>
      </c>
      <c r="D127" s="5"/>
      <c r="E127" s="5">
        <f>388.049666666667/1112</f>
        <v>0.34896552757793797</v>
      </c>
      <c r="F127" s="5">
        <f>381.601333333333/1112</f>
        <v>0.34316666666666634</v>
      </c>
      <c r="G127" s="5">
        <f>1.126/114</f>
        <v>9.8771929824561389E-3</v>
      </c>
      <c r="H127" s="5">
        <f>2.549/114</f>
        <v>2.2359649122807017E-2</v>
      </c>
      <c r="I127" s="5"/>
      <c r="J127" s="5">
        <f>1.90833333333333/114</f>
        <v>1.6739766081871318E-2</v>
      </c>
      <c r="K127" s="5">
        <f>1.67366666666667/114</f>
        <v>1.4681286549707632E-2</v>
      </c>
    </row>
    <row r="128" spans="1:11" x14ac:dyDescent="0.15">
      <c r="A128">
        <v>126</v>
      </c>
      <c r="B128" s="5">
        <f>298.895333333333/1112</f>
        <v>0.26879076738609081</v>
      </c>
      <c r="C128" s="5">
        <f>409.244333333333/1112</f>
        <v>0.36802547961630661</v>
      </c>
      <c r="D128" s="5"/>
      <c r="E128" s="5">
        <f>388.284333333333/1112</f>
        <v>0.3491765587529973</v>
      </c>
      <c r="F128" s="5">
        <f>380.918666666667/1112</f>
        <v>0.34255275779376526</v>
      </c>
      <c r="G128" s="5">
        <f>1.13133333333333/114</f>
        <v>9.9239766081871059E-3</v>
      </c>
      <c r="H128" s="5">
        <f>2.50733333333333/114</f>
        <v>2.1994152046783594E-2</v>
      </c>
      <c r="I128" s="5"/>
      <c r="J128" s="5">
        <f>1.89066666666667/114</f>
        <v>1.6584795321637456E-2</v>
      </c>
      <c r="K128" s="5">
        <f>1.684/114</f>
        <v>1.4771929824561403E-2</v>
      </c>
    </row>
    <row r="129" spans="1:11" x14ac:dyDescent="0.15">
      <c r="A129">
        <v>127</v>
      </c>
      <c r="B129" s="5">
        <f>299.502333333333/1112</f>
        <v>0.26933663069544334</v>
      </c>
      <c r="C129" s="5">
        <f>412.618333333333/1112</f>
        <v>0.37105965227817717</v>
      </c>
      <c r="D129" s="5"/>
      <c r="E129" s="5">
        <f>390.205666666667/1112</f>
        <v>0.3509043764988013</v>
      </c>
      <c r="F129" s="5">
        <f>382.792/1112</f>
        <v>0.34423741007194242</v>
      </c>
      <c r="G129" s="5">
        <f>1.16933333333333/114</f>
        <v>1.0257309941520439E-2</v>
      </c>
      <c r="H129" s="5">
        <f>2.52133333333333/114</f>
        <v>2.2116959064327459E-2</v>
      </c>
      <c r="I129" s="5"/>
      <c r="J129" s="5">
        <f>1.924/114</f>
        <v>1.687719298245614E-2</v>
      </c>
      <c r="K129" s="5">
        <f>1.68566666666667/114</f>
        <v>1.4786549707602369E-2</v>
      </c>
    </row>
    <row r="130" spans="1:11" x14ac:dyDescent="0.15">
      <c r="A130">
        <v>128</v>
      </c>
      <c r="B130" s="5">
        <f>299.821/1112</f>
        <v>0.26962320143884894</v>
      </c>
      <c r="C130" s="5">
        <f>413.652666666667/1112</f>
        <v>0.37198980815347754</v>
      </c>
      <c r="D130" s="5"/>
      <c r="E130" s="5">
        <f>391.356/1112</f>
        <v>0.3519388489208633</v>
      </c>
      <c r="F130" s="5">
        <f>385.074333333333/1112</f>
        <v>0.34628986810551532</v>
      </c>
      <c r="G130" s="5">
        <f>1.18333333333333/114</f>
        <v>1.0380116959064298E-2</v>
      </c>
      <c r="H130" s="5">
        <f>2.54033333333333/114</f>
        <v>2.2283625730994121E-2</v>
      </c>
      <c r="I130" s="5"/>
      <c r="J130" s="5">
        <f>1.92933333333333/114</f>
        <v>1.6923976608187105E-2</v>
      </c>
      <c r="K130" s="5">
        <f>1.71033333333333/114</f>
        <v>1.5002923976608157E-2</v>
      </c>
    </row>
    <row r="131" spans="1:11" x14ac:dyDescent="0.15">
      <c r="A131">
        <v>129</v>
      </c>
      <c r="B131" s="5">
        <f>300.812/1112</f>
        <v>0.27051438848920867</v>
      </c>
      <c r="C131" s="5">
        <f>414.809333333333/1112</f>
        <v>0.37302997601918431</v>
      </c>
      <c r="D131" s="5"/>
      <c r="E131" s="5">
        <f>393.506333333333/1112</f>
        <v>0.35387260191846492</v>
      </c>
      <c r="F131" s="5">
        <f>386.312/1112</f>
        <v>0.34740287769784173</v>
      </c>
      <c r="G131" s="5">
        <f>1.19733333333333/114</f>
        <v>1.0502923976608158E-2</v>
      </c>
      <c r="H131" s="5">
        <f>2.59766666666667/114</f>
        <v>2.2786549707602369E-2</v>
      </c>
      <c r="I131" s="5"/>
      <c r="J131" s="5">
        <f>1.99/114</f>
        <v>1.7456140350877194E-2</v>
      </c>
      <c r="K131" s="5">
        <f>1.721/114</f>
        <v>1.5096491228070176E-2</v>
      </c>
    </row>
    <row r="132" spans="1:11" x14ac:dyDescent="0.15">
      <c r="A132">
        <v>130</v>
      </c>
      <c r="B132" s="5">
        <f>301.955333333333/1112</f>
        <v>0.27154256594724191</v>
      </c>
      <c r="C132" s="5">
        <f>416.445666666667/1112</f>
        <v>0.37450149880095956</v>
      </c>
      <c r="D132" s="5"/>
      <c r="E132" s="5">
        <f>395.408666666667/1112</f>
        <v>0.35558333333333364</v>
      </c>
      <c r="F132" s="5">
        <f>387.695/1112</f>
        <v>0.34864658273381294</v>
      </c>
      <c r="G132" s="5">
        <f>1.188/114</f>
        <v>1.0421052631578947E-2</v>
      </c>
      <c r="H132" s="5">
        <f>2.58566666666667/114</f>
        <v>2.2681286549707632E-2</v>
      </c>
      <c r="I132" s="5"/>
      <c r="J132" s="5">
        <f>1.996/114</f>
        <v>1.750877192982456E-2</v>
      </c>
      <c r="K132" s="5">
        <f>1.73966666666667/114</f>
        <v>1.5260233918128684E-2</v>
      </c>
    </row>
    <row r="133" spans="1:11" x14ac:dyDescent="0.15">
      <c r="A133">
        <v>131</v>
      </c>
      <c r="B133" s="5">
        <f>302.946666666667/1112</f>
        <v>0.27243405275779409</v>
      </c>
      <c r="C133" s="5">
        <f>418.674/1112</f>
        <v>0.3765053956834532</v>
      </c>
      <c r="D133" s="5"/>
      <c r="E133" s="5">
        <f>396.833/1112</f>
        <v>0.35686420863309354</v>
      </c>
      <c r="F133" s="5">
        <f>388.926/1112</f>
        <v>0.34975359712230214</v>
      </c>
      <c r="G133" s="5">
        <f>1.196/114</f>
        <v>1.0491228070175438E-2</v>
      </c>
      <c r="H133" s="5">
        <f>2.62/114</f>
        <v>2.2982456140350879E-2</v>
      </c>
      <c r="I133" s="5"/>
      <c r="J133" s="5">
        <f>2.00133333333333/114</f>
        <v>1.7555555555555526E-2</v>
      </c>
      <c r="K133" s="5">
        <f>1.74466666666667/114</f>
        <v>1.530409356725149E-2</v>
      </c>
    </row>
    <row r="134" spans="1:11" x14ac:dyDescent="0.15">
      <c r="A134">
        <v>132</v>
      </c>
      <c r="B134" s="5">
        <f>303.574/1112</f>
        <v>0.27299820143884895</v>
      </c>
      <c r="C134" s="5">
        <f>419.869333333333/1112</f>
        <v>0.37758033573141453</v>
      </c>
      <c r="D134" s="5"/>
      <c r="E134" s="5">
        <f>397.731/1112</f>
        <v>0.35767176258992806</v>
      </c>
      <c r="F134" s="5">
        <f>390.197333333333/1112</f>
        <v>0.35089688249400453</v>
      </c>
      <c r="G134" s="5">
        <f>1.202/114</f>
        <v>1.0543859649122807E-2</v>
      </c>
      <c r="H134" s="5">
        <f>2.63966666666667/114</f>
        <v>2.3154970760233946E-2</v>
      </c>
      <c r="I134" s="5"/>
      <c r="J134" s="5">
        <f>2.07066666666667/114</f>
        <v>1.8163742690058507E-2</v>
      </c>
      <c r="K134" s="5">
        <f>1.77666666666667/114</f>
        <v>1.5584795321637456E-2</v>
      </c>
    </row>
    <row r="135" spans="1:11" x14ac:dyDescent="0.15">
      <c r="A135">
        <v>133</v>
      </c>
      <c r="B135" s="5">
        <f>304.787/1112</f>
        <v>0.27408902877697838</v>
      </c>
      <c r="C135" s="5">
        <f>421.363333333333/1112</f>
        <v>0.37892386091127067</v>
      </c>
      <c r="D135" s="5"/>
      <c r="E135" s="5">
        <f>399.803/1112</f>
        <v>0.35953507194244605</v>
      </c>
      <c r="F135" s="5">
        <f>392.119666666667/1112</f>
        <v>0.35262559952038397</v>
      </c>
      <c r="G135" s="5">
        <f>1.23466666666667/114</f>
        <v>1.0830409356725175E-2</v>
      </c>
      <c r="H135" s="5">
        <f>2.64566666666667/114</f>
        <v>2.3207602339181316E-2</v>
      </c>
      <c r="I135" s="5"/>
      <c r="J135" s="5">
        <f>1.981/114</f>
        <v>1.737719298245614E-2</v>
      </c>
      <c r="K135" s="5">
        <f>1.78166666666667/114</f>
        <v>1.5628654970760263E-2</v>
      </c>
    </row>
    <row r="136" spans="1:11" x14ac:dyDescent="0.15">
      <c r="A136">
        <v>134</v>
      </c>
      <c r="B136" s="5">
        <f>305.636/1112</f>
        <v>0.27485251798561156</v>
      </c>
      <c r="C136" s="5">
        <f>422.136666666667/1112</f>
        <v>0.37961930455635523</v>
      </c>
      <c r="D136" s="5"/>
      <c r="E136" s="5">
        <f>401.274666666667/1112</f>
        <v>0.36085851318944873</v>
      </c>
      <c r="F136" s="5">
        <f>393.098333333333/1112</f>
        <v>0.3535056954436448</v>
      </c>
      <c r="G136" s="5">
        <f>1.218/114</f>
        <v>1.0684210526315789E-2</v>
      </c>
      <c r="H136" s="5">
        <f>2.69166666666667/114</f>
        <v>2.3611111111111142E-2</v>
      </c>
      <c r="I136" s="5"/>
      <c r="J136" s="5">
        <f>2.02033333333333/114</f>
        <v>1.7722222222222195E-2</v>
      </c>
      <c r="K136" s="5">
        <f>1.77566666666667/114</f>
        <v>1.5576023391812896E-2</v>
      </c>
    </row>
    <row r="137" spans="1:11" x14ac:dyDescent="0.15">
      <c r="A137">
        <v>135</v>
      </c>
      <c r="B137" s="5">
        <f>306.066333333333/1112</f>
        <v>0.27523950839328504</v>
      </c>
      <c r="C137" s="5">
        <f>424.873666666667/1112</f>
        <v>0.38208063549160703</v>
      </c>
      <c r="D137" s="5"/>
      <c r="E137" s="5">
        <f>402.540666666667/1112</f>
        <v>0.3619970023980818</v>
      </c>
      <c r="F137" s="5">
        <f>395.343666666667/1112</f>
        <v>0.35552488009592353</v>
      </c>
      <c r="G137" s="5">
        <f>1.228/114</f>
        <v>1.0771929824561403E-2</v>
      </c>
      <c r="H137" s="5">
        <f>2.673/114</f>
        <v>2.3447368421052633E-2</v>
      </c>
      <c r="I137" s="5"/>
      <c r="J137" s="5">
        <f>2.04/114</f>
        <v>1.7894736842105262E-2</v>
      </c>
      <c r="K137" s="5">
        <f>1.795/114</f>
        <v>1.5745614035087719E-2</v>
      </c>
    </row>
    <row r="138" spans="1:11" x14ac:dyDescent="0.15">
      <c r="A138">
        <v>136</v>
      </c>
      <c r="B138" s="5">
        <f>307.459666666667/1112</f>
        <v>0.27649250599520414</v>
      </c>
      <c r="C138" s="5">
        <f>425.97/1112</f>
        <v>0.38306654676258994</v>
      </c>
      <c r="D138" s="5"/>
      <c r="E138" s="5">
        <f>404.336333333333/1112</f>
        <v>0.36361181055155845</v>
      </c>
      <c r="F138" s="5">
        <f>395.346333333333/1112</f>
        <v>0.35552727817745772</v>
      </c>
      <c r="G138" s="5">
        <f>1.21266666666667/114</f>
        <v>1.0637426900584824E-2</v>
      </c>
      <c r="H138" s="5">
        <f>2.69066666666667/114</f>
        <v>2.3602339181286579E-2</v>
      </c>
      <c r="I138" s="5"/>
      <c r="J138" s="5">
        <f>2.03033333333333/114</f>
        <v>1.7809941520467807E-2</v>
      </c>
      <c r="K138" s="5">
        <f>1.808/114</f>
        <v>1.5859649122807018E-2</v>
      </c>
    </row>
    <row r="139" spans="1:11" x14ac:dyDescent="0.15">
      <c r="A139">
        <v>137</v>
      </c>
      <c r="B139" s="5">
        <f>308.228666666667/1112</f>
        <v>0.27718405275779406</v>
      </c>
      <c r="C139" s="5">
        <f>427.577666666667/1112</f>
        <v>0.38451229016786603</v>
      </c>
      <c r="D139" s="5"/>
      <c r="E139" s="5">
        <f>405.505666666667/1112</f>
        <v>0.36466336930455667</v>
      </c>
      <c r="F139" s="5">
        <f>397.464/1112</f>
        <v>0.35743165467625898</v>
      </c>
      <c r="G139" s="5">
        <f>1.252/114</f>
        <v>1.0982456140350877E-2</v>
      </c>
      <c r="H139" s="5">
        <f>2.75333333333333/114</f>
        <v>2.4152046783625699E-2</v>
      </c>
      <c r="I139" s="5"/>
      <c r="J139" s="5">
        <f>2.089/114</f>
        <v>1.8324561403508771E-2</v>
      </c>
      <c r="K139" s="5">
        <f>1.83666666666667/114</f>
        <v>1.6111111111111142E-2</v>
      </c>
    </row>
    <row r="140" spans="1:11" x14ac:dyDescent="0.15">
      <c r="A140">
        <v>138</v>
      </c>
      <c r="B140" s="5">
        <f>308.787/1112</f>
        <v>0.27768615107913669</v>
      </c>
      <c r="C140" s="5">
        <f>429.288666666667/1112</f>
        <v>0.38605095923261418</v>
      </c>
      <c r="D140" s="5"/>
      <c r="E140" s="5">
        <f>406.521/1112</f>
        <v>0.36557643884892088</v>
      </c>
      <c r="F140" s="5">
        <f>398.956333333333/1112</f>
        <v>0.35877368105515561</v>
      </c>
      <c r="G140" s="5">
        <f>1.25/114</f>
        <v>1.0964912280701754E-2</v>
      </c>
      <c r="H140" s="5">
        <f>2.76733333333333/114</f>
        <v>2.4274853801169564E-2</v>
      </c>
      <c r="I140" s="5"/>
      <c r="J140" s="5">
        <f>2.12766666666667/114</f>
        <v>1.8663742690058507E-2</v>
      </c>
      <c r="K140" s="5">
        <f>1.84066666666667/114</f>
        <v>1.6146198830409388E-2</v>
      </c>
    </row>
    <row r="141" spans="1:11" x14ac:dyDescent="0.15">
      <c r="A141">
        <v>139</v>
      </c>
      <c r="B141" s="5">
        <f>309.783333333333/1112</f>
        <v>0.27858213429256568</v>
      </c>
      <c r="C141" s="5">
        <f>431.214/1112</f>
        <v>0.38778237410071942</v>
      </c>
      <c r="D141" s="5"/>
      <c r="E141" s="5">
        <f>408.325333333333/1112</f>
        <v>0.3671990407673858</v>
      </c>
      <c r="F141" s="5">
        <f>399.841/1112</f>
        <v>0.35956924460431655</v>
      </c>
      <c r="G141" s="5">
        <f>1.276/114</f>
        <v>1.1192982456140352E-2</v>
      </c>
      <c r="H141" s="5">
        <f>2.77233333333333/114</f>
        <v>2.4318713450292368E-2</v>
      </c>
      <c r="I141" s="5"/>
      <c r="J141" s="5">
        <f>2.14633333333333/114</f>
        <v>1.8827485380116929E-2</v>
      </c>
      <c r="K141" s="5">
        <f>1.85866666666667/114</f>
        <v>1.6304093567251491E-2</v>
      </c>
    </row>
    <row r="142" spans="1:11" x14ac:dyDescent="0.15">
      <c r="A142">
        <v>140</v>
      </c>
      <c r="B142" s="5">
        <f>310.455/1112</f>
        <v>0.27918615107913669</v>
      </c>
      <c r="C142" s="5">
        <f>432.351/1112</f>
        <v>0.3888048561151079</v>
      </c>
      <c r="D142" s="5"/>
      <c r="E142" s="5">
        <f>409.208/1112</f>
        <v>0.36799280575539572</v>
      </c>
      <c r="F142" s="5">
        <f>402.437/1112</f>
        <v>0.3619037769784173</v>
      </c>
      <c r="G142" s="5">
        <f>1.27933333333333/114</f>
        <v>1.1222222222222194E-2</v>
      </c>
      <c r="H142" s="5">
        <f>2.76966666666667/114</f>
        <v>2.4295321637426929E-2</v>
      </c>
      <c r="I142" s="5"/>
      <c r="J142" s="5">
        <f>2.139/114</f>
        <v>1.8763157894736839E-2</v>
      </c>
      <c r="K142" s="5">
        <f>1.82966666666667/114</f>
        <v>1.6049707602339213E-2</v>
      </c>
    </row>
    <row r="143" spans="1:11" x14ac:dyDescent="0.15">
      <c r="A143">
        <v>141</v>
      </c>
      <c r="B143" s="5">
        <f>311.452333333333/1112</f>
        <v>0.28008303357314118</v>
      </c>
      <c r="C143" s="5">
        <f>434.398/1112</f>
        <v>0.39064568345323741</v>
      </c>
      <c r="D143" s="5"/>
      <c r="E143" s="5">
        <f>410.933333333333/1112</f>
        <v>0.36954436450839301</v>
      </c>
      <c r="F143" s="5">
        <f>402.6/1112</f>
        <v>0.36205035971223026</v>
      </c>
      <c r="G143" s="5">
        <f>1.29066666666667/114</f>
        <v>1.1321637426900615E-2</v>
      </c>
      <c r="H143" s="5">
        <f>2.796/114</f>
        <v>2.4526315789473684E-2</v>
      </c>
      <c r="I143" s="5"/>
      <c r="J143" s="5">
        <f>2.18266666666667/114</f>
        <v>1.9146198830409387E-2</v>
      </c>
      <c r="K143" s="5">
        <f>1.885/114</f>
        <v>1.6535087719298246E-2</v>
      </c>
    </row>
    <row r="144" spans="1:11" x14ac:dyDescent="0.15">
      <c r="A144">
        <v>142</v>
      </c>
      <c r="B144" s="5">
        <f>311.984333333333/1112</f>
        <v>0.28056145083932821</v>
      </c>
      <c r="C144" s="5">
        <f>435.096/1112</f>
        <v>0.39127338129496403</v>
      </c>
      <c r="D144" s="5"/>
      <c r="E144" s="5">
        <f>411.599666666667/1112</f>
        <v>0.37014358513189483</v>
      </c>
      <c r="F144" s="5">
        <f>404.281/1112</f>
        <v>0.36356205035971223</v>
      </c>
      <c r="G144" s="5">
        <f>1.238/114</f>
        <v>1.0859649122807017E-2</v>
      </c>
      <c r="H144" s="5">
        <f>2.80066666666667/114</f>
        <v>2.4567251461988335E-2</v>
      </c>
      <c r="I144" s="5"/>
      <c r="J144" s="5">
        <f>2.154/114</f>
        <v>1.8894736842105263E-2</v>
      </c>
      <c r="K144" s="5">
        <f>1.92166666666667/114</f>
        <v>1.6856725146198858E-2</v>
      </c>
    </row>
    <row r="145" spans="1:11" x14ac:dyDescent="0.15">
      <c r="A145">
        <v>143</v>
      </c>
      <c r="B145" s="5">
        <f>312.998333333333/1112</f>
        <v>0.28147332134292535</v>
      </c>
      <c r="C145" s="5">
        <f>436.737666666667/1112</f>
        <v>0.39274970023980843</v>
      </c>
      <c r="D145" s="5"/>
      <c r="E145" s="5">
        <f>414.066/1112</f>
        <v>0.37236151079136687</v>
      </c>
      <c r="F145" s="5">
        <f>405.421/1112</f>
        <v>0.36458723021582734</v>
      </c>
      <c r="G145" s="5">
        <f>1.30466666666667/114</f>
        <v>1.1444444444444474E-2</v>
      </c>
      <c r="H145" s="5">
        <f>2.78733333333333/114</f>
        <v>2.4450292397660792E-2</v>
      </c>
      <c r="I145" s="5"/>
      <c r="J145" s="5">
        <f>2.17833333333333/114</f>
        <v>1.9108187134502897E-2</v>
      </c>
      <c r="K145" s="5">
        <f>1.95433333333333/114</f>
        <v>1.7143274853801141E-2</v>
      </c>
    </row>
    <row r="146" spans="1:11" x14ac:dyDescent="0.15">
      <c r="A146">
        <v>144</v>
      </c>
      <c r="B146" s="5">
        <f>313.982333333333/1112</f>
        <v>0.28235821342925627</v>
      </c>
      <c r="C146" s="5">
        <f>438.750666666667/1112</f>
        <v>0.39455995203836958</v>
      </c>
      <c r="D146" s="5"/>
      <c r="E146" s="5">
        <f>415.375666666667/1112</f>
        <v>0.37353926858513214</v>
      </c>
      <c r="F146" s="5">
        <f>406.491/1112</f>
        <v>0.36554946043165465</v>
      </c>
      <c r="G146" s="5">
        <f>1.29533333333333/114</f>
        <v>1.1362573099415175E-2</v>
      </c>
      <c r="H146" s="5">
        <f>2.86/114</f>
        <v>2.5087719298245614E-2</v>
      </c>
      <c r="I146" s="5"/>
      <c r="J146" s="5">
        <f>2.20033333333333/114</f>
        <v>1.9301169590643246E-2</v>
      </c>
      <c r="K146" s="5">
        <f>1.927/114</f>
        <v>1.6903508771929823E-2</v>
      </c>
    </row>
    <row r="147" spans="1:11" x14ac:dyDescent="0.15">
      <c r="A147">
        <v>145</v>
      </c>
      <c r="B147" s="5">
        <f>314.225333333333/1112</f>
        <v>0.28257673860911242</v>
      </c>
      <c r="C147" s="5">
        <f>439.77/1112</f>
        <v>0.39547661870503598</v>
      </c>
      <c r="D147" s="5"/>
      <c r="E147" s="5">
        <f>416.518/1112</f>
        <v>0.37456654676258988</v>
      </c>
      <c r="F147" s="5">
        <f>408.472/1112</f>
        <v>0.36733093525179855</v>
      </c>
      <c r="G147" s="5">
        <f>1.31266666666667/114</f>
        <v>1.1514619883040965E-2</v>
      </c>
      <c r="H147" s="5">
        <f>2.84/114</f>
        <v>2.4912280701754386E-2</v>
      </c>
      <c r="I147" s="5"/>
      <c r="J147" s="5">
        <f>2.228/114</f>
        <v>1.9543859649122808E-2</v>
      </c>
      <c r="K147" s="5">
        <f>1.968/114</f>
        <v>1.7263157894736841E-2</v>
      </c>
    </row>
    <row r="148" spans="1:11" x14ac:dyDescent="0.15">
      <c r="A148">
        <v>146</v>
      </c>
      <c r="B148" s="5">
        <f>315.862/1112</f>
        <v>0.28404856115107918</v>
      </c>
      <c r="C148" s="5">
        <f>440.932/1112</f>
        <v>0.39652158273381294</v>
      </c>
      <c r="D148" s="5"/>
      <c r="E148" s="5">
        <f>417.447/1112</f>
        <v>0.37540197841726619</v>
      </c>
      <c r="F148" s="5">
        <f>410.008666666667/1112</f>
        <v>0.36871282973621133</v>
      </c>
      <c r="G148" s="5">
        <f>1.326/114</f>
        <v>1.1631578947368422E-2</v>
      </c>
      <c r="H148" s="5">
        <f>2.86966666666667/114</f>
        <v>2.5172514619883068E-2</v>
      </c>
      <c r="I148" s="5"/>
      <c r="J148" s="5">
        <f>2.211/114</f>
        <v>1.9394736842105263E-2</v>
      </c>
      <c r="K148" s="5">
        <f>1.89933333333333/114</f>
        <v>1.6660818713450262E-2</v>
      </c>
    </row>
    <row r="149" spans="1:11" x14ac:dyDescent="0.15">
      <c r="A149">
        <v>147</v>
      </c>
      <c r="B149" s="5">
        <f>316.165666666667/1112</f>
        <v>0.28432164268585164</v>
      </c>
      <c r="C149" s="5">
        <f>443.065/1112</f>
        <v>0.39843974820143885</v>
      </c>
      <c r="D149" s="5"/>
      <c r="E149" s="5">
        <f>418.698/1112</f>
        <v>0.37652697841726618</v>
      </c>
      <c r="F149" s="5">
        <f>410.687666666667/1112</f>
        <v>0.36932344124700267</v>
      </c>
      <c r="G149" s="5">
        <f>1.35533333333333/114</f>
        <v>1.1888888888888859E-2</v>
      </c>
      <c r="H149" s="5">
        <f>2.888/114</f>
        <v>2.5333333333333333E-2</v>
      </c>
      <c r="I149" s="5"/>
      <c r="J149" s="5">
        <f>2.24566666666667/114</f>
        <v>1.9698830409356754E-2</v>
      </c>
      <c r="K149" s="5">
        <f>1.927/114</f>
        <v>1.6903508771929823E-2</v>
      </c>
    </row>
    <row r="150" spans="1:11" x14ac:dyDescent="0.15">
      <c r="A150">
        <v>148</v>
      </c>
      <c r="B150" s="5">
        <f>316.903/1112</f>
        <v>0.28498471223021582</v>
      </c>
      <c r="C150" s="5">
        <f>444.692666666667/1112</f>
        <v>0.39990347721822572</v>
      </c>
      <c r="D150" s="5"/>
      <c r="E150" s="5">
        <f>420.273/1112</f>
        <v>0.37794334532374102</v>
      </c>
      <c r="F150" s="5">
        <f>412.842666666667/1112</f>
        <v>0.37126139088729049</v>
      </c>
      <c r="G150" s="5">
        <f>1.36133333333333/114</f>
        <v>1.1941520467836227E-2</v>
      </c>
      <c r="H150" s="5">
        <f>2.88866666666667/114</f>
        <v>2.5339181286549738E-2</v>
      </c>
      <c r="I150" s="5"/>
      <c r="J150" s="5">
        <f>2.23033333333333/114</f>
        <v>1.956432748538009E-2</v>
      </c>
      <c r="K150" s="5">
        <f>1.98933333333333/114</f>
        <v>1.7450292397660789E-2</v>
      </c>
    </row>
    <row r="151" spans="1:11" x14ac:dyDescent="0.15">
      <c r="A151">
        <v>149</v>
      </c>
      <c r="B151" s="5">
        <f>318.088333333333/1112</f>
        <v>0.28605065947242181</v>
      </c>
      <c r="C151" s="5">
        <f>445.736/1112</f>
        <v>0.40084172661870504</v>
      </c>
      <c r="D151" s="5"/>
      <c r="E151" s="5">
        <f>421.928/1112</f>
        <v>0.379431654676259</v>
      </c>
      <c r="F151" s="5">
        <f>413.647666666667/1112</f>
        <v>0.37198531175059985</v>
      </c>
      <c r="G151" s="5">
        <f>1.336/114</f>
        <v>1.1719298245614036E-2</v>
      </c>
      <c r="H151" s="5">
        <f>2.94533333333333/114</f>
        <v>2.5836257309941491E-2</v>
      </c>
      <c r="I151" s="5"/>
      <c r="J151" s="5">
        <f>2.24433333333333/114</f>
        <v>1.9687134502923948E-2</v>
      </c>
      <c r="K151" s="5">
        <f>2.00033333333333/114</f>
        <v>1.7546783625730967E-2</v>
      </c>
    </row>
    <row r="152" spans="1:11" x14ac:dyDescent="0.15">
      <c r="A152">
        <v>150</v>
      </c>
      <c r="B152" s="5">
        <f>318.947/1112</f>
        <v>0.2868228417266187</v>
      </c>
      <c r="C152" s="5">
        <f>447.539/1112</f>
        <v>0.40246312949640289</v>
      </c>
      <c r="D152" s="5"/>
      <c r="E152" s="5">
        <f>421.869333333333/1112</f>
        <v>0.37937889688249365</v>
      </c>
      <c r="F152" s="5">
        <f>414.823/1112</f>
        <v>0.37304226618705033</v>
      </c>
      <c r="G152" s="5">
        <f>1.33533333333333/114</f>
        <v>1.1713450292397631E-2</v>
      </c>
      <c r="H152" s="5">
        <f>2.916/114</f>
        <v>2.5578947368421052E-2</v>
      </c>
      <c r="I152" s="5"/>
      <c r="J152" s="5">
        <f>2.29666666666667/114</f>
        <v>2.0146198830409384E-2</v>
      </c>
      <c r="K152" s="5">
        <f>2.00533333333333/114</f>
        <v>1.7590643274853771E-2</v>
      </c>
    </row>
    <row r="153" spans="1:11" x14ac:dyDescent="0.15">
      <c r="A153">
        <v>151</v>
      </c>
      <c r="B153" s="5">
        <f>319.874333333333/1112</f>
        <v>0.28765677458033545</v>
      </c>
      <c r="C153" s="5">
        <f>449.354333333333/1112</f>
        <v>0.40409562350119871</v>
      </c>
      <c r="D153" s="5"/>
      <c r="E153" s="5">
        <f>424.606333333333/1112</f>
        <v>0.38184022781774551</v>
      </c>
      <c r="F153" s="5">
        <f>415.333/1112</f>
        <v>0.37350089928057556</v>
      </c>
      <c r="G153" s="5">
        <f>1.37933333333333/114</f>
        <v>1.2099415204678334E-2</v>
      </c>
      <c r="H153" s="5">
        <f>2.97166666666667/114</f>
        <v>2.6067251461988333E-2</v>
      </c>
      <c r="I153" s="5"/>
      <c r="J153" s="5">
        <f>2.25466666666667/114</f>
        <v>1.9777777777777807E-2</v>
      </c>
      <c r="K153" s="5">
        <f>1.973/114</f>
        <v>1.7307017543859649E-2</v>
      </c>
    </row>
    <row r="154" spans="1:11" x14ac:dyDescent="0.15">
      <c r="A154">
        <v>152</v>
      </c>
      <c r="B154" s="5">
        <f>320.212/1112</f>
        <v>0.28796043165467627</v>
      </c>
      <c r="C154" s="5">
        <f>450.113333333333/1112</f>
        <v>0.40477817745803329</v>
      </c>
      <c r="D154" s="5"/>
      <c r="E154" s="5">
        <f>425.776333333333/1112</f>
        <v>0.3828923860911268</v>
      </c>
      <c r="F154" s="5">
        <f>417.549/1112</f>
        <v>0.37549370503597118</v>
      </c>
      <c r="G154" s="5">
        <f>1.38333333333333/114</f>
        <v>1.2134502923976579E-2</v>
      </c>
      <c r="H154" s="5">
        <f>2.96633333333333/114</f>
        <v>2.6020467836257281E-2</v>
      </c>
      <c r="I154" s="5"/>
      <c r="J154" s="5">
        <f>2.311/114</f>
        <v>2.0271929824561403E-2</v>
      </c>
      <c r="K154" s="5">
        <f>2.07033333333333/114</f>
        <v>1.8160818713450263E-2</v>
      </c>
    </row>
    <row r="155" spans="1:11" x14ac:dyDescent="0.15">
      <c r="A155">
        <v>153</v>
      </c>
      <c r="B155" s="5">
        <f>320.960333333333/1112</f>
        <v>0.28863339328537141</v>
      </c>
      <c r="C155" s="5">
        <f>451.421/1112</f>
        <v>0.40595413669064745</v>
      </c>
      <c r="D155" s="5"/>
      <c r="E155" s="5">
        <f>426.575666666667/1112</f>
        <v>0.3836112110311754</v>
      </c>
      <c r="F155" s="5">
        <f>418.510666666667/1112</f>
        <v>0.37635851318944874</v>
      </c>
      <c r="G155" s="5">
        <f>1.358/114</f>
        <v>1.1912280701754386E-2</v>
      </c>
      <c r="H155" s="5">
        <f>3.01766666666667/114</f>
        <v>2.6470760233918159E-2</v>
      </c>
      <c r="I155" s="5"/>
      <c r="J155" s="5">
        <f>2.32266666666667/114</f>
        <v>2.0374269005847986E-2</v>
      </c>
      <c r="K155" s="5">
        <f>2.06633333333333/114</f>
        <v>1.8125730994152017E-2</v>
      </c>
    </row>
    <row r="156" spans="1:11" x14ac:dyDescent="0.15">
      <c r="A156">
        <v>154</v>
      </c>
      <c r="B156" s="5">
        <f>322.036666666667/1112</f>
        <v>0.28960131894484442</v>
      </c>
      <c r="C156" s="5">
        <f>452.767/1112</f>
        <v>0.40716456834532372</v>
      </c>
      <c r="D156" s="5"/>
      <c r="E156" s="5">
        <f>427.688/1112</f>
        <v>0.38461151079136691</v>
      </c>
      <c r="F156" s="5">
        <f>420.69/1112</f>
        <v>0.37831834532374098</v>
      </c>
      <c r="G156" s="5">
        <f>1.36866666666667/114</f>
        <v>1.2005847953216403E-2</v>
      </c>
      <c r="H156" s="5">
        <f>3.033/114</f>
        <v>2.6605263157894736E-2</v>
      </c>
      <c r="I156" s="5"/>
      <c r="J156" s="5">
        <f>2.32233333333333/114</f>
        <v>2.0371345029239735E-2</v>
      </c>
      <c r="K156" s="5">
        <f>2.084/114</f>
        <v>1.8280701754385967E-2</v>
      </c>
    </row>
    <row r="157" spans="1:11" x14ac:dyDescent="0.15">
      <c r="A157">
        <v>155</v>
      </c>
      <c r="B157" s="5">
        <f>322.931333333333/1112</f>
        <v>0.29040587529975986</v>
      </c>
      <c r="C157" s="5">
        <f>454.925/1112</f>
        <v>0.40910521582733816</v>
      </c>
      <c r="D157" s="5"/>
      <c r="E157" s="5">
        <f>429.447/1112</f>
        <v>0.386193345323741</v>
      </c>
      <c r="F157" s="5">
        <f>420.938333333333/1112</f>
        <v>0.37854166666666633</v>
      </c>
      <c r="G157" s="5">
        <f>1.40666666666667/114</f>
        <v>1.2339181286549738E-2</v>
      </c>
      <c r="H157" s="5">
        <f>3.04033333333333/114</f>
        <v>2.6669590643274822E-2</v>
      </c>
      <c r="I157" s="5"/>
      <c r="J157" s="5">
        <f>2.35733333333333/114</f>
        <v>2.0678362573099386E-2</v>
      </c>
      <c r="K157" s="5">
        <f>2.068/114</f>
        <v>1.8140350877192984E-2</v>
      </c>
    </row>
    <row r="158" spans="1:11" x14ac:dyDescent="0.15">
      <c r="A158">
        <v>156</v>
      </c>
      <c r="B158" s="5">
        <f>323.092/1112</f>
        <v>0.2905503597122302</v>
      </c>
      <c r="C158" s="5">
        <f>456.051666666667/1112</f>
        <v>0.4101184052757797</v>
      </c>
      <c r="D158" s="5"/>
      <c r="E158" s="5">
        <f>430.229333333333/1112</f>
        <v>0.3868968824940045</v>
      </c>
      <c r="F158" s="5">
        <f>422.267333333333/1112</f>
        <v>0.37973681055155845</v>
      </c>
      <c r="G158" s="5">
        <f>1.42333333333333/114</f>
        <v>1.2485380116959035E-2</v>
      </c>
      <c r="H158" s="5">
        <f>3.07166666666667/114</f>
        <v>2.6944444444444472E-2</v>
      </c>
      <c r="I158" s="5"/>
      <c r="J158" s="5">
        <f>2.387/114</f>
        <v>2.0938596491228069E-2</v>
      </c>
      <c r="K158" s="5">
        <f>2.07466666666667/114</f>
        <v>1.8198830409356756E-2</v>
      </c>
    </row>
    <row r="159" spans="1:11" x14ac:dyDescent="0.15">
      <c r="A159">
        <v>157</v>
      </c>
      <c r="B159" s="5">
        <f>324.025666666667/1112</f>
        <v>0.29138998800959265</v>
      </c>
      <c r="C159" s="5">
        <f>457.605/1112</f>
        <v>0.41151528776978419</v>
      </c>
      <c r="D159" s="5"/>
      <c r="E159" s="5">
        <f>431.861333333333/1112</f>
        <v>0.38836450839328507</v>
      </c>
      <c r="F159" s="5">
        <f>424.335666666667/1112</f>
        <v>0.38159682254196675</v>
      </c>
      <c r="G159" s="5">
        <f>1.4/114</f>
        <v>1.2280701754385965E-2</v>
      </c>
      <c r="H159" s="5">
        <f>3.06133333333333/114</f>
        <v>2.6853801169590616E-2</v>
      </c>
      <c r="I159" s="5"/>
      <c r="J159" s="5">
        <f>2.39/114</f>
        <v>2.0964912280701756E-2</v>
      </c>
      <c r="K159" s="5">
        <f>2.09833333333333/114</f>
        <v>1.8406432748537982E-2</v>
      </c>
    </row>
    <row r="160" spans="1:11" x14ac:dyDescent="0.15">
      <c r="A160">
        <v>158</v>
      </c>
      <c r="B160" s="5">
        <f>324.596/1112</f>
        <v>0.29190287769784173</v>
      </c>
      <c r="C160" s="5">
        <f>458.966666666667/1112</f>
        <v>0.41273980815347749</v>
      </c>
      <c r="D160" s="5"/>
      <c r="E160" s="5">
        <f>433.562333333333/1112</f>
        <v>0.38989418465227788</v>
      </c>
      <c r="F160" s="5">
        <f>424.905333333333/1112</f>
        <v>0.38210911270983183</v>
      </c>
      <c r="G160" s="5">
        <f>1.42066666666667/114</f>
        <v>1.2461988304093598E-2</v>
      </c>
      <c r="H160" s="5">
        <f>3.04533333333333/114</f>
        <v>2.6713450292397634E-2</v>
      </c>
      <c r="I160" s="5"/>
      <c r="J160" s="5">
        <f>2.36733333333333/114</f>
        <v>2.0766081871345002E-2</v>
      </c>
      <c r="K160" s="5">
        <f>2.10566666666667/114</f>
        <v>1.8470760233918158E-2</v>
      </c>
    </row>
    <row r="161" spans="1:11" x14ac:dyDescent="0.15">
      <c r="A161">
        <v>159</v>
      </c>
      <c r="B161" s="5">
        <f>325.247666666667/1112</f>
        <v>0.29248890887290196</v>
      </c>
      <c r="C161" s="5">
        <f>460.105333333333/1112</f>
        <v>0.41376378896882465</v>
      </c>
      <c r="D161" s="5"/>
      <c r="E161" s="5">
        <f>434.836666666667/1112</f>
        <v>0.39104016786570772</v>
      </c>
      <c r="F161" s="5">
        <f>426.416333333333/1112</f>
        <v>0.38346792565947213</v>
      </c>
      <c r="G161" s="5">
        <f>1.43533333333333/114</f>
        <v>1.2590643274853772E-2</v>
      </c>
      <c r="H161" s="5">
        <f>3.05866666666667/114</f>
        <v>2.6830409356725177E-2</v>
      </c>
      <c r="I161" s="5"/>
      <c r="J161" s="5">
        <f>2.38666666666667/114</f>
        <v>2.0935672514619912E-2</v>
      </c>
      <c r="K161" s="5">
        <f>2.149/114</f>
        <v>1.8850877192982455E-2</v>
      </c>
    </row>
    <row r="162" spans="1:11" x14ac:dyDescent="0.15">
      <c r="A162">
        <v>160</v>
      </c>
      <c r="B162" s="5">
        <f>326.259666666667/1112</f>
        <v>0.29339898081534799</v>
      </c>
      <c r="C162" s="5">
        <f>460.944333333333/1112</f>
        <v>0.41451828537170238</v>
      </c>
      <c r="D162" s="5"/>
      <c r="E162" s="5">
        <f>435.031333333333/1112</f>
        <v>0.39121522781774554</v>
      </c>
      <c r="F162" s="5">
        <f>427.420666666667/1112</f>
        <v>0.38437110311750627</v>
      </c>
      <c r="G162" s="5">
        <f>1.45266666666667/114</f>
        <v>1.2742690058479562E-2</v>
      </c>
      <c r="H162" s="5">
        <f>3.09/114</f>
        <v>2.7105263157894736E-2</v>
      </c>
      <c r="I162" s="5"/>
      <c r="J162" s="5">
        <f>2.376/114</f>
        <v>2.0842105263157894E-2</v>
      </c>
      <c r="K162" s="5">
        <f>2.137/114</f>
        <v>1.8745614035087718E-2</v>
      </c>
    </row>
    <row r="163" spans="1:11" x14ac:dyDescent="0.15">
      <c r="A163">
        <v>161</v>
      </c>
      <c r="B163" s="5">
        <f>327.090333333333/1112</f>
        <v>0.29414598321342894</v>
      </c>
      <c r="C163" s="5">
        <f>462.771/1112</f>
        <v>0.41616097122302159</v>
      </c>
      <c r="D163" s="5"/>
      <c r="E163" s="5">
        <f>438.012/1112</f>
        <v>0.39389568345323739</v>
      </c>
      <c r="F163" s="5">
        <f>428.253/1112</f>
        <v>0.38511960431654674</v>
      </c>
      <c r="G163" s="5">
        <f>1.426/114</f>
        <v>1.2508771929824561E-2</v>
      </c>
      <c r="H163" s="5">
        <f>3.131/114</f>
        <v>2.7464912280701751E-2</v>
      </c>
      <c r="I163" s="5"/>
      <c r="J163" s="5">
        <f>2.41966666666667/114</f>
        <v>2.1225146198830439E-2</v>
      </c>
      <c r="K163" s="5">
        <f>2.16633333333333/114</f>
        <v>1.900292397660816E-2</v>
      </c>
    </row>
    <row r="164" spans="1:11" x14ac:dyDescent="0.15">
      <c r="A164">
        <v>162</v>
      </c>
      <c r="B164" s="5">
        <f>327.861666666667/1112</f>
        <v>0.29483962829736243</v>
      </c>
      <c r="C164" s="5">
        <f>463.782333333333/1112</f>
        <v>0.41707044364508361</v>
      </c>
      <c r="D164" s="5"/>
      <c r="E164" s="5">
        <f>437.668333333333/1112</f>
        <v>0.39358663069544336</v>
      </c>
      <c r="F164" s="5">
        <f>430.215/1112</f>
        <v>0.38688399280575536</v>
      </c>
      <c r="G164" s="5">
        <f>1.48733333333333/114</f>
        <v>1.3046783625730966E-2</v>
      </c>
      <c r="H164" s="5">
        <f>3.138/114</f>
        <v>2.7526315789473683E-2</v>
      </c>
      <c r="I164" s="5"/>
      <c r="J164" s="5">
        <f>2.50466666666667/114</f>
        <v>2.1970760233918158E-2</v>
      </c>
      <c r="K164" s="5">
        <f>2.151/114</f>
        <v>1.8868421052631576E-2</v>
      </c>
    </row>
    <row r="165" spans="1:11" x14ac:dyDescent="0.15">
      <c r="A165">
        <v>163</v>
      </c>
      <c r="B165" s="5">
        <f>328.63/1112</f>
        <v>0.29553057553956835</v>
      </c>
      <c r="C165" s="5">
        <f>465.793666666667/1112</f>
        <v>0.41887919664268614</v>
      </c>
      <c r="D165" s="5"/>
      <c r="E165" s="5">
        <f>439.031333333333/1112</f>
        <v>0.39481235011990379</v>
      </c>
      <c r="F165" s="5">
        <f>430.327333333333/1112</f>
        <v>0.38698501199040736</v>
      </c>
      <c r="G165" s="5">
        <f>1.48666666666667/114</f>
        <v>1.3040935672514648E-2</v>
      </c>
      <c r="H165" s="5">
        <f>3.148/114</f>
        <v>2.7614035087719299E-2</v>
      </c>
      <c r="I165" s="5"/>
      <c r="J165" s="5">
        <f>2.453/114</f>
        <v>2.1517543859649123E-2</v>
      </c>
      <c r="K165" s="5">
        <f>2.109/114</f>
        <v>1.8499999999999999E-2</v>
      </c>
    </row>
    <row r="166" spans="1:11" x14ac:dyDescent="0.15">
      <c r="A166">
        <v>164</v>
      </c>
      <c r="B166" s="5">
        <f>329.543333333333/1112</f>
        <v>0.29635191846522752</v>
      </c>
      <c r="C166" s="5">
        <f>466.663/1112</f>
        <v>0.41966097122302159</v>
      </c>
      <c r="D166" s="5"/>
      <c r="E166" s="5">
        <f>440.412/1112</f>
        <v>0.39605395683453237</v>
      </c>
      <c r="F166" s="5">
        <f>432.184/1112</f>
        <v>0.3886546762589928</v>
      </c>
      <c r="G166" s="5">
        <f>1.51066666666667/114</f>
        <v>1.3251461988304122E-2</v>
      </c>
      <c r="H166" s="5">
        <f>3.168/114</f>
        <v>2.7789473684210527E-2</v>
      </c>
      <c r="I166" s="5"/>
      <c r="J166" s="5">
        <f>2.466/114</f>
        <v>2.1631578947368422E-2</v>
      </c>
      <c r="K166" s="5">
        <f>2.19366666666667/114</f>
        <v>1.9242690058479565E-2</v>
      </c>
    </row>
    <row r="167" spans="1:11" x14ac:dyDescent="0.15">
      <c r="A167">
        <v>165</v>
      </c>
      <c r="B167" s="5">
        <f>330.299666666667/1112</f>
        <v>0.29703207434052786</v>
      </c>
      <c r="C167" s="5">
        <f>467.933333333333/1112</f>
        <v>0.42080335731414836</v>
      </c>
      <c r="D167" s="5"/>
      <c r="E167" s="5">
        <f>442.369333333333/1112</f>
        <v>0.39781414868105486</v>
      </c>
      <c r="F167" s="5">
        <f>432.954666666667/1112</f>
        <v>0.38934772182254224</v>
      </c>
      <c r="G167" s="5">
        <f>1.52333333333333/114</f>
        <v>1.3362573099415177E-2</v>
      </c>
      <c r="H167" s="5">
        <f>3.17433333333333/114</f>
        <v>2.7845029239766055E-2</v>
      </c>
      <c r="I167" s="5"/>
      <c r="J167" s="5">
        <f>2.49166666666667/114</f>
        <v>2.1856725146198859E-2</v>
      </c>
      <c r="K167" s="5">
        <f>2.19833333333333/114</f>
        <v>1.9283625730994125E-2</v>
      </c>
    </row>
    <row r="168" spans="1:11" x14ac:dyDescent="0.15">
      <c r="A168">
        <v>166</v>
      </c>
      <c r="B168" s="5">
        <f>330.919/1112</f>
        <v>0.2975890287769784</v>
      </c>
      <c r="C168" s="5">
        <f>469.482666666667/1112</f>
        <v>0.42219664268585161</v>
      </c>
      <c r="D168" s="5"/>
      <c r="E168" s="5">
        <f>442.855333333333/1112</f>
        <v>0.39825119904076711</v>
      </c>
      <c r="F168" s="5">
        <f>433.844666666667/1112</f>
        <v>0.39014808153477248</v>
      </c>
      <c r="G168" s="5">
        <f>1.50733333333333/114</f>
        <v>1.3222222222222194E-2</v>
      </c>
      <c r="H168" s="5">
        <f>3.186/114</f>
        <v>2.794736842105263E-2</v>
      </c>
      <c r="I168" s="5"/>
      <c r="J168" s="5">
        <f>2.535/114</f>
        <v>2.2236842105263159E-2</v>
      </c>
      <c r="K168" s="5">
        <f>2.223/114</f>
        <v>1.95E-2</v>
      </c>
    </row>
    <row r="169" spans="1:11" x14ac:dyDescent="0.15">
      <c r="A169">
        <v>167</v>
      </c>
      <c r="B169" s="5">
        <f>331.734666666667/1112</f>
        <v>0.29832254196642716</v>
      </c>
      <c r="C169" s="5">
        <f>470.681/1112</f>
        <v>0.42327428057553956</v>
      </c>
      <c r="D169" s="5"/>
      <c r="E169" s="5">
        <f>444.368666666667/1112</f>
        <v>0.39961211031175092</v>
      </c>
      <c r="F169" s="5">
        <f>435.449/1112</f>
        <v>0.3915908273381295</v>
      </c>
      <c r="G169" s="5">
        <f>1.538/114</f>
        <v>1.3491228070175439E-2</v>
      </c>
      <c r="H169" s="5">
        <f>3.21866666666667/114</f>
        <v>2.8233918128655E-2</v>
      </c>
      <c r="I169" s="5"/>
      <c r="J169" s="5">
        <f>2.55666666666667/114</f>
        <v>2.2426900584795354E-2</v>
      </c>
      <c r="K169" s="5">
        <f>2.252/114</f>
        <v>1.9754385964912278E-2</v>
      </c>
    </row>
    <row r="170" spans="1:11" x14ac:dyDescent="0.15">
      <c r="A170">
        <v>168</v>
      </c>
      <c r="B170" s="5">
        <f>331.958666666667/1112</f>
        <v>0.29852398081534803</v>
      </c>
      <c r="C170" s="5">
        <f>471.445666666667/1112</f>
        <v>0.42396193045563579</v>
      </c>
      <c r="D170" s="5"/>
      <c r="E170" s="5">
        <f>445.319333333333/1112</f>
        <v>0.40046702637889658</v>
      </c>
      <c r="F170" s="5">
        <f>436.716333333333/1112</f>
        <v>0.39273051558752969</v>
      </c>
      <c r="G170" s="5">
        <f>1.53733333333333/114</f>
        <v>1.3485380116959036E-2</v>
      </c>
      <c r="H170" s="5">
        <f>3.23433333333333/114</f>
        <v>2.8371345029239738E-2</v>
      </c>
      <c r="I170" s="5"/>
      <c r="J170" s="5">
        <f>2.55833333333333/114</f>
        <v>2.2441520467836228E-2</v>
      </c>
      <c r="K170" s="5">
        <f>2.239/114</f>
        <v>1.9640350877192982E-2</v>
      </c>
    </row>
    <row r="171" spans="1:11" x14ac:dyDescent="0.15">
      <c r="A171">
        <v>169</v>
      </c>
      <c r="B171" s="5">
        <f>332.822666666667/1112</f>
        <v>0.29930095923261418</v>
      </c>
      <c r="C171" s="5">
        <f>473.858/1112</f>
        <v>0.4261312949640288</v>
      </c>
      <c r="D171" s="5"/>
      <c r="E171" s="5">
        <f>447.079/1112</f>
        <v>0.40204946043165468</v>
      </c>
      <c r="F171" s="5">
        <f>437.359666666667/1112</f>
        <v>0.3933090527577941</v>
      </c>
      <c r="G171" s="5">
        <f>1.54333333333333/114</f>
        <v>1.3538011695906403E-2</v>
      </c>
      <c r="H171" s="5">
        <f>3.23666666666667/114</f>
        <v>2.8391812865497103E-2</v>
      </c>
      <c r="I171" s="5"/>
      <c r="J171" s="5">
        <f>2.53566666666667/114</f>
        <v>2.224269005847956E-2</v>
      </c>
      <c r="K171" s="5">
        <f>2.23866666666667/114</f>
        <v>1.9637426900584825E-2</v>
      </c>
    </row>
    <row r="172" spans="1:11" x14ac:dyDescent="0.15">
      <c r="A172">
        <v>170</v>
      </c>
      <c r="B172" s="5">
        <f>333.781/1112</f>
        <v>0.30016276978417267</v>
      </c>
      <c r="C172" s="5">
        <f>474.262666666667/1112</f>
        <v>0.42649520383693074</v>
      </c>
      <c r="D172" s="5"/>
      <c r="E172" s="5">
        <f>447.582333333333/1112</f>
        <v>0.40250209832134265</v>
      </c>
      <c r="F172" s="5">
        <f>439.433/1112</f>
        <v>0.39517356115107916</v>
      </c>
      <c r="G172" s="5">
        <f>1.52933333333333/114</f>
        <v>1.3415204678362545E-2</v>
      </c>
      <c r="H172" s="5">
        <f>3.26433333333333/114</f>
        <v>2.8634502923976578E-2</v>
      </c>
      <c r="I172" s="5"/>
      <c r="J172" s="5">
        <f>2.552/114</f>
        <v>2.2385964912280704E-2</v>
      </c>
      <c r="K172" s="5">
        <f>2.27033333333333/114</f>
        <v>1.9915204678362546E-2</v>
      </c>
    </row>
    <row r="173" spans="1:11" x14ac:dyDescent="0.15">
      <c r="A173">
        <v>171</v>
      </c>
      <c r="B173" s="5">
        <f>334.159/1112</f>
        <v>0.30050269784172662</v>
      </c>
      <c r="C173" s="5">
        <f>475.545/1112</f>
        <v>0.42764838129496402</v>
      </c>
      <c r="D173" s="5"/>
      <c r="E173" s="5">
        <f>448.673666666667/1112</f>
        <v>0.40348351318944869</v>
      </c>
      <c r="F173" s="5">
        <f>440.029/1112</f>
        <v>0.39570953237410073</v>
      </c>
      <c r="G173" s="5">
        <f>1.538/114</f>
        <v>1.3491228070175439E-2</v>
      </c>
      <c r="H173" s="5">
        <f>3.29333333333333/114</f>
        <v>2.888888888888886E-2</v>
      </c>
      <c r="I173" s="5"/>
      <c r="J173" s="5">
        <f>2.581/114</f>
        <v>2.2640350877192982E-2</v>
      </c>
      <c r="K173" s="5">
        <f>2.287/114</f>
        <v>2.0061403508771929E-2</v>
      </c>
    </row>
    <row r="174" spans="1:11" x14ac:dyDescent="0.15">
      <c r="A174">
        <v>172</v>
      </c>
      <c r="B174" s="5">
        <f>335.2/1112</f>
        <v>0.30143884892086331</v>
      </c>
      <c r="C174" s="5">
        <f>477.163333333333/1112</f>
        <v>0.42910371702637862</v>
      </c>
      <c r="D174" s="5"/>
      <c r="E174" s="5">
        <f>450.206333333333/1112</f>
        <v>0.40486181055155845</v>
      </c>
      <c r="F174" s="5">
        <f>441.157666666667/1112</f>
        <v>0.39672452038369338</v>
      </c>
      <c r="G174" s="5">
        <f>1.57066666666667/114</f>
        <v>1.3777777777777807E-2</v>
      </c>
      <c r="H174" s="5">
        <f>3.27633333333333/114</f>
        <v>2.8739766081871315E-2</v>
      </c>
      <c r="I174" s="5"/>
      <c r="J174" s="5">
        <f>2.59166666666667/114</f>
        <v>2.2733918128654999E-2</v>
      </c>
      <c r="K174" s="5">
        <f>2.27/114</f>
        <v>1.9912280701754385E-2</v>
      </c>
    </row>
    <row r="175" spans="1:11" x14ac:dyDescent="0.15">
      <c r="A175">
        <v>173</v>
      </c>
      <c r="B175" s="5">
        <f>335.723333333333/1112</f>
        <v>0.30190947242206206</v>
      </c>
      <c r="C175" s="5">
        <f>478.218/1112</f>
        <v>0.43005215827338134</v>
      </c>
      <c r="D175" s="5"/>
      <c r="E175" s="5">
        <f>450.895333333333/1112</f>
        <v>0.40548141486810518</v>
      </c>
      <c r="F175" s="5">
        <f>441.987666666667/1112</f>
        <v>0.39747092326139116</v>
      </c>
      <c r="G175" s="5">
        <f>1.56533333333333/114</f>
        <v>1.3730994152046753E-2</v>
      </c>
      <c r="H175" s="5">
        <f>3.316/114</f>
        <v>2.9087719298245614E-2</v>
      </c>
      <c r="I175" s="5"/>
      <c r="J175" s="5">
        <f>2.59533333333333/114</f>
        <v>2.2766081871345E-2</v>
      </c>
      <c r="K175" s="5">
        <f>2.29233333333333/114</f>
        <v>2.0108187134502895E-2</v>
      </c>
    </row>
    <row r="176" spans="1:11" x14ac:dyDescent="0.15">
      <c r="A176">
        <v>174</v>
      </c>
      <c r="B176" s="5">
        <f>336.429666666667/1112</f>
        <v>0.30254466426858545</v>
      </c>
      <c r="C176" s="5">
        <f>479.741333333333/1112</f>
        <v>0.4314220623501196</v>
      </c>
      <c r="D176" s="5"/>
      <c r="E176" s="5">
        <f>452.575/1112</f>
        <v>0.40699190647482014</v>
      </c>
      <c r="F176" s="5">
        <f>443.325333333333/1112</f>
        <v>0.39867386091127066</v>
      </c>
      <c r="G176" s="5">
        <f>1.59533333333333/114</f>
        <v>1.3994152046783595E-2</v>
      </c>
      <c r="H176" s="5">
        <f>3.325/114</f>
        <v>2.9166666666666667E-2</v>
      </c>
      <c r="I176" s="5"/>
      <c r="J176" s="5">
        <f>2.61766666666667/114</f>
        <v>2.2961988304093597E-2</v>
      </c>
      <c r="K176" s="5">
        <f>2.32266666666667/114</f>
        <v>2.0374269005847986E-2</v>
      </c>
    </row>
    <row r="177" spans="1:11" x14ac:dyDescent="0.15">
      <c r="A177">
        <v>175</v>
      </c>
      <c r="B177" s="5">
        <f>336.790333333333/1112</f>
        <v>0.3028690047961628</v>
      </c>
      <c r="C177" s="5">
        <f>481.114/1112</f>
        <v>0.43265647482014385</v>
      </c>
      <c r="D177" s="5"/>
      <c r="E177" s="5">
        <f>453.405/1112</f>
        <v>0.40773830935251798</v>
      </c>
      <c r="F177" s="5">
        <f>445.726/1112</f>
        <v>0.40083273381294965</v>
      </c>
      <c r="G177" s="5">
        <f>1.58666666666667/114</f>
        <v>1.391812865497079E-2</v>
      </c>
      <c r="H177" s="5">
        <f>3.35433333333333/114</f>
        <v>2.9423976608187102E-2</v>
      </c>
      <c r="I177" s="5"/>
      <c r="J177" s="5">
        <f>2.60233333333333/114</f>
        <v>2.2827485380116929E-2</v>
      </c>
      <c r="K177" s="5">
        <f>2.34533333333333/114</f>
        <v>2.0573099415204649E-2</v>
      </c>
    </row>
    <row r="178" spans="1:11" x14ac:dyDescent="0.15">
      <c r="A178">
        <v>176</v>
      </c>
      <c r="B178" s="5">
        <f>337.746/1112</f>
        <v>0.30372841726618705</v>
      </c>
      <c r="C178" s="5">
        <f>482.436333333333/1112</f>
        <v>0.43384562350119871</v>
      </c>
      <c r="D178" s="5"/>
      <c r="E178" s="5">
        <f>455.144666666667/1112</f>
        <v>0.40930275779376529</v>
      </c>
      <c r="F178" s="5">
        <f>445.600666666667/1112</f>
        <v>0.40072002398081563</v>
      </c>
      <c r="G178" s="5">
        <f>1.59/114</f>
        <v>1.3947368421052632E-2</v>
      </c>
      <c r="H178" s="5">
        <f>3.37833333333333/114</f>
        <v>2.9634502923976579E-2</v>
      </c>
      <c r="I178" s="5"/>
      <c r="J178" s="5">
        <f>2.65133333333333/114</f>
        <v>2.3257309941520438E-2</v>
      </c>
      <c r="K178" s="5">
        <f>2.348/114</f>
        <v>2.0596491228070175E-2</v>
      </c>
    </row>
    <row r="179" spans="1:11" x14ac:dyDescent="0.15">
      <c r="A179">
        <v>177</v>
      </c>
      <c r="B179" s="5">
        <f>338.480666666667/1112</f>
        <v>0.3043890887290171</v>
      </c>
      <c r="C179" s="5">
        <f>483.235666666667/1112</f>
        <v>0.43456444844124731</v>
      </c>
      <c r="D179" s="5"/>
      <c r="E179" s="5">
        <f>456.292666666667/1112</f>
        <v>0.41033513189448473</v>
      </c>
      <c r="F179" s="5">
        <f>446.814333333333/1112</f>
        <v>0.40181145083932823</v>
      </c>
      <c r="G179" s="5">
        <f>1.60533333333333/114</f>
        <v>1.4081871345029209E-2</v>
      </c>
      <c r="H179" s="5">
        <f>3.36866666666667/114</f>
        <v>2.9549707602339211E-2</v>
      </c>
      <c r="I179" s="5"/>
      <c r="J179" s="5">
        <f>2.69833333333333/114</f>
        <v>2.3669590643274827E-2</v>
      </c>
      <c r="K179" s="5">
        <f>2.38233333333333/114</f>
        <v>2.0897660818713418E-2</v>
      </c>
    </row>
    <row r="180" spans="1:11" x14ac:dyDescent="0.15">
      <c r="A180">
        <v>178</v>
      </c>
      <c r="B180" s="5">
        <f>338.977666666667/1112</f>
        <v>0.30483603117506025</v>
      </c>
      <c r="C180" s="5">
        <f>484.709333333333/1112</f>
        <v>0.43588968824940016</v>
      </c>
      <c r="D180" s="5"/>
      <c r="E180" s="5">
        <f>456.485333333333/1112</f>
        <v>0.41050839328537142</v>
      </c>
      <c r="F180" s="5">
        <f>448.422333333333/1112</f>
        <v>0.40325749400479582</v>
      </c>
      <c r="G180" s="5">
        <f>1.61/114</f>
        <v>1.412280701754386E-2</v>
      </c>
      <c r="H180" s="5">
        <f>3.39466666666667/114</f>
        <v>2.9777777777777806E-2</v>
      </c>
      <c r="I180" s="5"/>
      <c r="J180" s="5">
        <f>2.63333333333333/114</f>
        <v>2.3099415204678335E-2</v>
      </c>
      <c r="K180" s="5">
        <f>2.39233333333333/114</f>
        <v>2.0985380116959038E-2</v>
      </c>
    </row>
    <row r="181" spans="1:11" x14ac:dyDescent="0.15">
      <c r="A181">
        <v>179</v>
      </c>
      <c r="B181" s="5">
        <f>339.711666666667/1112</f>
        <v>0.3054961031175063</v>
      </c>
      <c r="C181" s="5">
        <f>485.465/1112</f>
        <v>0.43656924460431651</v>
      </c>
      <c r="D181" s="5"/>
      <c r="E181" s="5">
        <f>458.431/1112</f>
        <v>0.41225809352517984</v>
      </c>
      <c r="F181" s="5">
        <f>449.21/1112</f>
        <v>0.40396582733812947</v>
      </c>
      <c r="G181" s="5">
        <f>1.61933333333333/114</f>
        <v>1.4204678362573071E-2</v>
      </c>
      <c r="H181" s="5">
        <f>3.38566666666667/114</f>
        <v>2.9698830409356752E-2</v>
      </c>
      <c r="I181" s="5"/>
      <c r="J181" s="5">
        <f>2.687/114</f>
        <v>2.3570175438596491E-2</v>
      </c>
      <c r="K181" s="5">
        <f>2.36766666666667/114</f>
        <v>2.0769005847953246E-2</v>
      </c>
    </row>
    <row r="182" spans="1:11" x14ac:dyDescent="0.15">
      <c r="A182">
        <v>180</v>
      </c>
      <c r="B182" s="5">
        <f>340.577/1112</f>
        <v>0.30627428057553957</v>
      </c>
      <c r="C182" s="5">
        <f>486.475333333333/1112</f>
        <v>0.43747781774580308</v>
      </c>
      <c r="D182" s="5"/>
      <c r="E182" s="5">
        <f>459.174333333333/1112</f>
        <v>0.41292655875299727</v>
      </c>
      <c r="F182" s="5">
        <f>450.144/1112</f>
        <v>0.40480575539568348</v>
      </c>
      <c r="G182" s="5">
        <f>1.634/114</f>
        <v>1.4333333333333332E-2</v>
      </c>
      <c r="H182" s="5">
        <f>3.40166666666667/114</f>
        <v>2.9839181286549735E-2</v>
      </c>
      <c r="I182" s="5"/>
      <c r="J182" s="5">
        <f>2.73366666666667/114</f>
        <v>2.3979532163742719E-2</v>
      </c>
      <c r="K182" s="5">
        <f>2.38633333333333/114</f>
        <v>2.0932748538011664E-2</v>
      </c>
    </row>
    <row r="183" spans="1:11" x14ac:dyDescent="0.15">
      <c r="A183">
        <v>181</v>
      </c>
      <c r="B183" s="5">
        <f>341.177333333333/1112</f>
        <v>0.30681414868105489</v>
      </c>
      <c r="C183" s="5">
        <f>488.216333333333/1112</f>
        <v>0.43904346522781745</v>
      </c>
      <c r="D183" s="5"/>
      <c r="E183" s="5">
        <f>459.840333333333/1112</f>
        <v>0.41352547961630665</v>
      </c>
      <c r="F183" s="5">
        <f>451.718/1112</f>
        <v>0.40622122302158276</v>
      </c>
      <c r="G183" s="5">
        <f>1.64533333333333/114</f>
        <v>1.4432748538011667E-2</v>
      </c>
      <c r="H183" s="5">
        <f>3.41566666666667/114</f>
        <v>2.9961988304093599E-2</v>
      </c>
      <c r="I183" s="5"/>
      <c r="J183" s="5">
        <f>2.73366666666667/114</f>
        <v>2.3979532163742719E-2</v>
      </c>
      <c r="K183" s="5">
        <f>2.37733333333333/114</f>
        <v>2.0853801169590614E-2</v>
      </c>
    </row>
    <row r="184" spans="1:11" x14ac:dyDescent="0.15">
      <c r="A184">
        <v>182</v>
      </c>
      <c r="B184" s="5">
        <f>341.808333333333/1112</f>
        <v>0.30738159472422033</v>
      </c>
      <c r="C184" s="5">
        <f>489.275666666667/1112</f>
        <v>0.43999610311750631</v>
      </c>
      <c r="D184" s="5"/>
      <c r="E184" s="5">
        <f>461.510333333333/1112</f>
        <v>0.41502727817745771</v>
      </c>
      <c r="F184" s="5">
        <f>452.149/1112</f>
        <v>0.4066088129496403</v>
      </c>
      <c r="G184" s="5">
        <f>1.652/114</f>
        <v>1.4491228070175438E-2</v>
      </c>
      <c r="H184" s="5">
        <f>3.42966666666667/114</f>
        <v>3.0084795321637457E-2</v>
      </c>
      <c r="I184" s="5"/>
      <c r="J184" s="5">
        <f>2.71733333333333/114</f>
        <v>2.3836257309941489E-2</v>
      </c>
      <c r="K184" s="5">
        <f>2.42733333333333/114</f>
        <v>2.1292397660818682E-2</v>
      </c>
    </row>
    <row r="185" spans="1:11" x14ac:dyDescent="0.15">
      <c r="A185">
        <v>183</v>
      </c>
      <c r="B185" s="5">
        <f>342.292666666667/1112</f>
        <v>0.30781714628297391</v>
      </c>
      <c r="C185" s="5">
        <f>490.528/1112</f>
        <v>0.44112230215827342</v>
      </c>
      <c r="D185" s="5"/>
      <c r="E185" s="5">
        <f>463.011666666667/1112</f>
        <v>0.41637739808153507</v>
      </c>
      <c r="F185" s="5">
        <f>454.212/1112</f>
        <v>0.40846402877697841</v>
      </c>
      <c r="G185" s="5">
        <f>1.662/114</f>
        <v>1.4578947368421052E-2</v>
      </c>
      <c r="H185" s="5">
        <f>3.46966666666667/114</f>
        <v>3.0435672514619913E-2</v>
      </c>
      <c r="I185" s="5"/>
      <c r="J185" s="5">
        <f>2.704/114</f>
        <v>2.3719298245614036E-2</v>
      </c>
      <c r="K185" s="5">
        <f>2.373/114</f>
        <v>2.0815789473684211E-2</v>
      </c>
    </row>
    <row r="186" spans="1:11" x14ac:dyDescent="0.15">
      <c r="A186">
        <v>184</v>
      </c>
      <c r="B186" s="5">
        <f>342.875/1112</f>
        <v>0.30834082733812951</v>
      </c>
      <c r="C186" s="5">
        <f>491.916666666667/1112</f>
        <v>0.44237110311750633</v>
      </c>
      <c r="D186" s="5"/>
      <c r="E186" s="5">
        <f>463.527333333333/1112</f>
        <v>0.41684112709832105</v>
      </c>
      <c r="F186" s="5">
        <f>454.359666666667/1112</f>
        <v>0.40859682254196672</v>
      </c>
      <c r="G186" s="5">
        <f>1.66466666666667/114</f>
        <v>1.460233918128658E-2</v>
      </c>
      <c r="H186" s="5">
        <f>3.475/114</f>
        <v>3.0482456140350878E-2</v>
      </c>
      <c r="I186" s="5"/>
      <c r="J186" s="5">
        <f>2.754/114</f>
        <v>2.4157894736842104E-2</v>
      </c>
      <c r="K186" s="5">
        <f>2.438/114</f>
        <v>2.1385964912280703E-2</v>
      </c>
    </row>
    <row r="187" spans="1:11" x14ac:dyDescent="0.15">
      <c r="A187">
        <v>185</v>
      </c>
      <c r="B187" s="5">
        <f>343.686/1112</f>
        <v>0.30907014388489207</v>
      </c>
      <c r="C187" s="5">
        <f>492.972666666667/1112</f>
        <v>0.44332074340527611</v>
      </c>
      <c r="D187" s="5"/>
      <c r="E187" s="5">
        <f>464.053333333333/1112</f>
        <v>0.41731414868105488</v>
      </c>
      <c r="F187" s="5">
        <f>456.649/1112</f>
        <v>0.41065557553956833</v>
      </c>
      <c r="G187" s="5">
        <f>1.70133333333333/114</f>
        <v>1.4923976608187105E-2</v>
      </c>
      <c r="H187" s="5">
        <f>3.50566666666667/114</f>
        <v>3.0751461988304123E-2</v>
      </c>
      <c r="I187" s="5"/>
      <c r="J187" s="5">
        <f>2.80966666666667/114</f>
        <v>2.4646198830409385E-2</v>
      </c>
      <c r="K187" s="5">
        <f>2.42566666666667/114</f>
        <v>2.1277777777777805E-2</v>
      </c>
    </row>
    <row r="188" spans="1:11" x14ac:dyDescent="0.15">
      <c r="A188">
        <v>186</v>
      </c>
      <c r="B188" s="5">
        <f>344.605/1112</f>
        <v>0.30989658273381299</v>
      </c>
      <c r="C188" s="5">
        <f>494.366666666667/1112</f>
        <v>0.44457434052757827</v>
      </c>
      <c r="D188" s="5"/>
      <c r="E188" s="5">
        <f>466.424/1112</f>
        <v>0.41944604316546763</v>
      </c>
      <c r="F188" s="5">
        <f>456.480666666667/1112</f>
        <v>0.41050419664268617</v>
      </c>
      <c r="G188" s="5">
        <f>1.67666666666667/114</f>
        <v>1.4707602339181317E-2</v>
      </c>
      <c r="H188" s="5">
        <f>3.497/114</f>
        <v>3.0675438596491227E-2</v>
      </c>
      <c r="I188" s="5"/>
      <c r="J188" s="5">
        <f>2.74766666666667/114</f>
        <v>2.410233918128658E-2</v>
      </c>
      <c r="K188" s="5">
        <f>2.41766666666667/114</f>
        <v>2.1207602339181314E-2</v>
      </c>
    </row>
    <row r="189" spans="1:11" x14ac:dyDescent="0.15">
      <c r="A189">
        <v>187</v>
      </c>
      <c r="B189" s="5">
        <f>344.760333333333/1112</f>
        <v>0.31003627098321312</v>
      </c>
      <c r="C189" s="5">
        <f>495.622/1112</f>
        <v>0.44570323741007195</v>
      </c>
      <c r="D189" s="5"/>
      <c r="E189" s="5">
        <f>466.675/1112</f>
        <v>0.41967176258992805</v>
      </c>
      <c r="F189" s="5">
        <f>458.269333333333/1112</f>
        <v>0.41211270983213399</v>
      </c>
      <c r="G189" s="5">
        <f>1.68333333333333/114</f>
        <v>1.4766081871345E-2</v>
      </c>
      <c r="H189" s="5">
        <f>3.52966666666667/114</f>
        <v>3.0961988304093597E-2</v>
      </c>
      <c r="I189" s="5"/>
      <c r="J189" s="5">
        <f>2.80833333333333/114</f>
        <v>2.4634502923976578E-2</v>
      </c>
      <c r="K189" s="5">
        <f>2.47766666666667/114</f>
        <v>2.1733918128655001E-2</v>
      </c>
    </row>
    <row r="190" spans="1:11" x14ac:dyDescent="0.15">
      <c r="A190">
        <v>188</v>
      </c>
      <c r="B190" s="5">
        <f>345.528666666667/1112</f>
        <v>0.31072721822541993</v>
      </c>
      <c r="C190" s="5">
        <f>496.513666666667/1112</f>
        <v>0.44650509592326171</v>
      </c>
      <c r="D190" s="5"/>
      <c r="E190" s="5">
        <f>467.950666666667/1112</f>
        <v>0.42081894484412502</v>
      </c>
      <c r="F190" s="5">
        <f>458.984333333333/1112</f>
        <v>0.41275569544364477</v>
      </c>
      <c r="G190" s="5">
        <f>1.69066666666667/114</f>
        <v>1.4830409356725176E-2</v>
      </c>
      <c r="H190" s="5">
        <f>3.54066666666667/114</f>
        <v>3.1058479532163775E-2</v>
      </c>
      <c r="I190" s="5"/>
      <c r="J190" s="5">
        <f>2.796/114</f>
        <v>2.4526315789473684E-2</v>
      </c>
      <c r="K190" s="5">
        <f>2.54/114</f>
        <v>2.2280701754385967E-2</v>
      </c>
    </row>
    <row r="191" spans="1:11" x14ac:dyDescent="0.15">
      <c r="A191">
        <v>189</v>
      </c>
      <c r="B191" s="5">
        <f>346.310333333333/1112</f>
        <v>0.31143015587529949</v>
      </c>
      <c r="C191" s="5">
        <f>497.546/1112</f>
        <v>0.44743345323741007</v>
      </c>
      <c r="D191" s="5"/>
      <c r="E191" s="5">
        <f>469.208666666667/1112</f>
        <v>0.42195023980815377</v>
      </c>
      <c r="F191" s="5">
        <f>460.283666666667/1112</f>
        <v>0.41392416067146309</v>
      </c>
      <c r="G191" s="5">
        <f>1.73/114</f>
        <v>1.5175438596491227E-2</v>
      </c>
      <c r="H191" s="5">
        <f>3.57533333333333/114</f>
        <v>3.1362573099415175E-2</v>
      </c>
      <c r="I191" s="5"/>
      <c r="J191" s="5">
        <f>2.86566666666667/114</f>
        <v>2.5137426900584823E-2</v>
      </c>
      <c r="K191" s="5">
        <f>2.46833333333333/114</f>
        <v>2.1652046783625704E-2</v>
      </c>
    </row>
    <row r="192" spans="1:11" x14ac:dyDescent="0.15">
      <c r="A192">
        <v>190</v>
      </c>
      <c r="B192" s="5">
        <f>346.846666666667/1112</f>
        <v>0.31191247002398109</v>
      </c>
      <c r="C192" s="5">
        <f>499.222333333333/1112</f>
        <v>0.4489409472422059</v>
      </c>
      <c r="D192" s="5"/>
      <c r="E192" s="5">
        <f>470.692666666667/1112</f>
        <v>0.42328477218225447</v>
      </c>
      <c r="F192" s="5">
        <f>461.238/1112</f>
        <v>0.41478237410071944</v>
      </c>
      <c r="G192" s="5">
        <f>1.722/114</f>
        <v>1.5105263157894736E-2</v>
      </c>
      <c r="H192" s="5">
        <f>3.57466666666667/114</f>
        <v>3.1356725146198861E-2</v>
      </c>
      <c r="I192" s="5"/>
      <c r="J192" s="5">
        <f>2.828/114</f>
        <v>2.4807017543859649E-2</v>
      </c>
      <c r="K192" s="5">
        <f>2.50566666666667/114</f>
        <v>2.197953216374272E-2</v>
      </c>
    </row>
    <row r="193" spans="1:11" x14ac:dyDescent="0.15">
      <c r="A193">
        <v>191</v>
      </c>
      <c r="B193" s="5">
        <f>347.814/1112</f>
        <v>0.31278237410071946</v>
      </c>
      <c r="C193" s="5">
        <f>500.536/1112</f>
        <v>0.45012230215827337</v>
      </c>
      <c r="D193" s="5"/>
      <c r="E193" s="5">
        <f>472.095333333333/1112</f>
        <v>0.42454616306954401</v>
      </c>
      <c r="F193" s="5">
        <f>461.799333333333/1112</f>
        <v>0.41528717026378864</v>
      </c>
      <c r="G193" s="5">
        <f>1.742/114</f>
        <v>1.5280701754385964E-2</v>
      </c>
      <c r="H193" s="5">
        <f>3.576/114</f>
        <v>3.136842105263158E-2</v>
      </c>
      <c r="I193" s="5"/>
      <c r="J193" s="5">
        <f>2.88233333333333/114</f>
        <v>2.528362573099412E-2</v>
      </c>
      <c r="K193" s="5">
        <f>2.542/114</f>
        <v>2.2298245614035084E-2</v>
      </c>
    </row>
    <row r="194" spans="1:11" x14ac:dyDescent="0.15">
      <c r="A194">
        <v>192</v>
      </c>
      <c r="B194" s="5">
        <f>348.121333333333/1112</f>
        <v>0.31305875299760161</v>
      </c>
      <c r="C194" s="5">
        <f>501.283666666667/1112</f>
        <v>0.45079466426858544</v>
      </c>
      <c r="D194" s="5"/>
      <c r="E194" s="5">
        <f>471.27/1112</f>
        <v>0.42380395683453237</v>
      </c>
      <c r="F194" s="5">
        <f>462.790666666667/1112</f>
        <v>0.41617865707434082</v>
      </c>
      <c r="G194" s="5">
        <f>1.74533333333333/114</f>
        <v>1.5309941520467808E-2</v>
      </c>
      <c r="H194" s="5">
        <f>3.597/114</f>
        <v>3.1552631578947367E-2</v>
      </c>
      <c r="I194" s="5"/>
      <c r="J194" s="5">
        <f>2.922/114</f>
        <v>2.5631578947368422E-2</v>
      </c>
      <c r="K194" s="5">
        <f>2.55266666666667/114</f>
        <v>2.2391812865497109E-2</v>
      </c>
    </row>
    <row r="195" spans="1:11" x14ac:dyDescent="0.15">
      <c r="A195">
        <v>193</v>
      </c>
      <c r="B195" s="5">
        <f>348.909666666667/1112</f>
        <v>0.31376768585131926</v>
      </c>
      <c r="C195" s="5">
        <f>502.559/1112</f>
        <v>0.45194154676258996</v>
      </c>
      <c r="D195" s="5"/>
      <c r="E195" s="5">
        <f>473.807/1112</f>
        <v>0.42608543165467627</v>
      </c>
      <c r="F195" s="5">
        <f>463.939666666667/1112</f>
        <v>0.41721193045563576</v>
      </c>
      <c r="G195" s="5">
        <f>1.766/114</f>
        <v>1.5491228070175439E-2</v>
      </c>
      <c r="H195" s="5">
        <f>3.62766666666667/114</f>
        <v>3.1821637426900612E-2</v>
      </c>
      <c r="I195" s="5"/>
      <c r="J195" s="5">
        <f>2.87733333333333/114</f>
        <v>2.5239766081871316E-2</v>
      </c>
      <c r="K195" s="5">
        <f>2.57333333333333/114</f>
        <v>2.2573099415204651E-2</v>
      </c>
    </row>
    <row r="196" spans="1:11" x14ac:dyDescent="0.15">
      <c r="A196">
        <v>194</v>
      </c>
      <c r="B196" s="5">
        <f>349.611/1112</f>
        <v>0.314398381294964</v>
      </c>
      <c r="C196" s="5">
        <f>503.542/1112</f>
        <v>0.45282553956834531</v>
      </c>
      <c r="D196" s="5"/>
      <c r="E196" s="5">
        <f>473.888333333333/1112</f>
        <v>0.42615857314148647</v>
      </c>
      <c r="F196" s="5">
        <f>465.712666666667/1112</f>
        <v>0.41880635491606744</v>
      </c>
      <c r="G196" s="5">
        <f>1.774/114</f>
        <v>1.5561403508771931E-2</v>
      </c>
      <c r="H196" s="5">
        <f>3.647/114</f>
        <v>3.1991228070175438E-2</v>
      </c>
      <c r="I196" s="5"/>
      <c r="J196" s="5">
        <f>2.926/114</f>
        <v>2.5666666666666667E-2</v>
      </c>
      <c r="K196" s="5">
        <f>2.572/114</f>
        <v>2.2561403508771932E-2</v>
      </c>
    </row>
    <row r="197" spans="1:11" x14ac:dyDescent="0.15">
      <c r="A197">
        <v>195</v>
      </c>
      <c r="B197" s="5">
        <f>350.23/1112</f>
        <v>0.31495503597122304</v>
      </c>
      <c r="C197" s="5">
        <f>504.800333333333/1112</f>
        <v>0.45395713429256568</v>
      </c>
      <c r="D197" s="5"/>
      <c r="E197" s="5">
        <f>475.453333333333/1112</f>
        <v>0.42756594724220592</v>
      </c>
      <c r="F197" s="5">
        <f>465.485333333333/1112</f>
        <v>0.41860191846522754</v>
      </c>
      <c r="G197" s="5">
        <f>1.778/114</f>
        <v>1.5596491228070176E-2</v>
      </c>
      <c r="H197" s="5">
        <f>3.65066666666667/114</f>
        <v>3.202339181286553E-2</v>
      </c>
      <c r="I197" s="5"/>
      <c r="J197" s="5">
        <f>2.85766666666667/114</f>
        <v>2.5067251461988332E-2</v>
      </c>
      <c r="K197" s="5">
        <f>2.60166666666667/114</f>
        <v>2.2821637426900614E-2</v>
      </c>
    </row>
    <row r="198" spans="1:11" x14ac:dyDescent="0.15">
      <c r="A198">
        <v>196</v>
      </c>
      <c r="B198" s="5">
        <f>350.854/1112</f>
        <v>0.31551618705035972</v>
      </c>
      <c r="C198" s="5">
        <f>506.321666666667/1112</f>
        <v>0.45532523980815376</v>
      </c>
      <c r="D198" s="5"/>
      <c r="E198" s="5">
        <f>476.287/1112</f>
        <v>0.42831564748201439</v>
      </c>
      <c r="F198" s="5">
        <f>466.785/1112</f>
        <v>0.41977068345323743</v>
      </c>
      <c r="G198" s="5">
        <f>1.79266666666667/114</f>
        <v>1.5725146198830437E-2</v>
      </c>
      <c r="H198" s="5">
        <f>3.65/114</f>
        <v>3.2017543859649125E-2</v>
      </c>
      <c r="I198" s="5"/>
      <c r="J198" s="5">
        <f>2.911/114</f>
        <v>2.5535087719298247E-2</v>
      </c>
      <c r="K198" s="5">
        <f>2.58833333333333/114</f>
        <v>2.2704678362573068E-2</v>
      </c>
    </row>
    <row r="199" spans="1:11" x14ac:dyDescent="0.15">
      <c r="A199">
        <v>197</v>
      </c>
      <c r="B199" s="5">
        <f>351.344666666667/1112</f>
        <v>0.31595743405275811</v>
      </c>
      <c r="C199" s="5">
        <f>507.382/1112</f>
        <v>0.45627877697841729</v>
      </c>
      <c r="D199" s="5"/>
      <c r="E199" s="5">
        <f>477.962/1112</f>
        <v>0.42982194244604316</v>
      </c>
      <c r="F199" s="5">
        <f>468.366666666667/1112</f>
        <v>0.42119304556354947</v>
      </c>
      <c r="G199" s="5">
        <f>1.80666666666667/114</f>
        <v>1.5847953216374298E-2</v>
      </c>
      <c r="H199" s="5">
        <f>3.66366666666667/114</f>
        <v>3.2137426900584826E-2</v>
      </c>
      <c r="I199" s="5"/>
      <c r="J199" s="5">
        <f>2.90733333333333/114</f>
        <v>2.5502923976608159E-2</v>
      </c>
      <c r="K199" s="5">
        <f>2.57433333333333/114</f>
        <v>2.258187134502921E-2</v>
      </c>
    </row>
    <row r="200" spans="1:11" x14ac:dyDescent="0.15">
      <c r="A200">
        <v>198</v>
      </c>
      <c r="B200" s="5">
        <f>352.044333333333/1112</f>
        <v>0.31658663069544335</v>
      </c>
      <c r="C200" s="5">
        <f>508.252666666667/1112</f>
        <v>0.45706175059952064</v>
      </c>
      <c r="D200" s="5"/>
      <c r="E200" s="5">
        <f>478.553333333333/1112</f>
        <v>0.43035371702637859</v>
      </c>
      <c r="F200" s="5">
        <f>468.603666666667/1112</f>
        <v>0.42140617505995231</v>
      </c>
      <c r="G200" s="5">
        <f>1.79333333333333/114</f>
        <v>1.5730994152046752E-2</v>
      </c>
      <c r="H200" s="5">
        <f>3.68366666666667/114</f>
        <v>3.231286549707605E-2</v>
      </c>
      <c r="I200" s="5"/>
      <c r="J200" s="5">
        <f>2.90833333333333/114</f>
        <v>2.5511695906432721E-2</v>
      </c>
      <c r="K200" s="5">
        <f>2.627/114</f>
        <v>2.3043859649122804E-2</v>
      </c>
    </row>
    <row r="201" spans="1:11" x14ac:dyDescent="0.15">
      <c r="A201">
        <v>199</v>
      </c>
      <c r="B201" s="5">
        <f>352.677666666667/1112</f>
        <v>0.31715617505995231</v>
      </c>
      <c r="C201" s="5">
        <f>509.511/1112</f>
        <v>0.45819334532374101</v>
      </c>
      <c r="D201" s="5"/>
      <c r="E201" s="5">
        <f>479.863/1112</f>
        <v>0.43153147482014387</v>
      </c>
      <c r="F201" s="5">
        <f>471.283333333333/1112</f>
        <v>0.42381594724220595</v>
      </c>
      <c r="G201" s="5">
        <f>1.80733333333333/114</f>
        <v>1.5853801169590613E-2</v>
      </c>
      <c r="H201" s="5">
        <f>3.69566666666667/114</f>
        <v>3.241812865497079E-2</v>
      </c>
      <c r="I201" s="5"/>
      <c r="J201" s="5">
        <f>2.96766666666667/114</f>
        <v>2.6032163742690087E-2</v>
      </c>
      <c r="K201" s="5">
        <f>2.60966666666667/114</f>
        <v>2.2891812865497106E-2</v>
      </c>
    </row>
    <row r="202" spans="1:11" x14ac:dyDescent="0.15">
      <c r="A202">
        <v>200</v>
      </c>
      <c r="B202" s="5">
        <f>353.184/1112</f>
        <v>0.3176115107913669</v>
      </c>
      <c r="C202" s="5">
        <f>510.555/1112</f>
        <v>0.45913219424460433</v>
      </c>
      <c r="D202" s="5"/>
      <c r="E202" s="5">
        <f>480.938666666667/1112</f>
        <v>0.43249880095923293</v>
      </c>
      <c r="F202" s="5">
        <f>471.062333333333/1112</f>
        <v>0.4236172062350117</v>
      </c>
      <c r="G202" s="5">
        <f>1.82533333333333/114</f>
        <v>1.601169590643272E-2</v>
      </c>
      <c r="H202" s="5">
        <f>3.731/114</f>
        <v>3.2728070175438592E-2</v>
      </c>
      <c r="I202" s="5"/>
      <c r="J202" s="5">
        <f>2.95566666666667/114</f>
        <v>2.5926900584795354E-2</v>
      </c>
      <c r="K202" s="5">
        <f>2.61366666666667/114</f>
        <v>2.2926900584795351E-2</v>
      </c>
    </row>
    <row r="203" spans="1:11" x14ac:dyDescent="0.15">
      <c r="A203">
        <v>201</v>
      </c>
      <c r="B203" s="5">
        <f>353.927333333333/1112</f>
        <v>0.3182799760191844</v>
      </c>
      <c r="C203" s="5">
        <f>511.838333333333/1112</f>
        <v>0.46028627098321317</v>
      </c>
      <c r="D203" s="5"/>
      <c r="E203" s="5">
        <f>481.355666666667/1112</f>
        <v>0.43287380095923289</v>
      </c>
      <c r="F203" s="5">
        <f>472.501333333333/1112</f>
        <v>0.42491127098321313</v>
      </c>
      <c r="G203" s="5">
        <f>1.82533333333333/114</f>
        <v>1.601169590643272E-2</v>
      </c>
      <c r="H203" s="5">
        <f>3.754/114</f>
        <v>3.292982456140351E-2</v>
      </c>
      <c r="I203" s="5"/>
      <c r="J203" s="5">
        <f>2.983/114</f>
        <v>2.6166666666666668E-2</v>
      </c>
      <c r="K203" s="5">
        <f>2.65533333333333/114</f>
        <v>2.3292397660818684E-2</v>
      </c>
    </row>
    <row r="204" spans="1:11" x14ac:dyDescent="0.15">
      <c r="A204">
        <v>202</v>
      </c>
      <c r="B204" s="5">
        <f>354.538333333333/1112</f>
        <v>0.31882943645083905</v>
      </c>
      <c r="C204" s="5">
        <f>512.643/1112</f>
        <v>0.46100989208633097</v>
      </c>
      <c r="D204" s="5"/>
      <c r="E204" s="5">
        <f>482.773/1112</f>
        <v>0.43414838129496403</v>
      </c>
      <c r="F204" s="5">
        <f>473.951/1112</f>
        <v>0.42621492805755395</v>
      </c>
      <c r="G204" s="5">
        <f>1.80066666666667/114</f>
        <v>1.5795321637426928E-2</v>
      </c>
      <c r="H204" s="5">
        <f>3.74266666666667/114</f>
        <v>3.2830409356725175E-2</v>
      </c>
      <c r="I204" s="5"/>
      <c r="J204" s="5">
        <f>3.012/114</f>
        <v>2.6421052631578946E-2</v>
      </c>
      <c r="K204" s="5">
        <f>2.67733333333333/114</f>
        <v>2.3485380116959033E-2</v>
      </c>
    </row>
    <row r="205" spans="1:11" x14ac:dyDescent="0.15">
      <c r="A205">
        <v>203</v>
      </c>
      <c r="B205" s="5">
        <f>355.092333333333/1112</f>
        <v>0.31932763788968793</v>
      </c>
      <c r="C205" s="5">
        <f>513.927/1112</f>
        <v>0.46216456834532377</v>
      </c>
      <c r="D205" s="5"/>
      <c r="E205" s="5">
        <f>483.299/1112</f>
        <v>0.43462140287769785</v>
      </c>
      <c r="F205" s="5">
        <f>475.262333333333/1112</f>
        <v>0.42739418465227791</v>
      </c>
      <c r="G205" s="5">
        <f>1.84733333333333/114</f>
        <v>1.6204678362573069E-2</v>
      </c>
      <c r="H205" s="5">
        <f>3.74866666666667/114</f>
        <v>3.2883040935672542E-2</v>
      </c>
      <c r="I205" s="5"/>
      <c r="J205" s="5">
        <f>3.022/114</f>
        <v>2.6508771929824558E-2</v>
      </c>
      <c r="K205" s="5">
        <f>2.65233333333333/114</f>
        <v>2.3266081871345001E-2</v>
      </c>
    </row>
    <row r="206" spans="1:11" x14ac:dyDescent="0.15">
      <c r="A206">
        <v>204</v>
      </c>
      <c r="B206" s="5">
        <f>355.65/1112</f>
        <v>0.31982913669064744</v>
      </c>
      <c r="C206" s="5">
        <f>515.098666666667/1112</f>
        <v>0.46321822541966456</v>
      </c>
      <c r="D206" s="5"/>
      <c r="E206" s="5">
        <f>485.010666666667/1112</f>
        <v>0.43616067146283005</v>
      </c>
      <c r="F206" s="5">
        <f>474.965333333333/1112</f>
        <v>0.4271270983213426</v>
      </c>
      <c r="G206" s="5">
        <f>1.85866666666667/114</f>
        <v>1.6304093567251491E-2</v>
      </c>
      <c r="H206" s="5">
        <f>3.77233333333333/114</f>
        <v>3.3090643274853775E-2</v>
      </c>
      <c r="I206" s="5"/>
      <c r="J206" s="5">
        <f>3.025/114</f>
        <v>2.6535087719298245E-2</v>
      </c>
      <c r="K206" s="5">
        <f>2.69/114</f>
        <v>2.3596491228070175E-2</v>
      </c>
    </row>
    <row r="207" spans="1:11" x14ac:dyDescent="0.15">
      <c r="A207">
        <v>205</v>
      </c>
      <c r="B207" s="5">
        <f>356.198333333333/1112</f>
        <v>0.32032224220623468</v>
      </c>
      <c r="C207" s="5">
        <f>516.272333333333/1112</f>
        <v>0.4642736810551556</v>
      </c>
      <c r="D207" s="5"/>
      <c r="E207" s="5">
        <f>485.468666666667/1112</f>
        <v>0.43657254196642714</v>
      </c>
      <c r="F207" s="5">
        <f>477.155666666667/1112</f>
        <v>0.42909682254196674</v>
      </c>
      <c r="G207" s="5">
        <f>1.864/114</f>
        <v>1.6350877192982456E-2</v>
      </c>
      <c r="H207" s="5">
        <f>3.77733333333333/114</f>
        <v>3.3134502923976579E-2</v>
      </c>
      <c r="I207" s="5"/>
      <c r="J207" s="5">
        <f>3.05933333333333/114</f>
        <v>2.6836257309941491E-2</v>
      </c>
      <c r="K207" s="5">
        <f>2.686/114</f>
        <v>2.3561403508771929E-2</v>
      </c>
    </row>
    <row r="208" spans="1:11" x14ac:dyDescent="0.15">
      <c r="A208">
        <v>206</v>
      </c>
      <c r="B208" s="5">
        <f>356.829666666667/1112</f>
        <v>0.32088998800959262</v>
      </c>
      <c r="C208" s="5">
        <f>517.027666666667/1112</f>
        <v>0.46495293764988038</v>
      </c>
      <c r="D208" s="5"/>
      <c r="E208" s="5">
        <f>486.242666666667/1112</f>
        <v>0.43726858513189476</v>
      </c>
      <c r="F208" s="5">
        <f>477.363666666667/1112</f>
        <v>0.42928387290167891</v>
      </c>
      <c r="G208" s="5">
        <f>1.86866666666667/114</f>
        <v>1.6391812865497107E-2</v>
      </c>
      <c r="H208" s="5">
        <f>3.80633333333333/114</f>
        <v>3.3388888888888857E-2</v>
      </c>
      <c r="I208" s="5"/>
      <c r="J208" s="5">
        <f>3.07066666666667/114</f>
        <v>2.6935672514619913E-2</v>
      </c>
      <c r="K208" s="5">
        <f>2.70633333333333/114</f>
        <v>2.3739766081871318E-2</v>
      </c>
    </row>
    <row r="209" spans="1:11" x14ac:dyDescent="0.15">
      <c r="A209">
        <v>207</v>
      </c>
      <c r="B209" s="5">
        <f>357.526666666667/1112</f>
        <v>0.32151678657074367</v>
      </c>
      <c r="C209" s="5">
        <f>518.193333333333/1112</f>
        <v>0.46600119904076714</v>
      </c>
      <c r="D209" s="5"/>
      <c r="E209" s="5">
        <f>488.144/1112</f>
        <v>0.43897841726618708</v>
      </c>
      <c r="F209" s="5">
        <f>478.950666666667/1112</f>
        <v>0.43071103117506027</v>
      </c>
      <c r="G209" s="5">
        <f>1.89133333333333/114</f>
        <v>1.659064327485377E-2</v>
      </c>
      <c r="H209" s="5">
        <f>3.831/114</f>
        <v>3.3605263157894735E-2</v>
      </c>
      <c r="I209" s="5"/>
      <c r="J209" s="5">
        <f>3.039/114</f>
        <v>2.6657894736842106E-2</v>
      </c>
      <c r="K209" s="5">
        <f>2.73166666666667/114</f>
        <v>2.3961988304093598E-2</v>
      </c>
    </row>
    <row r="210" spans="1:11" x14ac:dyDescent="0.15">
      <c r="A210">
        <v>208</v>
      </c>
      <c r="B210" s="5">
        <f>358.011333333333/1112</f>
        <v>0.32195263788968798</v>
      </c>
      <c r="C210" s="5">
        <f>519.307666666667/1112</f>
        <v>0.46700329736211066</v>
      </c>
      <c r="D210" s="5"/>
      <c r="E210" s="5">
        <f>489.020666666667/1112</f>
        <v>0.4397667865707437</v>
      </c>
      <c r="F210" s="5">
        <f>478.874333333333/1112</f>
        <v>0.43064238609112682</v>
      </c>
      <c r="G210" s="5">
        <f>1.89133333333333/114</f>
        <v>1.659064327485377E-2</v>
      </c>
      <c r="H210" s="5">
        <f>3.84866666666667/114</f>
        <v>3.3760233918128685E-2</v>
      </c>
      <c r="I210" s="5"/>
      <c r="J210" s="5">
        <f>3.14066666666667/114</f>
        <v>2.7549707602339209E-2</v>
      </c>
      <c r="K210" s="5">
        <f>2.71766666666667/114</f>
        <v>2.3839181286549736E-2</v>
      </c>
    </row>
    <row r="211" spans="1:11" x14ac:dyDescent="0.15">
      <c r="A211">
        <v>209</v>
      </c>
      <c r="B211" s="5">
        <f>358.622333333333/1112</f>
        <v>0.32250209832134263</v>
      </c>
      <c r="C211" s="5">
        <f>520.283/1112</f>
        <v>0.46788039568345324</v>
      </c>
      <c r="D211" s="5"/>
      <c r="E211" s="5">
        <f>489.511666666667/1112</f>
        <v>0.44020833333333365</v>
      </c>
      <c r="F211" s="5">
        <f>480.248666666667/1112</f>
        <v>0.43187829736211064</v>
      </c>
      <c r="G211" s="5">
        <f>1.89533333333333/114</f>
        <v>1.6625730994152016E-2</v>
      </c>
      <c r="H211" s="5">
        <f>3.84/114</f>
        <v>3.3684210526315789E-2</v>
      </c>
      <c r="I211" s="5"/>
      <c r="J211" s="5">
        <f>3.11733333333333/114</f>
        <v>2.7345029239766054E-2</v>
      </c>
      <c r="K211" s="5">
        <f>2.805/114</f>
        <v>2.4605263157894738E-2</v>
      </c>
    </row>
    <row r="212" spans="1:11" x14ac:dyDescent="0.15">
      <c r="A212">
        <v>210</v>
      </c>
      <c r="B212" s="5">
        <f>359.200333333333/1112</f>
        <v>0.32302188249400449</v>
      </c>
      <c r="C212" s="5">
        <f>521.358666666667/1112</f>
        <v>0.46884772182254225</v>
      </c>
      <c r="D212" s="5"/>
      <c r="E212" s="5">
        <f>489.964/1112</f>
        <v>0.44061510791366909</v>
      </c>
      <c r="F212" s="5">
        <f>481.142666666667/1112</f>
        <v>0.43268225419664302</v>
      </c>
      <c r="G212" s="5">
        <f>1.91333333333333/114</f>
        <v>1.6783625730994123E-2</v>
      </c>
      <c r="H212" s="5">
        <f>3.87066666666667/114</f>
        <v>3.3953216374269034E-2</v>
      </c>
      <c r="I212" s="5"/>
      <c r="J212" s="5">
        <f>3.06533333333333/114</f>
        <v>2.6888888888888862E-2</v>
      </c>
      <c r="K212" s="5">
        <f>2.755/114</f>
        <v>2.4166666666666666E-2</v>
      </c>
    </row>
    <row r="213" spans="1:11" x14ac:dyDescent="0.15">
      <c r="A213">
        <v>211</v>
      </c>
      <c r="B213" s="5">
        <f>359.771333333333/1112</f>
        <v>0.32353537170263763</v>
      </c>
      <c r="C213" s="5">
        <f>522.811666666667/1112</f>
        <v>0.47015437649880121</v>
      </c>
      <c r="D213" s="5"/>
      <c r="E213" s="5">
        <f>491.447333333333/1112</f>
        <v>0.44194904076738578</v>
      </c>
      <c r="F213" s="5">
        <f>481.673/1112</f>
        <v>0.43315917266187048</v>
      </c>
      <c r="G213" s="5">
        <f>1.91133333333333/114</f>
        <v>1.6766081871344998E-2</v>
      </c>
      <c r="H213" s="5">
        <f>3.87666666666667/114</f>
        <v>3.40058479532164E-2</v>
      </c>
      <c r="I213" s="5"/>
      <c r="J213" s="5">
        <f>3.171/114</f>
        <v>2.781578947368421E-2</v>
      </c>
      <c r="K213" s="5">
        <f>2.779/114</f>
        <v>2.437719298245614E-2</v>
      </c>
    </row>
    <row r="214" spans="1:11" x14ac:dyDescent="0.15">
      <c r="A214">
        <v>212</v>
      </c>
      <c r="B214" s="5">
        <f>360.455/1112</f>
        <v>0.32415017985611511</v>
      </c>
      <c r="C214" s="5">
        <f>523.419666666667/1112</f>
        <v>0.47070113908872935</v>
      </c>
      <c r="D214" s="5"/>
      <c r="E214" s="5">
        <f>492.087/1112</f>
        <v>0.44252428057553955</v>
      </c>
      <c r="F214" s="5">
        <f>483.342666666667/1112</f>
        <v>0.43466067146283005</v>
      </c>
      <c r="G214" s="5">
        <f>1.93333333333333/114</f>
        <v>1.6959064327485351E-2</v>
      </c>
      <c r="H214" s="5">
        <f>3.88066666666667/114</f>
        <v>3.4040935672514649E-2</v>
      </c>
      <c r="I214" s="5"/>
      <c r="J214" s="5">
        <f>3.13666666666667/114</f>
        <v>2.7514619883040964E-2</v>
      </c>
      <c r="K214" s="5">
        <f>2.781/114</f>
        <v>2.4394736842105264E-2</v>
      </c>
    </row>
    <row r="215" spans="1:11" x14ac:dyDescent="0.15">
      <c r="A215">
        <v>213</v>
      </c>
      <c r="B215" s="5">
        <f>361.053666666667/1112</f>
        <v>0.3246885491606718</v>
      </c>
      <c r="C215" s="5">
        <f>524.668666666667/1112</f>
        <v>0.47182434052757827</v>
      </c>
      <c r="D215" s="5"/>
      <c r="E215" s="5">
        <f>493.450666666667/1112</f>
        <v>0.44375059952038404</v>
      </c>
      <c r="F215" s="5">
        <f>483.756666666667/1112</f>
        <v>0.43503297362110344</v>
      </c>
      <c r="G215" s="5">
        <f>1.92933333333333/114</f>
        <v>1.6923976608187105E-2</v>
      </c>
      <c r="H215" s="5">
        <f>3.90666666666667/114</f>
        <v>3.4269005847953248E-2</v>
      </c>
      <c r="I215" s="5"/>
      <c r="J215" s="5">
        <f>3.138/114</f>
        <v>2.7526315789473683E-2</v>
      </c>
      <c r="K215" s="5">
        <f>2.75833333333333/114</f>
        <v>2.419590643274851E-2</v>
      </c>
    </row>
    <row r="216" spans="1:11" x14ac:dyDescent="0.15">
      <c r="A216">
        <v>214</v>
      </c>
      <c r="B216" s="5">
        <f>361.622333333333/1112</f>
        <v>0.32519994004796132</v>
      </c>
      <c r="C216" s="5">
        <f>525.614/1112</f>
        <v>0.47267446043165473</v>
      </c>
      <c r="D216" s="5"/>
      <c r="E216" s="5">
        <f>494.750666666667/1112</f>
        <v>0.44491966426858542</v>
      </c>
      <c r="F216" s="5">
        <f>485.135333333333/1112</f>
        <v>0.43627278177458001</v>
      </c>
      <c r="G216" s="5">
        <f>1.946/114</f>
        <v>1.7070175438596492E-2</v>
      </c>
      <c r="H216" s="5">
        <f>3.92533333333333/114</f>
        <v>3.4432748538011669E-2</v>
      </c>
      <c r="I216" s="5"/>
      <c r="J216" s="5">
        <f>3.18666666666667/114</f>
        <v>2.7953216374269035E-2</v>
      </c>
      <c r="K216" s="5">
        <f>2.80933333333333/114</f>
        <v>2.4643274853801141E-2</v>
      </c>
    </row>
    <row r="217" spans="1:11" x14ac:dyDescent="0.15">
      <c r="A217">
        <v>215</v>
      </c>
      <c r="B217" s="5">
        <f>362.139333333333/1112</f>
        <v>0.32566486810551531</v>
      </c>
      <c r="C217" s="5">
        <f>526.861666666667/1112</f>
        <v>0.47379646282973653</v>
      </c>
      <c r="D217" s="5"/>
      <c r="E217" s="5">
        <f>495.663333333333/1112</f>
        <v>0.44574040767386064</v>
      </c>
      <c r="F217" s="5">
        <f>486.416/1112</f>
        <v>0.43742446043165467</v>
      </c>
      <c r="G217" s="5">
        <f>1.93733333333333/114</f>
        <v>1.6994152046783596E-2</v>
      </c>
      <c r="H217" s="5">
        <f>3.93266666666667/114</f>
        <v>3.4497076023391846E-2</v>
      </c>
      <c r="I217" s="5"/>
      <c r="J217" s="5">
        <f>3.17666666666667/114</f>
        <v>2.786549707602342E-2</v>
      </c>
      <c r="K217" s="5">
        <f>2.84/114</f>
        <v>2.4912280701754386E-2</v>
      </c>
    </row>
    <row r="218" spans="1:11" x14ac:dyDescent="0.15">
      <c r="A218">
        <v>216</v>
      </c>
      <c r="B218" s="5">
        <f>362.718666666667/1112</f>
        <v>0.32618585131894512</v>
      </c>
      <c r="C218" s="5">
        <f>527.772/1112</f>
        <v>0.47461510791366912</v>
      </c>
      <c r="D218" s="5"/>
      <c r="E218" s="5">
        <f>496.117333333333/1112</f>
        <v>0.44614868105515559</v>
      </c>
      <c r="F218" s="5">
        <f>487.030666666667/1112</f>
        <v>0.43797721822541996</v>
      </c>
      <c r="G218" s="5">
        <f>1.962/114</f>
        <v>1.7210526315789475E-2</v>
      </c>
      <c r="H218" s="5">
        <f>3.94633333333333/114</f>
        <v>3.4616959064327456E-2</v>
      </c>
      <c r="I218" s="5"/>
      <c r="J218" s="5">
        <f>3.21166666666667/114</f>
        <v>2.8172514619883071E-2</v>
      </c>
      <c r="K218" s="5">
        <f>2.881/114</f>
        <v>2.52719298245614E-2</v>
      </c>
    </row>
    <row r="219" spans="1:11" x14ac:dyDescent="0.15">
      <c r="A219">
        <v>217</v>
      </c>
      <c r="B219" s="5">
        <f>363.364/1112</f>
        <v>0.3267661870503597</v>
      </c>
      <c r="C219" s="5">
        <f>528.83/1112</f>
        <v>0.47556654676258997</v>
      </c>
      <c r="D219" s="5"/>
      <c r="E219" s="5">
        <f>498.335333333333/1112</f>
        <v>0.44814328537170234</v>
      </c>
      <c r="F219" s="5">
        <f>487.722666666667/1112</f>
        <v>0.43859952038369338</v>
      </c>
      <c r="G219" s="5">
        <f>1.974/114</f>
        <v>1.7315789473684211E-2</v>
      </c>
      <c r="H219" s="5">
        <f>3.96933333333333/114</f>
        <v>3.4818713450292367E-2</v>
      </c>
      <c r="I219" s="5"/>
      <c r="J219" s="5">
        <f>3.179/114</f>
        <v>2.7885964912280702E-2</v>
      </c>
      <c r="K219" s="5">
        <f>2.822/114</f>
        <v>2.4754385964912282E-2</v>
      </c>
    </row>
    <row r="220" spans="1:11" x14ac:dyDescent="0.15">
      <c r="A220">
        <v>218</v>
      </c>
      <c r="B220" s="5">
        <f>363.797/1112</f>
        <v>0.32715557553956837</v>
      </c>
      <c r="C220" s="5">
        <f>529.908333333333/1112</f>
        <v>0.47653627098321311</v>
      </c>
      <c r="D220" s="5"/>
      <c r="E220" s="5">
        <f>497.270666666667/1112</f>
        <v>0.44718585131894517</v>
      </c>
      <c r="F220" s="5">
        <f>489.000666666667/1112</f>
        <v>0.43974880095923291</v>
      </c>
      <c r="G220" s="5">
        <f>1.98666666666667/114</f>
        <v>1.742690058479535E-2</v>
      </c>
      <c r="H220" s="5">
        <f>3.97466666666667/114</f>
        <v>3.4865497076023419E-2</v>
      </c>
      <c r="I220" s="5"/>
      <c r="J220" s="5">
        <f>3.301/114</f>
        <v>2.8956140350877194E-2</v>
      </c>
      <c r="K220" s="5">
        <f>2.83666666666667/114</f>
        <v>2.4883040935672545E-2</v>
      </c>
    </row>
    <row r="221" spans="1:11" x14ac:dyDescent="0.15">
      <c r="A221">
        <v>219</v>
      </c>
      <c r="B221" s="5">
        <f>364.486/1112</f>
        <v>0.3277751798561151</v>
      </c>
      <c r="C221" s="5">
        <f>530.972333333333/1112</f>
        <v>0.47749310551558727</v>
      </c>
      <c r="D221" s="5"/>
      <c r="E221" s="5">
        <f>498.649/1112</f>
        <v>0.44842535971223024</v>
      </c>
      <c r="F221" s="5">
        <f>489.464/1112</f>
        <v>0.44016546762589925</v>
      </c>
      <c r="G221" s="5">
        <f>1.98733333333333/114</f>
        <v>1.7432748538011668E-2</v>
      </c>
      <c r="H221" s="5">
        <f>3.98433333333333/114</f>
        <v>3.4950292397660794E-2</v>
      </c>
      <c r="I221" s="5"/>
      <c r="J221" s="5">
        <f>3.264/114</f>
        <v>2.8631578947368418E-2</v>
      </c>
      <c r="K221" s="5">
        <f>2.88033333333333/114</f>
        <v>2.5266081871345002E-2</v>
      </c>
    </row>
    <row r="222" spans="1:11" x14ac:dyDescent="0.15">
      <c r="A222">
        <v>220</v>
      </c>
      <c r="B222" s="5">
        <f>365/1112</f>
        <v>0.32823741007194246</v>
      </c>
      <c r="C222" s="5">
        <f>532/1112</f>
        <v>0.47841726618705038</v>
      </c>
      <c r="D222" s="5"/>
      <c r="E222" s="5">
        <f>500.606666666667/1112</f>
        <v>0.45018585131894517</v>
      </c>
      <c r="F222" s="5">
        <f>489.572/1112</f>
        <v>0.44026258992805756</v>
      </c>
      <c r="G222" s="5">
        <f>2/114</f>
        <v>1.7543859649122806E-2</v>
      </c>
      <c r="H222" s="5">
        <f>4/114</f>
        <v>3.5087719298245612E-2</v>
      </c>
      <c r="I222" s="5"/>
      <c r="J222" s="5">
        <f>3.25333333333333/114</f>
        <v>2.8538011695906404E-2</v>
      </c>
      <c r="K222" s="5">
        <f>2.86233333333333/114</f>
        <v>2.5108187134502892E-2</v>
      </c>
    </row>
    <row r="223" spans="1:11" x14ac:dyDescent="0.15">
      <c r="A223">
        <v>221</v>
      </c>
      <c r="B223" s="5"/>
      <c r="C223" s="5"/>
      <c r="D223" s="5"/>
      <c r="E223" s="5">
        <f>500.484333333333/1112</f>
        <v>0.45007583932853684</v>
      </c>
      <c r="F223" s="5">
        <f>491.683666666667/1112</f>
        <v>0.44216157074340562</v>
      </c>
      <c r="G223" s="5"/>
      <c r="H223" s="5"/>
      <c r="I223" s="5"/>
      <c r="J223" s="5">
        <f>3.232/114</f>
        <v>2.8350877192982456E-2</v>
      </c>
      <c r="K223" s="5">
        <f>2.901/114</f>
        <v>2.5447368421052628E-2</v>
      </c>
    </row>
    <row r="224" spans="1:11" x14ac:dyDescent="0.15">
      <c r="A224">
        <v>222</v>
      </c>
      <c r="B224" s="5"/>
      <c r="C224" s="5"/>
      <c r="D224" s="5"/>
      <c r="E224" s="5">
        <f>502.156/1112</f>
        <v>0.45157913669064748</v>
      </c>
      <c r="F224" s="5">
        <f>492.701666666667/1112</f>
        <v>0.44307703836930484</v>
      </c>
      <c r="G224" s="5"/>
      <c r="H224" s="5"/>
      <c r="I224" s="5"/>
      <c r="J224" s="5">
        <f>3.30266666666667/114</f>
        <v>2.8970760233918161E-2</v>
      </c>
      <c r="K224" s="5">
        <f>2.89833333333333/114</f>
        <v>2.5423976608187106E-2</v>
      </c>
    </row>
    <row r="225" spans="1:11" x14ac:dyDescent="0.15">
      <c r="A225">
        <v>223</v>
      </c>
      <c r="B225" s="5"/>
      <c r="C225" s="5"/>
      <c r="D225" s="5"/>
      <c r="E225" s="5">
        <f>503.003/1112</f>
        <v>0.45234082733812947</v>
      </c>
      <c r="F225" s="5">
        <f>492.760333333333/1112</f>
        <v>0.44312979616306925</v>
      </c>
      <c r="G225" s="5"/>
      <c r="H225" s="5"/>
      <c r="I225" s="5"/>
      <c r="J225" s="5">
        <f>3.299/114</f>
        <v>2.8938596491228069E-2</v>
      </c>
      <c r="K225" s="5">
        <f>2.942/114</f>
        <v>2.580701754385965E-2</v>
      </c>
    </row>
    <row r="226" spans="1:11" x14ac:dyDescent="0.15">
      <c r="A226">
        <v>224</v>
      </c>
      <c r="B226" s="5"/>
      <c r="C226" s="5"/>
      <c r="D226" s="5"/>
      <c r="E226" s="5">
        <f>503.403/1112</f>
        <v>0.45270053956834533</v>
      </c>
      <c r="F226" s="5">
        <f>494.202666666667/1112</f>
        <v>0.44442685851318975</v>
      </c>
      <c r="G226" s="5"/>
      <c r="H226" s="5"/>
      <c r="I226" s="5"/>
      <c r="J226" s="5">
        <f>3.24833333333333/114</f>
        <v>2.8494152046783596E-2</v>
      </c>
      <c r="K226" s="5">
        <f>2.95133333333333/114</f>
        <v>2.5888888888888857E-2</v>
      </c>
    </row>
    <row r="227" spans="1:11" x14ac:dyDescent="0.15">
      <c r="A227">
        <v>225</v>
      </c>
      <c r="B227" s="5"/>
      <c r="C227" s="5"/>
      <c r="D227" s="5"/>
      <c r="E227" s="5">
        <f>504.327/1112</f>
        <v>0.45353147482014389</v>
      </c>
      <c r="F227" s="5">
        <f>495.282666666667/1112</f>
        <v>0.44539808153477251</v>
      </c>
      <c r="G227" s="5"/>
      <c r="H227" s="5"/>
      <c r="I227" s="5"/>
      <c r="J227" s="5">
        <f>3.30633333333333/114</f>
        <v>2.9002923976608155E-2</v>
      </c>
      <c r="K227" s="5">
        <f>2.93433333333333/114</f>
        <v>2.5739766081871316E-2</v>
      </c>
    </row>
    <row r="228" spans="1:11" x14ac:dyDescent="0.15">
      <c r="A228">
        <v>226</v>
      </c>
      <c r="B228" s="5"/>
      <c r="C228" s="5"/>
      <c r="D228" s="5"/>
      <c r="E228" s="5">
        <f>506.343333333333/1112</f>
        <v>0.45534472422062322</v>
      </c>
      <c r="F228" s="5">
        <f>495.792666666667/1112</f>
        <v>0.44585671462829768</v>
      </c>
      <c r="G228" s="5"/>
      <c r="H228" s="5"/>
      <c r="I228" s="5"/>
      <c r="J228" s="5">
        <f>3.31866666666667/114</f>
        <v>2.9111111111111143E-2</v>
      </c>
      <c r="K228" s="5">
        <f>2.97633333333333/114</f>
        <v>2.6108187134502896E-2</v>
      </c>
    </row>
    <row r="229" spans="1:11" x14ac:dyDescent="0.15">
      <c r="A229">
        <v>227</v>
      </c>
      <c r="B229" s="5"/>
      <c r="C229" s="5"/>
      <c r="D229" s="5"/>
      <c r="E229" s="5">
        <f>506.047/1112</f>
        <v>0.45507823741007197</v>
      </c>
      <c r="F229" s="5">
        <f>496.751/1112</f>
        <v>0.44671852517985611</v>
      </c>
      <c r="G229" s="5"/>
      <c r="H229" s="5"/>
      <c r="I229" s="5"/>
      <c r="J229" s="5">
        <f>3.373/114</f>
        <v>2.9587719298245618E-2</v>
      </c>
      <c r="K229" s="5">
        <f>2.94166666666667/114</f>
        <v>2.5804093567251492E-2</v>
      </c>
    </row>
    <row r="230" spans="1:11" x14ac:dyDescent="0.15">
      <c r="A230">
        <v>228</v>
      </c>
      <c r="B230" s="5"/>
      <c r="C230" s="5"/>
      <c r="D230" s="5"/>
      <c r="E230" s="5">
        <f>508.134333333333/1112</f>
        <v>0.45695533573141456</v>
      </c>
      <c r="F230" s="5">
        <f>497.901666666667/1112</f>
        <v>0.44775329736211061</v>
      </c>
      <c r="G230" s="5"/>
      <c r="H230" s="5"/>
      <c r="I230" s="5"/>
      <c r="J230" s="5">
        <f>3.418/114</f>
        <v>2.9982456140350878E-2</v>
      </c>
      <c r="K230" s="5">
        <f>3.08266666666667/114</f>
        <v>2.704093567251465E-2</v>
      </c>
    </row>
    <row r="231" spans="1:11" x14ac:dyDescent="0.15">
      <c r="A231">
        <v>229</v>
      </c>
      <c r="B231" s="5"/>
      <c r="C231" s="5"/>
      <c r="D231" s="5"/>
      <c r="E231" s="5">
        <f>507.826666666667/1112</f>
        <v>0.4566786570743408</v>
      </c>
      <c r="F231" s="5">
        <f>498.450666666667/1112</f>
        <v>0.44824700239808185</v>
      </c>
      <c r="G231" s="5"/>
      <c r="H231" s="5"/>
      <c r="I231" s="5"/>
      <c r="J231" s="5">
        <f>3.407/114</f>
        <v>2.9885964912280703E-2</v>
      </c>
      <c r="K231" s="5">
        <f>2.96333333333333/114</f>
        <v>2.5994152046783594E-2</v>
      </c>
    </row>
    <row r="232" spans="1:11" x14ac:dyDescent="0.15">
      <c r="A232">
        <v>230</v>
      </c>
      <c r="B232" s="5"/>
      <c r="C232" s="5"/>
      <c r="D232" s="5"/>
      <c r="E232" s="5">
        <f>508.932666666667/1112</f>
        <v>0.4576732613908876</v>
      </c>
      <c r="F232" s="5">
        <f>499.462333333333/1112</f>
        <v>0.44915677458033543</v>
      </c>
      <c r="G232" s="5"/>
      <c r="H232" s="5"/>
      <c r="I232" s="5"/>
      <c r="J232" s="5">
        <f>3.38066666666667/114</f>
        <v>2.9654970760233948E-2</v>
      </c>
      <c r="K232" s="5">
        <f>2.98066666666667/114</f>
        <v>2.6146198830409386E-2</v>
      </c>
    </row>
    <row r="233" spans="1:11" x14ac:dyDescent="0.15">
      <c r="A233">
        <v>231</v>
      </c>
      <c r="B233" s="5"/>
      <c r="C233" s="5"/>
      <c r="D233" s="5"/>
      <c r="E233" s="5">
        <f>509.824666666667/1112</f>
        <v>0.45847541966426886</v>
      </c>
      <c r="F233" s="5">
        <f>500.555333333333/1112</f>
        <v>0.4501396882494002</v>
      </c>
      <c r="G233" s="5"/>
      <c r="H233" s="5"/>
      <c r="I233" s="5"/>
      <c r="J233" s="5">
        <f>3.35833333333333/114</f>
        <v>2.9459064327485348E-2</v>
      </c>
      <c r="K233" s="5">
        <f>3.03466666666667/114</f>
        <v>2.66198830409357E-2</v>
      </c>
    </row>
    <row r="234" spans="1:11" x14ac:dyDescent="0.15">
      <c r="A234">
        <v>232</v>
      </c>
      <c r="B234" s="5"/>
      <c r="C234" s="5"/>
      <c r="D234" s="5"/>
      <c r="E234" s="5">
        <f>510.868333333333/1112</f>
        <v>0.45941396882493973</v>
      </c>
      <c r="F234" s="5">
        <f>500.959/1112</f>
        <v>0.45050269784172664</v>
      </c>
      <c r="G234" s="5"/>
      <c r="H234" s="5"/>
      <c r="I234" s="5"/>
      <c r="J234" s="5">
        <f>3.39966666666667/114</f>
        <v>2.9821637426900617E-2</v>
      </c>
      <c r="K234" s="5">
        <f>3.04666666666667/114</f>
        <v>2.672514619883044E-2</v>
      </c>
    </row>
    <row r="235" spans="1:11" x14ac:dyDescent="0.15">
      <c r="A235">
        <v>233</v>
      </c>
      <c r="B235" s="5"/>
      <c r="C235" s="5"/>
      <c r="D235" s="5"/>
      <c r="E235" s="5">
        <f>511.537333333333/1112</f>
        <v>0.46001558752997568</v>
      </c>
      <c r="F235" s="5">
        <f>501.628333333333/1112</f>
        <v>0.45110461630695414</v>
      </c>
      <c r="G235" s="5"/>
      <c r="H235" s="5"/>
      <c r="I235" s="5"/>
      <c r="J235" s="5">
        <f>3.415/114</f>
        <v>2.9956140350877195E-2</v>
      </c>
      <c r="K235" s="5">
        <f>3.03566666666667/114</f>
        <v>2.6628654970760262E-2</v>
      </c>
    </row>
    <row r="236" spans="1:11" x14ac:dyDescent="0.15">
      <c r="A236">
        <v>234</v>
      </c>
      <c r="B236" s="5"/>
      <c r="C236" s="5"/>
      <c r="D236" s="5"/>
      <c r="E236" s="5">
        <f>512.142333333333/1112</f>
        <v>0.46055965227817713</v>
      </c>
      <c r="F236" s="5">
        <f>503.370333333333/1112</f>
        <v>0.45267116306954408</v>
      </c>
      <c r="G236" s="5"/>
      <c r="H236" s="5"/>
      <c r="I236" s="5"/>
      <c r="J236" s="5">
        <f>3.42433333333333/114</f>
        <v>3.0038011695906405E-2</v>
      </c>
      <c r="K236" s="5">
        <f>3.06/114</f>
        <v>2.6842105263157896E-2</v>
      </c>
    </row>
    <row r="237" spans="1:11" x14ac:dyDescent="0.15">
      <c r="A237">
        <v>235</v>
      </c>
      <c r="B237" s="5"/>
      <c r="C237" s="5"/>
      <c r="D237" s="5"/>
      <c r="E237" s="5">
        <f>513.301666666667/1112</f>
        <v>0.46160221822541991</v>
      </c>
      <c r="F237" s="5">
        <f>503.890666666667/1112</f>
        <v>0.45313908872901709</v>
      </c>
      <c r="G237" s="5"/>
      <c r="H237" s="5"/>
      <c r="I237" s="5"/>
      <c r="J237" s="5">
        <f>3.49433333333333/114</f>
        <v>3.0652046783625701E-2</v>
      </c>
      <c r="K237" s="5">
        <f>3.01666666666667/114</f>
        <v>2.6461988304093596E-2</v>
      </c>
    </row>
    <row r="238" spans="1:11" x14ac:dyDescent="0.15">
      <c r="A238">
        <v>236</v>
      </c>
      <c r="B238" s="5"/>
      <c r="C238" s="5"/>
      <c r="D238" s="5"/>
      <c r="E238" s="5">
        <f>513.755/1112</f>
        <v>0.46200989208633092</v>
      </c>
      <c r="F238" s="5">
        <f>504.498/1112</f>
        <v>0.45368525179856112</v>
      </c>
      <c r="G238" s="5"/>
      <c r="H238" s="5"/>
      <c r="I238" s="5"/>
      <c r="J238" s="5">
        <f>3.47566666666667/114</f>
        <v>3.048830409356728E-2</v>
      </c>
      <c r="K238" s="5">
        <f>3.05933333333333/114</f>
        <v>2.6836257309941491E-2</v>
      </c>
    </row>
    <row r="239" spans="1:11" x14ac:dyDescent="0.15">
      <c r="A239">
        <v>237</v>
      </c>
      <c r="B239" s="5"/>
      <c r="C239" s="5"/>
      <c r="D239" s="5"/>
      <c r="E239" s="5">
        <f>515.797333333333/1112</f>
        <v>0.46384652278177424</v>
      </c>
      <c r="F239" s="5">
        <f>505.497/1112</f>
        <v>0.45458363309352517</v>
      </c>
      <c r="G239" s="5"/>
      <c r="H239" s="5"/>
      <c r="I239" s="5"/>
      <c r="J239" s="5">
        <f>3.50633333333333/114</f>
        <v>3.0757309941520438E-2</v>
      </c>
      <c r="K239" s="5">
        <f>3.09133333333333/114</f>
        <v>2.7116959064327456E-2</v>
      </c>
    </row>
    <row r="240" spans="1:11" x14ac:dyDescent="0.15">
      <c r="A240">
        <v>238</v>
      </c>
      <c r="B240" s="5"/>
      <c r="C240" s="5"/>
      <c r="D240" s="5"/>
      <c r="E240" s="5">
        <f>515.529666666667/1112</f>
        <v>0.46360581534772216</v>
      </c>
      <c r="F240" s="5">
        <f>506.066/1112</f>
        <v>0.4550953237410072</v>
      </c>
      <c r="G240" s="5"/>
      <c r="H240" s="5"/>
      <c r="I240" s="5"/>
      <c r="J240" s="5">
        <f>3.48/114</f>
        <v>3.0526315789473683E-2</v>
      </c>
      <c r="K240" s="5">
        <f>3.09466666666667/114</f>
        <v>2.7146198830409387E-2</v>
      </c>
    </row>
    <row r="241" spans="1:11" x14ac:dyDescent="0.15">
      <c r="A241">
        <v>239</v>
      </c>
      <c r="B241" s="5"/>
      <c r="C241" s="5"/>
      <c r="D241" s="5"/>
      <c r="E241" s="5">
        <f>516.718666666667/1112</f>
        <v>0.46467505995203867</v>
      </c>
      <c r="F241" s="5">
        <f>507.291666666667/1112</f>
        <v>0.4561975419664272</v>
      </c>
      <c r="G241" s="5"/>
      <c r="H241" s="5"/>
      <c r="I241" s="5"/>
      <c r="J241" s="5">
        <f>3.51933333333333/114</f>
        <v>3.0871345029239737E-2</v>
      </c>
      <c r="K241" s="5">
        <f>3.06933333333333/114</f>
        <v>2.6923976608187107E-2</v>
      </c>
    </row>
    <row r="242" spans="1:11" x14ac:dyDescent="0.15">
      <c r="A242">
        <v>240</v>
      </c>
      <c r="B242" s="5"/>
      <c r="C242" s="5"/>
      <c r="D242" s="5"/>
      <c r="E242" s="5">
        <f>517.520333333333/1112</f>
        <v>0.46539598321342901</v>
      </c>
      <c r="F242" s="5">
        <f>508.212333333333/1112</f>
        <v>0.45702547961630663</v>
      </c>
      <c r="G242" s="5"/>
      <c r="H242" s="5"/>
      <c r="I242" s="5"/>
      <c r="J242" s="5">
        <f>3.56233333333333/114</f>
        <v>3.1248538011695876E-2</v>
      </c>
      <c r="K242" s="5">
        <f>3.127/114</f>
        <v>2.7429824561403506E-2</v>
      </c>
    </row>
    <row r="243" spans="1:11" x14ac:dyDescent="0.15">
      <c r="A243">
        <v>241</v>
      </c>
      <c r="B243" s="5"/>
      <c r="C243" s="5"/>
      <c r="D243" s="5"/>
      <c r="E243" s="5">
        <f>518.964333333333/1112</f>
        <v>0.46669454436450808</v>
      </c>
      <c r="F243" s="5">
        <f>508.723/1112</f>
        <v>0.45748471223021586</v>
      </c>
      <c r="G243" s="5"/>
      <c r="H243" s="5"/>
      <c r="I243" s="5"/>
      <c r="J243" s="5">
        <f>3.52133333333333/114</f>
        <v>3.0888888888888862E-2</v>
      </c>
      <c r="K243" s="5">
        <f>3.145/114</f>
        <v>2.7587719298245616E-2</v>
      </c>
    </row>
    <row r="244" spans="1:11" x14ac:dyDescent="0.15">
      <c r="A244">
        <v>242</v>
      </c>
      <c r="B244" s="5"/>
      <c r="C244" s="5"/>
      <c r="D244" s="5"/>
      <c r="E244" s="5">
        <f>519.141/1112</f>
        <v>0.46685341726618701</v>
      </c>
      <c r="F244" s="5">
        <f>509.747333333333/1112</f>
        <v>0.4584058752997599</v>
      </c>
      <c r="G244" s="5"/>
      <c r="H244" s="5"/>
      <c r="I244" s="5"/>
      <c r="J244" s="5">
        <f>3.61233333333333/114</f>
        <v>3.1687134502923944E-2</v>
      </c>
      <c r="K244" s="5">
        <f>3.147/114</f>
        <v>2.7605263157894733E-2</v>
      </c>
    </row>
    <row r="245" spans="1:11" x14ac:dyDescent="0.15">
      <c r="A245">
        <v>243</v>
      </c>
      <c r="B245" s="5"/>
      <c r="C245" s="5"/>
      <c r="D245" s="5"/>
      <c r="E245" s="5">
        <f>520.190333333333/1112</f>
        <v>0.46779706235011959</v>
      </c>
      <c r="F245" s="5">
        <f>511.026/1112</f>
        <v>0.45955575539568344</v>
      </c>
      <c r="G245" s="5"/>
      <c r="H245" s="5"/>
      <c r="I245" s="5"/>
      <c r="J245" s="5">
        <f>3.55566666666667/114</f>
        <v>3.1190058479532191E-2</v>
      </c>
      <c r="K245" s="5">
        <f>3.185/114</f>
        <v>2.7938596491228072E-2</v>
      </c>
    </row>
    <row r="246" spans="1:11" x14ac:dyDescent="0.15">
      <c r="A246">
        <v>244</v>
      </c>
      <c r="B246" s="5"/>
      <c r="C246" s="5"/>
      <c r="D246" s="5"/>
      <c r="E246" s="5">
        <f>521.079/1112</f>
        <v>0.46859622302158271</v>
      </c>
      <c r="F246" s="5">
        <f>512.217666666667/1112</f>
        <v>0.46062739808153508</v>
      </c>
      <c r="G246" s="5"/>
      <c r="H246" s="5"/>
      <c r="I246" s="5"/>
      <c r="J246" s="5">
        <f>3.54366666666667/114</f>
        <v>3.1084795321637455E-2</v>
      </c>
      <c r="K246" s="5">
        <f>3.12333333333333/114</f>
        <v>2.7397660818713421E-2</v>
      </c>
    </row>
    <row r="247" spans="1:11" x14ac:dyDescent="0.15">
      <c r="A247">
        <v>245</v>
      </c>
      <c r="B247" s="5"/>
      <c r="C247" s="5"/>
      <c r="D247" s="5"/>
      <c r="E247" s="5">
        <f>522.039666666667/1112</f>
        <v>0.46946013189448471</v>
      </c>
      <c r="F247" s="5">
        <f>511.824666666667/1112</f>
        <v>0.46027398081534798</v>
      </c>
      <c r="G247" s="5"/>
      <c r="H247" s="5"/>
      <c r="I247" s="5"/>
      <c r="J247" s="5">
        <f>3.56333333333333/114</f>
        <v>3.1257309941520435E-2</v>
      </c>
      <c r="K247" s="5">
        <f>3.211/114</f>
        <v>2.8166666666666666E-2</v>
      </c>
    </row>
    <row r="248" spans="1:11" x14ac:dyDescent="0.15">
      <c r="A248">
        <v>246</v>
      </c>
      <c r="B248" s="5"/>
      <c r="C248" s="5"/>
      <c r="D248" s="5"/>
      <c r="E248" s="5">
        <f>522.606333333333/1112</f>
        <v>0.46996972422062328</v>
      </c>
      <c r="F248" s="5">
        <f>513.413333333333/1112</f>
        <v>0.46170263788968791</v>
      </c>
      <c r="G248" s="5"/>
      <c r="H248" s="5"/>
      <c r="I248" s="5"/>
      <c r="J248" s="5">
        <f>3.56066666666667/114</f>
        <v>3.1233918128655003E-2</v>
      </c>
      <c r="K248" s="5">
        <f>3.21133333333333/114</f>
        <v>2.8169590643274824E-2</v>
      </c>
    </row>
    <row r="249" spans="1:11" x14ac:dyDescent="0.15">
      <c r="A249">
        <v>247</v>
      </c>
      <c r="B249" s="5"/>
      <c r="C249" s="5"/>
      <c r="D249" s="5"/>
      <c r="E249" s="5">
        <f>523.502/1112</f>
        <v>0.47077517985611506</v>
      </c>
      <c r="F249" s="5">
        <f>514.145666666667/1112</f>
        <v>0.46236121103117539</v>
      </c>
      <c r="G249" s="5"/>
      <c r="H249" s="5"/>
      <c r="I249" s="5"/>
      <c r="J249" s="5">
        <f>3.625/114</f>
        <v>3.1798245614035089E-2</v>
      </c>
      <c r="K249" s="5">
        <f>3.19466666666667/114</f>
        <v>2.8023391812865527E-2</v>
      </c>
    </row>
    <row r="250" spans="1:11" x14ac:dyDescent="0.15">
      <c r="A250">
        <v>248</v>
      </c>
      <c r="B250" s="5"/>
      <c r="C250" s="5"/>
      <c r="D250" s="5"/>
      <c r="E250" s="5">
        <f>525.106/1112</f>
        <v>0.47221762589928057</v>
      </c>
      <c r="F250" s="5">
        <f>515.042666666667/1112</f>
        <v>0.46316786570743429</v>
      </c>
      <c r="G250" s="5"/>
      <c r="H250" s="5"/>
      <c r="I250" s="5"/>
      <c r="J250" s="5">
        <f>3.60766666666667/114</f>
        <v>3.1646198830409387E-2</v>
      </c>
      <c r="K250" s="5">
        <f>3.21433333333333/114</f>
        <v>2.819590643274851E-2</v>
      </c>
    </row>
    <row r="251" spans="1:11" x14ac:dyDescent="0.15">
      <c r="A251">
        <v>249</v>
      </c>
      <c r="B251" s="5"/>
      <c r="C251" s="5"/>
      <c r="D251" s="5"/>
      <c r="E251" s="5">
        <f>525.762666666667/1112</f>
        <v>0.4728081534772185</v>
      </c>
      <c r="F251" s="5">
        <f>515.007/1112</f>
        <v>0.46313579136690641</v>
      </c>
      <c r="G251" s="5"/>
      <c r="H251" s="5"/>
      <c r="I251" s="5"/>
      <c r="J251" s="5">
        <f>3.70633333333333/114</f>
        <v>3.2511695906432721E-2</v>
      </c>
      <c r="K251" s="5">
        <f>3.259/114</f>
        <v>2.8587719298245613E-2</v>
      </c>
    </row>
    <row r="252" spans="1:11" x14ac:dyDescent="0.15">
      <c r="A252">
        <v>250</v>
      </c>
      <c r="B252" s="5"/>
      <c r="C252" s="5"/>
      <c r="D252" s="5"/>
      <c r="E252" s="5">
        <f>526.039666666667/1112</f>
        <v>0.47305725419664302</v>
      </c>
      <c r="F252" s="5">
        <f>516.887/1112</f>
        <v>0.46482643884892083</v>
      </c>
      <c r="G252" s="5"/>
      <c r="H252" s="5"/>
      <c r="I252" s="5"/>
      <c r="J252" s="5">
        <f>3.697/114</f>
        <v>3.242982456140351E-2</v>
      </c>
      <c r="K252" s="5">
        <f>3.236/114</f>
        <v>2.8385964912280702E-2</v>
      </c>
    </row>
    <row r="253" spans="1:11" x14ac:dyDescent="0.15">
      <c r="A253">
        <v>251</v>
      </c>
      <c r="B253" s="5"/>
      <c r="C253" s="5"/>
      <c r="D253" s="5"/>
      <c r="E253" s="5">
        <f>527.101666666667/1112</f>
        <v>0.47401229016786606</v>
      </c>
      <c r="F253" s="5">
        <f>516.511666666667/1112</f>
        <v>0.46448890887290195</v>
      </c>
      <c r="G253" s="5"/>
      <c r="H253" s="5"/>
      <c r="I253" s="5"/>
      <c r="J253" s="5">
        <f>3.64933333333333/114</f>
        <v>3.201169590643272E-2</v>
      </c>
      <c r="K253" s="5">
        <f>3.22833333333333/114</f>
        <v>2.8318713450292368E-2</v>
      </c>
    </row>
    <row r="254" spans="1:11" x14ac:dyDescent="0.15">
      <c r="A254">
        <v>252</v>
      </c>
      <c r="B254" s="5"/>
      <c r="C254" s="5"/>
      <c r="D254" s="5"/>
      <c r="E254" s="5">
        <f>527.704666666667/1112</f>
        <v>0.47455455635491633</v>
      </c>
      <c r="F254" s="5">
        <f>518.014333333333/1112</f>
        <v>0.46584022781774548</v>
      </c>
      <c r="G254" s="5"/>
      <c r="H254" s="5"/>
      <c r="I254" s="5"/>
      <c r="J254" s="5">
        <f>3.68366666666667/114</f>
        <v>3.231286549707605E-2</v>
      </c>
      <c r="K254" s="5">
        <f>3.242/114</f>
        <v>2.8438596491228069E-2</v>
      </c>
    </row>
    <row r="255" spans="1:11" x14ac:dyDescent="0.15">
      <c r="A255">
        <v>253</v>
      </c>
      <c r="B255" s="5"/>
      <c r="C255" s="5"/>
      <c r="D255" s="5"/>
      <c r="E255" s="5">
        <f>528.797333333333/1112</f>
        <v>0.47553717026378867</v>
      </c>
      <c r="F255" s="5">
        <f>518.833666666667/1112</f>
        <v>0.46657703836930486</v>
      </c>
      <c r="G255" s="5"/>
      <c r="H255" s="5"/>
      <c r="I255" s="5"/>
      <c r="J255" s="5">
        <f>3.71466666666667/114</f>
        <v>3.2584795321637459E-2</v>
      </c>
      <c r="K255" s="5">
        <f>3.29066666666667/114</f>
        <v>2.8865497076023424E-2</v>
      </c>
    </row>
    <row r="256" spans="1:11" x14ac:dyDescent="0.15">
      <c r="A256">
        <v>254</v>
      </c>
      <c r="B256" s="5"/>
      <c r="C256" s="5"/>
      <c r="D256" s="5"/>
      <c r="E256" s="5">
        <f>529.442/1112</f>
        <v>0.47611690647482013</v>
      </c>
      <c r="F256" s="5">
        <f>519.227/1112</f>
        <v>0.46693075539568341</v>
      </c>
      <c r="G256" s="5"/>
      <c r="H256" s="5"/>
      <c r="I256" s="5"/>
      <c r="J256" s="5">
        <f>3.68666666666667/114</f>
        <v>3.2339181286549737E-2</v>
      </c>
      <c r="K256" s="5">
        <f>3.26533333333333/114</f>
        <v>2.8643274853801141E-2</v>
      </c>
    </row>
    <row r="257" spans="1:11" x14ac:dyDescent="0.15">
      <c r="A257">
        <v>255</v>
      </c>
      <c r="B257" s="5"/>
      <c r="C257" s="5"/>
      <c r="D257" s="5"/>
      <c r="E257" s="5">
        <f>530.62/1112</f>
        <v>0.47717625899280575</v>
      </c>
      <c r="F257" s="5">
        <f>520.870666666667/1112</f>
        <v>0.46840887290167899</v>
      </c>
      <c r="G257" s="5"/>
      <c r="H257" s="5"/>
      <c r="I257" s="5"/>
      <c r="J257" s="5">
        <f>3.72533333333333/114</f>
        <v>3.2678362573099383E-2</v>
      </c>
      <c r="K257" s="5">
        <f>3.30266666666667/114</f>
        <v>2.8970760233918161E-2</v>
      </c>
    </row>
    <row r="258" spans="1:11" x14ac:dyDescent="0.15">
      <c r="A258">
        <v>256</v>
      </c>
      <c r="B258" s="5"/>
      <c r="C258" s="5"/>
      <c r="D258" s="5"/>
      <c r="E258" s="5">
        <f>531.097666666667/1112</f>
        <v>0.47760581534772212</v>
      </c>
      <c r="F258" s="5">
        <f>521.252/1112</f>
        <v>0.46875179856115101</v>
      </c>
      <c r="G258" s="5"/>
      <c r="H258" s="5"/>
      <c r="I258" s="5"/>
      <c r="J258" s="5">
        <f>3.70466666666667/114</f>
        <v>3.2497076023391844E-2</v>
      </c>
      <c r="K258" s="5">
        <f>3.33633333333333/114</f>
        <v>2.9266081871344999E-2</v>
      </c>
    </row>
    <row r="259" spans="1:11" x14ac:dyDescent="0.15">
      <c r="A259">
        <v>257</v>
      </c>
      <c r="B259" s="5"/>
      <c r="C259" s="5"/>
      <c r="D259" s="5"/>
      <c r="E259" s="5">
        <f>532.115/1112</f>
        <v>0.47852068345323739</v>
      </c>
      <c r="F259" s="5">
        <f>522.551666666667/1112</f>
        <v>0.46992056354916095</v>
      </c>
      <c r="G259" s="5"/>
      <c r="H259" s="5"/>
      <c r="I259" s="5"/>
      <c r="J259" s="5">
        <f>3.76066666666667/114</f>
        <v>3.2988304093567282E-2</v>
      </c>
      <c r="K259" s="5">
        <f>3.295/114</f>
        <v>2.8903508771929824E-2</v>
      </c>
    </row>
    <row r="260" spans="1:11" x14ac:dyDescent="0.15">
      <c r="A260">
        <v>258</v>
      </c>
      <c r="B260" s="5"/>
      <c r="C260" s="5"/>
      <c r="D260" s="5"/>
      <c r="E260" s="5">
        <f>533.002333333333/1112</f>
        <v>0.47931864508393257</v>
      </c>
      <c r="F260" s="5">
        <f>522.443333333333/1112</f>
        <v>0.46982314148681031</v>
      </c>
      <c r="G260" s="5"/>
      <c r="H260" s="5"/>
      <c r="I260" s="5"/>
      <c r="J260" s="5">
        <f>3.74566666666667/114</f>
        <v>3.2856725146198855E-2</v>
      </c>
      <c r="K260" s="5">
        <f>3.329/114</f>
        <v>2.9201754385964913E-2</v>
      </c>
    </row>
    <row r="261" spans="1:11" x14ac:dyDescent="0.15">
      <c r="A261">
        <v>259</v>
      </c>
      <c r="B261" s="5"/>
      <c r="C261" s="5"/>
      <c r="D261" s="5"/>
      <c r="E261" s="5">
        <f>533.116666666667/1112</f>
        <v>0.47942146282973652</v>
      </c>
      <c r="F261" s="5">
        <f>523.533333333333/1112</f>
        <v>0.47080335731414835</v>
      </c>
      <c r="G261" s="5"/>
      <c r="H261" s="5"/>
      <c r="I261" s="5"/>
      <c r="J261" s="5">
        <f>3.79466666666667/114</f>
        <v>3.3286549707602371E-2</v>
      </c>
      <c r="K261" s="5">
        <f>3.35433333333333/114</f>
        <v>2.9423976608187102E-2</v>
      </c>
    </row>
    <row r="262" spans="1:11" x14ac:dyDescent="0.15">
      <c r="A262">
        <v>260</v>
      </c>
      <c r="B262" s="5"/>
      <c r="C262" s="5"/>
      <c r="D262" s="5"/>
      <c r="E262" s="5">
        <f>534.182333333333/1112</f>
        <v>0.48037979616306919</v>
      </c>
      <c r="F262" s="5">
        <f>524.130666666667/1112</f>
        <v>0.47134052757793798</v>
      </c>
      <c r="G262" s="5"/>
      <c r="H262" s="5"/>
      <c r="I262" s="5"/>
      <c r="J262" s="5">
        <f>3.76666666666667/114</f>
        <v>3.3040935672514649E-2</v>
      </c>
      <c r="K262" s="5">
        <f>3.35066666666667/114</f>
        <v>2.9391812865497104E-2</v>
      </c>
    </row>
    <row r="263" spans="1:11" x14ac:dyDescent="0.15">
      <c r="A263">
        <v>261</v>
      </c>
      <c r="B263" s="5"/>
      <c r="C263" s="5"/>
      <c r="D263" s="5"/>
      <c r="E263" s="5">
        <f>534.787/1112</f>
        <v>0.48092356115107915</v>
      </c>
      <c r="F263" s="5">
        <f>525.188/1112</f>
        <v>0.47229136690647483</v>
      </c>
      <c r="G263" s="5"/>
      <c r="H263" s="5"/>
      <c r="I263" s="5"/>
      <c r="J263" s="5">
        <f>3.755/114</f>
        <v>3.2938596491228073E-2</v>
      </c>
      <c r="K263" s="5">
        <f>3.39066666666667/114</f>
        <v>2.974269005847956E-2</v>
      </c>
    </row>
    <row r="264" spans="1:11" x14ac:dyDescent="0.15">
      <c r="A264">
        <v>262</v>
      </c>
      <c r="B264" s="5"/>
      <c r="C264" s="5"/>
      <c r="D264" s="5"/>
      <c r="E264" s="5">
        <f>536.116666666667/1112</f>
        <v>0.48211930455635521</v>
      </c>
      <c r="F264" s="5">
        <f>526.128/1112</f>
        <v>0.47313669064748204</v>
      </c>
      <c r="G264" s="5"/>
      <c r="H264" s="5"/>
      <c r="I264" s="5"/>
      <c r="J264" s="5">
        <f>3.836/114</f>
        <v>3.364912280701754E-2</v>
      </c>
      <c r="K264" s="5">
        <f>3.41133333333333/114</f>
        <v>2.9923976608187106E-2</v>
      </c>
    </row>
    <row r="265" spans="1:11" x14ac:dyDescent="0.15">
      <c r="A265">
        <v>263</v>
      </c>
      <c r="B265" s="5"/>
      <c r="C265" s="5"/>
      <c r="D265" s="5"/>
      <c r="E265" s="5">
        <f>536.742666666667/1112</f>
        <v>0.48268225419664296</v>
      </c>
      <c r="F265" s="5">
        <f>527.050333333333/1112</f>
        <v>0.47396612709832103</v>
      </c>
      <c r="G265" s="5"/>
      <c r="H265" s="5"/>
      <c r="I265" s="5"/>
      <c r="J265" s="5">
        <f>3.803/114</f>
        <v>3.335964912280702E-2</v>
      </c>
      <c r="K265" s="5">
        <f>3.36666666666667/114</f>
        <v>2.9532163742690087E-2</v>
      </c>
    </row>
    <row r="266" spans="1:11" x14ac:dyDescent="0.15">
      <c r="A266">
        <v>264</v>
      </c>
      <c r="B266" s="5"/>
      <c r="C266" s="5"/>
      <c r="D266" s="5"/>
      <c r="E266" s="5">
        <f>537.922666666667/1112</f>
        <v>0.48374340527577975</v>
      </c>
      <c r="F266" s="5">
        <f>527.425333333333/1112</f>
        <v>0.47430335731414841</v>
      </c>
      <c r="G266" s="5"/>
      <c r="H266" s="5"/>
      <c r="I266" s="5"/>
      <c r="J266" s="5">
        <f>3.76266666666667/114</f>
        <v>3.3005847953216406E-2</v>
      </c>
      <c r="K266" s="5">
        <f>3.41333333333333/114</f>
        <v>2.9941520467836227E-2</v>
      </c>
    </row>
    <row r="267" spans="1:11" x14ac:dyDescent="0.15">
      <c r="A267">
        <v>265</v>
      </c>
      <c r="B267" s="5"/>
      <c r="C267" s="5"/>
      <c r="D267" s="5"/>
      <c r="E267" s="5">
        <f>538.086333333333/1112</f>
        <v>0.48389058752997566</v>
      </c>
      <c r="F267" s="5">
        <f>527.960666666667/1112</f>
        <v>0.47478477218225446</v>
      </c>
      <c r="G267" s="5"/>
      <c r="H267" s="5"/>
      <c r="I267" s="5"/>
      <c r="J267" s="5">
        <f>3.87066666666667/114</f>
        <v>3.3953216374269034E-2</v>
      </c>
      <c r="K267" s="5">
        <f>3.42533333333333/114</f>
        <v>3.0046783625730964E-2</v>
      </c>
    </row>
    <row r="268" spans="1:11" x14ac:dyDescent="0.15">
      <c r="A268">
        <v>266</v>
      </c>
      <c r="B268" s="5"/>
      <c r="C268" s="5"/>
      <c r="D268" s="5"/>
      <c r="E268" s="5">
        <f>538.983666666667/1112</f>
        <v>0.48469754196642711</v>
      </c>
      <c r="F268" s="5">
        <f>528.771/1112</f>
        <v>0.47551348920863307</v>
      </c>
      <c r="G268" s="5"/>
      <c r="H268" s="5"/>
      <c r="I268" s="5"/>
      <c r="J268" s="5">
        <f>3.86866666666667/114</f>
        <v>3.3935672514619909E-2</v>
      </c>
      <c r="K268" s="5">
        <f>3.503/114</f>
        <v>3.0728070175438597E-2</v>
      </c>
    </row>
    <row r="269" spans="1:11" x14ac:dyDescent="0.15">
      <c r="A269">
        <v>267</v>
      </c>
      <c r="B269" s="5"/>
      <c r="C269" s="5"/>
      <c r="D269" s="5"/>
      <c r="E269" s="5">
        <f>540.300666666667/1112</f>
        <v>0.48588189448441277</v>
      </c>
      <c r="F269" s="5">
        <f>530.021/1112</f>
        <v>0.47663758992805749</v>
      </c>
      <c r="G269" s="5"/>
      <c r="H269" s="5"/>
      <c r="I269" s="5"/>
      <c r="J269" s="5">
        <f>3.86866666666667/114</f>
        <v>3.3935672514619909E-2</v>
      </c>
      <c r="K269" s="5">
        <f>3.44266666666667/114</f>
        <v>3.0198830409356753E-2</v>
      </c>
    </row>
    <row r="270" spans="1:11" x14ac:dyDescent="0.15">
      <c r="A270">
        <v>268</v>
      </c>
      <c r="B270" s="5"/>
      <c r="C270" s="5"/>
      <c r="D270" s="5"/>
      <c r="E270" s="5">
        <f>540.142666666667/1112</f>
        <v>0.4857398081534775</v>
      </c>
      <c r="F270" s="5">
        <f>530.929/1112</f>
        <v>0.47745413669064746</v>
      </c>
      <c r="G270" s="5"/>
      <c r="H270" s="5"/>
      <c r="I270" s="5"/>
      <c r="J270" s="5">
        <f>3.89033333333333/114</f>
        <v>3.4125730994152018E-2</v>
      </c>
      <c r="K270" s="5">
        <f>3.421/114</f>
        <v>3.0008771929824561E-2</v>
      </c>
    </row>
    <row r="271" spans="1:11" x14ac:dyDescent="0.15">
      <c r="A271">
        <v>269</v>
      </c>
      <c r="B271" s="5"/>
      <c r="C271" s="5"/>
      <c r="D271" s="5"/>
      <c r="E271" s="5">
        <f>541.231666666667/1112</f>
        <v>0.48671912470024015</v>
      </c>
      <c r="F271" s="5">
        <f>531.909333333333/1112</f>
        <v>0.47833573141486785</v>
      </c>
      <c r="G271" s="5"/>
      <c r="H271" s="5"/>
      <c r="I271" s="5"/>
      <c r="J271" s="5">
        <f>3.896/114</f>
        <v>3.4175438596491227E-2</v>
      </c>
      <c r="K271" s="5">
        <f>3.43933333333333/114</f>
        <v>3.0169590643274822E-2</v>
      </c>
    </row>
    <row r="272" spans="1:11" x14ac:dyDescent="0.15">
      <c r="A272">
        <v>270</v>
      </c>
      <c r="B272" s="5"/>
      <c r="C272" s="5"/>
      <c r="D272" s="5"/>
      <c r="E272" s="5">
        <f>542.645333333333/1112</f>
        <v>0.48799040767386065</v>
      </c>
      <c r="F272" s="5">
        <f>531.575333333333/1112</f>
        <v>0.4780353717026376</v>
      </c>
      <c r="G272" s="5"/>
      <c r="H272" s="5"/>
      <c r="I272" s="5"/>
      <c r="J272" s="5">
        <f>3.89733333333333/114</f>
        <v>3.4187134502923947E-2</v>
      </c>
      <c r="K272" s="5">
        <f>3.52633333333333/114</f>
        <v>3.0932748538011666E-2</v>
      </c>
    </row>
    <row r="273" spans="1:11" x14ac:dyDescent="0.15">
      <c r="A273">
        <v>271</v>
      </c>
      <c r="B273" s="5"/>
      <c r="C273" s="5"/>
      <c r="D273" s="5"/>
      <c r="E273" s="5">
        <f>542.687/1112</f>
        <v>0.48802787769784173</v>
      </c>
      <c r="F273" s="5">
        <f>533.065/1112</f>
        <v>0.47937500000000005</v>
      </c>
      <c r="G273" s="5"/>
      <c r="H273" s="5"/>
      <c r="I273" s="5"/>
      <c r="J273" s="5">
        <f>3.94266666666667/114</f>
        <v>3.4584795321637454E-2</v>
      </c>
      <c r="K273" s="5">
        <f>3.46566666666667/114</f>
        <v>3.0400584795321667E-2</v>
      </c>
    </row>
    <row r="274" spans="1:11" x14ac:dyDescent="0.15">
      <c r="A274">
        <v>272</v>
      </c>
      <c r="B274" s="5"/>
      <c r="C274" s="5"/>
      <c r="D274" s="5"/>
      <c r="E274" s="5">
        <f>544.017/1112</f>
        <v>0.4892239208633094</v>
      </c>
      <c r="F274" s="5">
        <f>533.508333333333/1112</f>
        <v>0.47977368105515555</v>
      </c>
      <c r="G274" s="5"/>
      <c r="H274" s="5"/>
      <c r="I274" s="5"/>
      <c r="J274" s="5">
        <f>3.95633333333333/114</f>
        <v>3.4704678362573071E-2</v>
      </c>
      <c r="K274" s="5">
        <f>3.50466666666667/114</f>
        <v>3.0742690058479561E-2</v>
      </c>
    </row>
    <row r="275" spans="1:11" x14ac:dyDescent="0.15">
      <c r="A275">
        <v>273</v>
      </c>
      <c r="B275" s="5"/>
      <c r="C275" s="5"/>
      <c r="D275" s="5"/>
      <c r="E275" s="5">
        <f>543.943333333333/1112</f>
        <v>0.48915767386091102</v>
      </c>
      <c r="F275" s="5">
        <f>534.458333333333/1112</f>
        <v>0.48062799760191821</v>
      </c>
      <c r="G275" s="5"/>
      <c r="H275" s="5"/>
      <c r="I275" s="5"/>
      <c r="J275" s="5">
        <f>3.957/114</f>
        <v>3.4710526315789469E-2</v>
      </c>
      <c r="K275" s="5">
        <f>3.51233333333333/114</f>
        <v>3.0809941520467808E-2</v>
      </c>
    </row>
    <row r="276" spans="1:11" x14ac:dyDescent="0.15">
      <c r="A276">
        <v>274</v>
      </c>
      <c r="B276" s="5"/>
      <c r="C276" s="5"/>
      <c r="D276" s="5"/>
      <c r="E276" s="5">
        <f>545.255333333333/1112</f>
        <v>0.49033752997601893</v>
      </c>
      <c r="F276" s="5">
        <f>534.552666666667/1112</f>
        <v>0.48071282973621138</v>
      </c>
      <c r="G276" s="5"/>
      <c r="H276" s="5"/>
      <c r="I276" s="5"/>
      <c r="J276" s="5">
        <f>3.96/114</f>
        <v>3.4736842105263156E-2</v>
      </c>
      <c r="K276" s="5">
        <f>3.58166666666667/114</f>
        <v>3.1418128654970789E-2</v>
      </c>
    </row>
    <row r="277" spans="1:11" x14ac:dyDescent="0.15">
      <c r="A277">
        <v>275</v>
      </c>
      <c r="B277" s="5"/>
      <c r="C277" s="5"/>
      <c r="D277" s="5"/>
      <c r="E277" s="5">
        <f>545.540333333333/1112</f>
        <v>0.49059382494004766</v>
      </c>
      <c r="F277" s="5">
        <f>536.085/1112</f>
        <v>0.48209082733812952</v>
      </c>
      <c r="G277" s="5"/>
      <c r="H277" s="5"/>
      <c r="I277" s="5"/>
      <c r="J277" s="5">
        <f>4.007/114</f>
        <v>3.5149122807017541E-2</v>
      </c>
      <c r="K277" s="5">
        <f>3.539/114</f>
        <v>3.1043859649122808E-2</v>
      </c>
    </row>
    <row r="278" spans="1:11" x14ac:dyDescent="0.15">
      <c r="A278">
        <v>276</v>
      </c>
      <c r="B278" s="5"/>
      <c r="C278" s="5"/>
      <c r="D278" s="5"/>
      <c r="E278" s="5">
        <f>546.240333333333/1112</f>
        <v>0.49122332134292535</v>
      </c>
      <c r="F278" s="5">
        <f>536.64/1112</f>
        <v>0.48258992805755396</v>
      </c>
      <c r="G278" s="5"/>
      <c r="H278" s="5"/>
      <c r="I278" s="5"/>
      <c r="J278" s="5">
        <f>4.00633333333333/114</f>
        <v>3.5143274853801143E-2</v>
      </c>
      <c r="K278" s="5">
        <f>3.53/114</f>
        <v>3.0964912280701754E-2</v>
      </c>
    </row>
    <row r="279" spans="1:11" x14ac:dyDescent="0.15">
      <c r="A279">
        <v>277</v>
      </c>
      <c r="B279" s="5"/>
      <c r="C279" s="5"/>
      <c r="D279" s="5"/>
      <c r="E279" s="5">
        <f>547.615666666667/1112</f>
        <v>0.49246013189448473</v>
      </c>
      <c r="F279" s="5">
        <f>538.258333333333/1112</f>
        <v>0.48404526378896851</v>
      </c>
      <c r="G279" s="5"/>
      <c r="H279" s="5"/>
      <c r="I279" s="5"/>
      <c r="J279" s="5">
        <f>3.98366666666667/114</f>
        <v>3.4944444444444472E-2</v>
      </c>
      <c r="K279" s="5">
        <f>3.578/114</f>
        <v>3.1385964912280698E-2</v>
      </c>
    </row>
    <row r="280" spans="1:11" x14ac:dyDescent="0.15">
      <c r="A280">
        <v>278</v>
      </c>
      <c r="B280" s="5"/>
      <c r="C280" s="5"/>
      <c r="D280" s="5"/>
      <c r="E280" s="5">
        <f>547.959333333333/1112</f>
        <v>0.49276918465227787</v>
      </c>
      <c r="F280" s="5">
        <f>538.602333333333/1112</f>
        <v>0.48435461630695414</v>
      </c>
      <c r="G280" s="5"/>
      <c r="H280" s="5"/>
      <c r="I280" s="5"/>
      <c r="J280" s="5">
        <f>4.04966666666667/114</f>
        <v>3.5523391812865526E-2</v>
      </c>
      <c r="K280" s="5">
        <f>3.572/114</f>
        <v>3.1333333333333331E-2</v>
      </c>
    </row>
    <row r="281" spans="1:11" x14ac:dyDescent="0.15">
      <c r="A281">
        <v>279</v>
      </c>
      <c r="B281" s="5"/>
      <c r="C281" s="5"/>
      <c r="D281" s="5"/>
      <c r="E281" s="5">
        <f>548.961333333333/1112</f>
        <v>0.4936702637889685</v>
      </c>
      <c r="F281" s="5">
        <f>538.938666666667/1112</f>
        <v>0.4846570743405279</v>
      </c>
      <c r="G281" s="5"/>
      <c r="H281" s="5"/>
      <c r="I281" s="5"/>
      <c r="J281" s="5">
        <f>4.06/114</f>
        <v>3.5614035087719292E-2</v>
      </c>
      <c r="K281" s="5">
        <f>3.56/114</f>
        <v>3.1228070175438598E-2</v>
      </c>
    </row>
    <row r="282" spans="1:11" x14ac:dyDescent="0.15">
      <c r="A282">
        <v>280</v>
      </c>
      <c r="B282" s="5"/>
      <c r="C282" s="5"/>
      <c r="D282" s="5"/>
      <c r="E282" s="5">
        <f>549.432/1112</f>
        <v>0.49409352517985611</v>
      </c>
      <c r="F282" s="5">
        <f>540.321333333333/1112</f>
        <v>0.48590047961630661</v>
      </c>
      <c r="G282" s="5"/>
      <c r="H282" s="5"/>
      <c r="I282" s="5"/>
      <c r="J282" s="5">
        <f>4.051/114</f>
        <v>3.5535087719298246E-2</v>
      </c>
      <c r="K282" s="5">
        <f>3.61933333333333/114</f>
        <v>3.174853801169588E-2</v>
      </c>
    </row>
    <row r="283" spans="1:11" x14ac:dyDescent="0.15">
      <c r="A283">
        <v>281</v>
      </c>
      <c r="B283" s="5"/>
      <c r="C283" s="5"/>
      <c r="D283" s="5"/>
      <c r="E283" s="5">
        <f>550.48/1112</f>
        <v>0.49503597122302162</v>
      </c>
      <c r="F283" s="5">
        <f>540.617333333333/1112</f>
        <v>0.48616666666666641</v>
      </c>
      <c r="G283" s="5"/>
      <c r="H283" s="5"/>
      <c r="I283" s="5"/>
      <c r="J283" s="5">
        <f>4.074/114</f>
        <v>3.5736842105263157E-2</v>
      </c>
      <c r="K283" s="5">
        <f>3.59866666666667/114</f>
        <v>3.1567251461988334E-2</v>
      </c>
    </row>
    <row r="284" spans="1:11" x14ac:dyDescent="0.15">
      <c r="A284">
        <v>282</v>
      </c>
      <c r="B284" s="5"/>
      <c r="C284" s="5"/>
      <c r="D284" s="5"/>
      <c r="E284" s="5">
        <f>550.977333333333/1112</f>
        <v>0.49548321342925633</v>
      </c>
      <c r="F284" s="5">
        <f>541.598666666667/1112</f>
        <v>0.48704916067146314</v>
      </c>
      <c r="G284" s="5"/>
      <c r="H284" s="5"/>
      <c r="I284" s="5"/>
      <c r="J284" s="5">
        <f>4.08366666666667/114</f>
        <v>3.5821637426900615E-2</v>
      </c>
      <c r="K284" s="5">
        <f>3.584/114</f>
        <v>3.1438596491228071E-2</v>
      </c>
    </row>
    <row r="285" spans="1:11" x14ac:dyDescent="0.15">
      <c r="A285">
        <v>283</v>
      </c>
      <c r="B285" s="5"/>
      <c r="C285" s="5"/>
      <c r="D285" s="5"/>
      <c r="E285" s="5">
        <f>551.885/1112</f>
        <v>0.49629946043165468</v>
      </c>
      <c r="F285" s="5">
        <f>541.793/1112</f>
        <v>0.48722392086330935</v>
      </c>
      <c r="G285" s="5"/>
      <c r="H285" s="5"/>
      <c r="I285" s="5"/>
      <c r="J285" s="5">
        <f>4.05233333333333/114</f>
        <v>3.5546783625730966E-2</v>
      </c>
      <c r="K285" s="5">
        <f>3.61266666666667/114</f>
        <v>3.1690058479532192E-2</v>
      </c>
    </row>
    <row r="286" spans="1:11" x14ac:dyDescent="0.15">
      <c r="A286">
        <v>284</v>
      </c>
      <c r="B286" s="5"/>
      <c r="C286" s="5"/>
      <c r="D286" s="5"/>
      <c r="E286" s="5">
        <f>552.078/1112</f>
        <v>0.49647302158273376</v>
      </c>
      <c r="F286" s="5">
        <f>543.270666666667/1112</f>
        <v>0.48855275779376528</v>
      </c>
      <c r="G286" s="5"/>
      <c r="H286" s="5"/>
      <c r="I286" s="5"/>
      <c r="J286" s="5">
        <f>4.09133333333333/114</f>
        <v>3.5888888888888866E-2</v>
      </c>
      <c r="K286" s="5">
        <f>3.689/114</f>
        <v>3.2359649122807019E-2</v>
      </c>
    </row>
    <row r="287" spans="1:11" x14ac:dyDescent="0.15">
      <c r="A287">
        <v>285</v>
      </c>
      <c r="B287" s="5"/>
      <c r="C287" s="5"/>
      <c r="D287" s="5"/>
      <c r="E287" s="5">
        <f>553.228333333333/1112</f>
        <v>0.49750749400479588</v>
      </c>
      <c r="F287" s="5">
        <f>543.731666666667/1112</f>
        <v>0.48896732613908905</v>
      </c>
      <c r="G287" s="5"/>
      <c r="H287" s="5"/>
      <c r="I287" s="5"/>
      <c r="J287" s="5">
        <f>4.14533333333333/114</f>
        <v>3.6362573099415173E-2</v>
      </c>
      <c r="K287" s="5">
        <f>3.626/114</f>
        <v>3.1807017543859645E-2</v>
      </c>
    </row>
    <row r="288" spans="1:11" x14ac:dyDescent="0.15">
      <c r="A288">
        <v>286</v>
      </c>
      <c r="B288" s="5"/>
      <c r="C288" s="5"/>
      <c r="D288" s="5"/>
      <c r="E288" s="5">
        <f>554.079333333333/1112</f>
        <v>0.49827278177458006</v>
      </c>
      <c r="F288" s="5">
        <f>544.192666666667/1112</f>
        <v>0.48938189448441283</v>
      </c>
      <c r="G288" s="5"/>
      <c r="H288" s="5"/>
      <c r="I288" s="5"/>
      <c r="J288" s="5">
        <f>4.11933333333333/114</f>
        <v>3.6134502923976582E-2</v>
      </c>
      <c r="K288" s="5">
        <f>3.68733333333333/114</f>
        <v>3.2345029239766052E-2</v>
      </c>
    </row>
    <row r="289" spans="1:11" x14ac:dyDescent="0.15">
      <c r="A289">
        <v>287</v>
      </c>
      <c r="B289" s="5"/>
      <c r="C289" s="5"/>
      <c r="D289" s="5"/>
      <c r="E289" s="5">
        <f>554.840333333333/1112</f>
        <v>0.49895713429256561</v>
      </c>
      <c r="F289" s="5">
        <f>544.994666666667/1112</f>
        <v>0.49010311750599544</v>
      </c>
      <c r="G289" s="5"/>
      <c r="H289" s="5"/>
      <c r="I289" s="5"/>
      <c r="J289" s="5">
        <f>4.147/114</f>
        <v>3.637719298245614E-2</v>
      </c>
      <c r="K289" s="5">
        <f>3.67966666666667/114</f>
        <v>3.2277777777777808E-2</v>
      </c>
    </row>
    <row r="290" spans="1:11" x14ac:dyDescent="0.15">
      <c r="A290">
        <v>288</v>
      </c>
      <c r="B290" s="5"/>
      <c r="C290" s="5"/>
      <c r="D290" s="5"/>
      <c r="E290" s="5">
        <f>555.530666666667/1112</f>
        <v>0.4995779376498804</v>
      </c>
      <c r="F290" s="5">
        <f>545.360666666667/1112</f>
        <v>0.49043225419664305</v>
      </c>
      <c r="G290" s="5"/>
      <c r="H290" s="5"/>
      <c r="I290" s="5"/>
      <c r="J290" s="5">
        <f>4.13333333333333/114</f>
        <v>3.6257309941520439E-2</v>
      </c>
      <c r="K290" s="5">
        <f>3.657/114</f>
        <v>3.2078947368421054E-2</v>
      </c>
    </row>
    <row r="291" spans="1:11" x14ac:dyDescent="0.15">
      <c r="A291">
        <v>289</v>
      </c>
      <c r="B291" s="5"/>
      <c r="C291" s="5"/>
      <c r="D291" s="5"/>
      <c r="E291" s="5">
        <f>556.475666666667/1112</f>
        <v>0.50042775779376536</v>
      </c>
      <c r="F291" s="5">
        <f>546.344333333333/1112</f>
        <v>0.49131684652278146</v>
      </c>
      <c r="G291" s="5"/>
      <c r="H291" s="5"/>
      <c r="I291" s="5"/>
      <c r="J291" s="5">
        <f>4.24433333333333/114</f>
        <v>3.7230994152046754E-2</v>
      </c>
      <c r="K291" s="5">
        <f>3.729/114</f>
        <v>3.2710526315789475E-2</v>
      </c>
    </row>
    <row r="292" spans="1:11" x14ac:dyDescent="0.15">
      <c r="A292">
        <v>290</v>
      </c>
      <c r="B292" s="5"/>
      <c r="C292" s="5"/>
      <c r="D292" s="5"/>
      <c r="E292" s="5">
        <f>556.547333333333/1112</f>
        <v>0.50049220623501167</v>
      </c>
      <c r="F292" s="5">
        <f>546.91/1112</f>
        <v>0.49182553956834529</v>
      </c>
      <c r="G292" s="5"/>
      <c r="H292" s="5"/>
      <c r="I292" s="5"/>
      <c r="J292" s="5">
        <f>4.17366666666667/114</f>
        <v>3.6611111111111143E-2</v>
      </c>
      <c r="K292" s="5">
        <f>3.708/114</f>
        <v>3.2526315789473688E-2</v>
      </c>
    </row>
    <row r="293" spans="1:11" x14ac:dyDescent="0.15">
      <c r="A293">
        <v>291</v>
      </c>
      <c r="B293" s="5"/>
      <c r="C293" s="5"/>
      <c r="D293" s="5"/>
      <c r="E293" s="5">
        <f>557.347666666667/1112</f>
        <v>0.50121193045563583</v>
      </c>
      <c r="F293" s="5">
        <f>547.309333333333/1112</f>
        <v>0.4921846522781772</v>
      </c>
      <c r="G293" s="5"/>
      <c r="H293" s="5"/>
      <c r="I293" s="5"/>
      <c r="J293" s="5">
        <f>4.18566666666667/114</f>
        <v>3.6716374269005876E-2</v>
      </c>
      <c r="K293" s="5">
        <f>3.74133333333333/114</f>
        <v>3.2818713450292365E-2</v>
      </c>
    </row>
    <row r="294" spans="1:11" x14ac:dyDescent="0.15">
      <c r="A294">
        <v>292</v>
      </c>
      <c r="B294" s="5"/>
      <c r="C294" s="5"/>
      <c r="D294" s="5"/>
      <c r="E294" s="5">
        <f>558.381333333333/1112</f>
        <v>0.50214148681055126</v>
      </c>
      <c r="F294" s="5">
        <f>548.470666666667/1112</f>
        <v>0.493229016786571</v>
      </c>
      <c r="G294" s="5"/>
      <c r="H294" s="5"/>
      <c r="I294" s="5"/>
      <c r="J294" s="5">
        <f>4.227/114</f>
        <v>3.7078947368421059E-2</v>
      </c>
      <c r="K294" s="5">
        <f>3.71233333333333/114</f>
        <v>3.2564327485380087E-2</v>
      </c>
    </row>
    <row r="295" spans="1:11" x14ac:dyDescent="0.15">
      <c r="A295">
        <v>293</v>
      </c>
      <c r="B295" s="5"/>
      <c r="C295" s="5"/>
      <c r="D295" s="5"/>
      <c r="E295" s="5">
        <f>558.788/1112</f>
        <v>0.50250719424460433</v>
      </c>
      <c r="F295" s="5">
        <f>548.567333333333/1112</f>
        <v>0.4933159472422059</v>
      </c>
      <c r="G295" s="5"/>
      <c r="H295" s="5"/>
      <c r="I295" s="5"/>
      <c r="J295" s="5">
        <f>4.20566666666667/114</f>
        <v>3.6891812865497108E-2</v>
      </c>
      <c r="K295" s="5">
        <f>3.76166666666667/114</f>
        <v>3.2997076023391837E-2</v>
      </c>
    </row>
    <row r="296" spans="1:11" x14ac:dyDescent="0.15">
      <c r="A296">
        <v>294</v>
      </c>
      <c r="B296" s="5"/>
      <c r="C296" s="5"/>
      <c r="D296" s="5"/>
      <c r="E296" s="5">
        <f>559.536333333333/1112</f>
        <v>0.50318015587529952</v>
      </c>
      <c r="F296" s="5">
        <f>549.577666666667/1112</f>
        <v>0.49422452038369336</v>
      </c>
      <c r="G296" s="5"/>
      <c r="H296" s="5"/>
      <c r="I296" s="5"/>
      <c r="J296" s="5">
        <f>4.22466666666667/114</f>
        <v>3.7058479532163777E-2</v>
      </c>
      <c r="K296" s="5">
        <f>3.72933333333333/114</f>
        <v>3.2713450292397632E-2</v>
      </c>
    </row>
    <row r="297" spans="1:11" x14ac:dyDescent="0.15">
      <c r="A297">
        <v>295</v>
      </c>
      <c r="B297" s="5"/>
      <c r="C297" s="5"/>
      <c r="D297" s="5"/>
      <c r="E297" s="5">
        <f>560.324666666667/1112</f>
        <v>0.50388908872901705</v>
      </c>
      <c r="F297" s="5">
        <f>550.094333333333/1112</f>
        <v>0.49468914868105485</v>
      </c>
      <c r="G297" s="5"/>
      <c r="H297" s="5"/>
      <c r="I297" s="5"/>
      <c r="J297" s="5">
        <f>4.25066666666667/114</f>
        <v>3.7286549707602368E-2</v>
      </c>
      <c r="K297" s="5">
        <f>3.79066666666667/114</f>
        <v>3.3251461988304122E-2</v>
      </c>
    </row>
    <row r="298" spans="1:11" x14ac:dyDescent="0.15">
      <c r="A298">
        <v>296</v>
      </c>
      <c r="B298" s="5"/>
      <c r="C298" s="5"/>
      <c r="D298" s="5"/>
      <c r="E298" s="5">
        <f>560.916666666667/1112</f>
        <v>0.50442146282973643</v>
      </c>
      <c r="F298" s="5">
        <f>550.23/1112</f>
        <v>0.4948111510791367</v>
      </c>
      <c r="G298" s="5"/>
      <c r="H298" s="5"/>
      <c r="I298" s="5"/>
      <c r="J298" s="5">
        <f>4.302/114</f>
        <v>3.7736842105263152E-2</v>
      </c>
      <c r="K298" s="5">
        <f>3.792/114</f>
        <v>3.3263157894736842E-2</v>
      </c>
    </row>
    <row r="299" spans="1:11" x14ac:dyDescent="0.15">
      <c r="A299">
        <v>297</v>
      </c>
      <c r="B299" s="5"/>
      <c r="C299" s="5"/>
      <c r="D299" s="5"/>
      <c r="E299" s="5">
        <f>561.66/1112</f>
        <v>0.50508992805755393</v>
      </c>
      <c r="F299" s="5">
        <f>551.539/1112</f>
        <v>0.49598830935251798</v>
      </c>
      <c r="G299" s="5"/>
      <c r="H299" s="5"/>
      <c r="I299" s="5"/>
      <c r="J299" s="5">
        <f>4.25533333333333/114</f>
        <v>3.7327485380116932E-2</v>
      </c>
      <c r="K299" s="5">
        <f>3.80433333333333/114</f>
        <v>3.3371345029239739E-2</v>
      </c>
    </row>
    <row r="300" spans="1:11" x14ac:dyDescent="0.15">
      <c r="A300">
        <v>298</v>
      </c>
      <c r="B300" s="5"/>
      <c r="C300" s="5"/>
      <c r="D300" s="5"/>
      <c r="E300" s="5">
        <f>562.600666666667/1112</f>
        <v>0.50593585131894514</v>
      </c>
      <c r="F300" s="5">
        <f>552.314/1112</f>
        <v>0.4966852517985611</v>
      </c>
      <c r="G300" s="5"/>
      <c r="H300" s="5"/>
      <c r="I300" s="5"/>
      <c r="J300" s="5">
        <f>4.268/114</f>
        <v>3.743859649122807E-2</v>
      </c>
      <c r="K300" s="5">
        <f>3.779/114</f>
        <v>3.3149122807017546E-2</v>
      </c>
    </row>
    <row r="301" spans="1:11" x14ac:dyDescent="0.15">
      <c r="A301">
        <v>299</v>
      </c>
      <c r="B301" s="5"/>
      <c r="C301" s="5"/>
      <c r="D301" s="5"/>
      <c r="E301" s="5">
        <f>562.802/1112</f>
        <v>0.50611690647482022</v>
      </c>
      <c r="F301" s="5">
        <f>552.938666666667/1112</f>
        <v>0.49724700239808184</v>
      </c>
      <c r="G301" s="5"/>
      <c r="H301" s="5"/>
      <c r="I301" s="5"/>
      <c r="J301" s="5">
        <f>4.275/114</f>
        <v>3.7500000000000006E-2</v>
      </c>
      <c r="K301" s="5">
        <f>3.75533333333333/114</f>
        <v>3.294152046783623E-2</v>
      </c>
    </row>
    <row r="302" spans="1:11" x14ac:dyDescent="0.15">
      <c r="A302">
        <v>300</v>
      </c>
      <c r="B302" s="5"/>
      <c r="C302" s="5"/>
      <c r="D302" s="5"/>
      <c r="E302" s="5">
        <f>563.901333333333/1112</f>
        <v>0.5071055155875297</v>
      </c>
      <c r="F302" s="5">
        <f>553.193666666667/1112</f>
        <v>0.49747631894484445</v>
      </c>
      <c r="G302" s="5"/>
      <c r="H302" s="5"/>
      <c r="I302" s="5"/>
      <c r="J302" s="5">
        <f>4.30366666666667/114</f>
        <v>3.7751461988304126E-2</v>
      </c>
      <c r="K302" s="5">
        <f>3.81633333333333/114</f>
        <v>3.3476608187134473E-2</v>
      </c>
    </row>
    <row r="303" spans="1:11" x14ac:dyDescent="0.15">
      <c r="A303">
        <v>301</v>
      </c>
      <c r="B303" s="5"/>
      <c r="C303" s="5"/>
      <c r="D303" s="5"/>
      <c r="E303" s="5">
        <f>564.118333333333/1112</f>
        <v>0.50730065947242176</v>
      </c>
      <c r="F303" s="5">
        <f>554.826333333333/1112</f>
        <v>0.49894454436450808</v>
      </c>
      <c r="G303" s="5"/>
      <c r="H303" s="5"/>
      <c r="I303" s="5"/>
      <c r="J303" s="5">
        <f>4.334/114</f>
        <v>3.8017543859649117E-2</v>
      </c>
      <c r="K303" s="5">
        <f>3.83466666666667/114</f>
        <v>3.3637426900584827E-2</v>
      </c>
    </row>
    <row r="304" spans="1:11" x14ac:dyDescent="0.15">
      <c r="A304">
        <v>302</v>
      </c>
      <c r="B304" s="5"/>
      <c r="C304" s="5"/>
      <c r="D304" s="5"/>
      <c r="E304" s="5">
        <f>564.959/1112</f>
        <v>0.50805665467625893</v>
      </c>
      <c r="F304" s="5">
        <f>555.137/1112</f>
        <v>0.4992239208633093</v>
      </c>
      <c r="G304" s="5"/>
      <c r="H304" s="5"/>
      <c r="I304" s="5"/>
      <c r="J304" s="5">
        <f>4.29233333333333/114</f>
        <v>3.7652046783625701E-2</v>
      </c>
      <c r="K304" s="5">
        <f>3.83233333333333/114</f>
        <v>3.3616959064327455E-2</v>
      </c>
    </row>
    <row r="305" spans="1:11" x14ac:dyDescent="0.15">
      <c r="A305">
        <v>303</v>
      </c>
      <c r="B305" s="5"/>
      <c r="C305" s="5"/>
      <c r="D305" s="5"/>
      <c r="E305" s="5">
        <f>565.115333333333/1112</f>
        <v>0.50819724220623463</v>
      </c>
      <c r="F305" s="5">
        <f>556.372/1112</f>
        <v>0.50033453237410064</v>
      </c>
      <c r="G305" s="5"/>
      <c r="H305" s="5"/>
      <c r="I305" s="5"/>
      <c r="J305" s="5">
        <f>4.35866666666667/114</f>
        <v>3.8233918128654995E-2</v>
      </c>
      <c r="K305" s="5">
        <f>3.867/114</f>
        <v>3.3921052631578949E-2</v>
      </c>
    </row>
    <row r="306" spans="1:11" x14ac:dyDescent="0.15">
      <c r="A306">
        <v>304</v>
      </c>
      <c r="B306" s="5"/>
      <c r="C306" s="5"/>
      <c r="D306" s="5"/>
      <c r="E306" s="5">
        <f>566.678/1112</f>
        <v>0.50960251798561151</v>
      </c>
      <c r="F306" s="5">
        <f>557.17/1112</f>
        <v>0.50105215827338123</v>
      </c>
      <c r="G306" s="5"/>
      <c r="H306" s="5"/>
      <c r="I306" s="5"/>
      <c r="J306" s="5">
        <f>4.37066666666667/114</f>
        <v>3.8339181286549742E-2</v>
      </c>
      <c r="K306" s="5">
        <f>3.85466666666667/114</f>
        <v>3.3812865497076051E-2</v>
      </c>
    </row>
    <row r="307" spans="1:11" x14ac:dyDescent="0.15">
      <c r="A307">
        <v>305</v>
      </c>
      <c r="B307" s="5"/>
      <c r="C307" s="5"/>
      <c r="D307" s="5"/>
      <c r="E307" s="5">
        <f>567.221666666667/1112</f>
        <v>0.5100914268585135</v>
      </c>
      <c r="F307" s="5">
        <f>557.118/1112</f>
        <v>0.50100539568345326</v>
      </c>
      <c r="G307" s="5"/>
      <c r="H307" s="5"/>
      <c r="I307" s="5"/>
      <c r="J307" s="5">
        <f>4.39366666666667/114</f>
        <v>3.8540935672514647E-2</v>
      </c>
      <c r="K307" s="5">
        <f>3.88166666666667/114</f>
        <v>3.4049707602339212E-2</v>
      </c>
    </row>
    <row r="308" spans="1:11" x14ac:dyDescent="0.15">
      <c r="A308">
        <v>306</v>
      </c>
      <c r="B308" s="5"/>
      <c r="C308" s="5"/>
      <c r="D308" s="5"/>
      <c r="E308" s="5">
        <f>567.669333333333/1112</f>
        <v>0.5104940047961628</v>
      </c>
      <c r="F308" s="5">
        <f>558.013333333333/1112</f>
        <v>0.50181055155875265</v>
      </c>
      <c r="G308" s="5"/>
      <c r="H308" s="5"/>
      <c r="I308" s="5"/>
      <c r="J308" s="5">
        <f>4.40033333333333/114</f>
        <v>3.8599415204678328E-2</v>
      </c>
      <c r="K308" s="5">
        <f>3.88266666666667/114</f>
        <v>3.4058479532163767E-2</v>
      </c>
    </row>
    <row r="309" spans="1:11" x14ac:dyDescent="0.15">
      <c r="A309">
        <v>307</v>
      </c>
      <c r="B309" s="5"/>
      <c r="C309" s="5"/>
      <c r="D309" s="5"/>
      <c r="E309" s="5">
        <f>568.333333333333/1112</f>
        <v>0.51109112709832105</v>
      </c>
      <c r="F309" s="5">
        <f>558.177333333333/1112</f>
        <v>0.50195803357314117</v>
      </c>
      <c r="G309" s="5"/>
      <c r="H309" s="5"/>
      <c r="I309" s="5"/>
      <c r="J309" s="5">
        <f>4.38433333333333/114</f>
        <v>3.8459064327485346E-2</v>
      </c>
      <c r="K309" s="5">
        <f>3.88733333333333/114</f>
        <v>3.4099415204678338E-2</v>
      </c>
    </row>
    <row r="310" spans="1:11" x14ac:dyDescent="0.15">
      <c r="A310">
        <v>308</v>
      </c>
      <c r="B310" s="5"/>
      <c r="C310" s="5"/>
      <c r="D310" s="5"/>
      <c r="E310" s="5">
        <f>569.298333333333/1112</f>
        <v>0.51195893285371663</v>
      </c>
      <c r="F310" s="5">
        <f>559.271333333333/1112</f>
        <v>0.50294184652278151</v>
      </c>
      <c r="G310" s="5"/>
      <c r="H310" s="5"/>
      <c r="I310" s="5"/>
      <c r="J310" s="5">
        <f>4.38966666666667/114</f>
        <v>3.8505847953216404E-2</v>
      </c>
      <c r="K310" s="5">
        <f>3.911/114</f>
        <v>3.4307017543859647E-2</v>
      </c>
    </row>
    <row r="311" spans="1:11" x14ac:dyDescent="0.15">
      <c r="A311">
        <v>309</v>
      </c>
      <c r="B311" s="5"/>
      <c r="C311" s="5"/>
      <c r="D311" s="5"/>
      <c r="E311" s="5">
        <f>569.877333333333/1112</f>
        <v>0.51247961630695416</v>
      </c>
      <c r="F311" s="5">
        <f>559.581666666667/1112</f>
        <v>0.50322092326139123</v>
      </c>
      <c r="G311" s="5"/>
      <c r="H311" s="5"/>
      <c r="I311" s="5"/>
      <c r="J311" s="5">
        <f>4.40466666666667/114</f>
        <v>3.8637426900584824E-2</v>
      </c>
      <c r="K311" s="5">
        <f>3.938/114</f>
        <v>3.4543859649122807E-2</v>
      </c>
    </row>
    <row r="312" spans="1:11" x14ac:dyDescent="0.15">
      <c r="A312">
        <v>310</v>
      </c>
      <c r="B312" s="5"/>
      <c r="C312" s="5"/>
      <c r="D312" s="5"/>
      <c r="E312" s="5">
        <f>570.439666666667/1112</f>
        <v>0.5129853117505998</v>
      </c>
      <c r="F312" s="5">
        <f>560.172333333333/1112</f>
        <v>0.5037520983213426</v>
      </c>
      <c r="G312" s="5"/>
      <c r="H312" s="5"/>
      <c r="I312" s="5"/>
      <c r="J312" s="5">
        <f>4.444/114</f>
        <v>3.8982456140350875E-2</v>
      </c>
      <c r="K312" s="5">
        <f>3.96766666666667/114</f>
        <v>3.480409356725149E-2</v>
      </c>
    </row>
    <row r="313" spans="1:11" x14ac:dyDescent="0.15">
      <c r="A313">
        <v>311</v>
      </c>
      <c r="B313" s="5"/>
      <c r="C313" s="5"/>
      <c r="D313" s="5"/>
      <c r="E313" s="5">
        <f>570.857666666667/1112</f>
        <v>0.51336121103117538</v>
      </c>
      <c r="F313" s="5">
        <f>560.562666666667/1112</f>
        <v>0.50410311750599557</v>
      </c>
      <c r="G313" s="5"/>
      <c r="H313" s="5"/>
      <c r="I313" s="5"/>
      <c r="J313" s="5">
        <f>4.461/114</f>
        <v>3.9131578947368427E-2</v>
      </c>
      <c r="K313" s="5">
        <f>3.96833333333333/114</f>
        <v>3.4809941520467812E-2</v>
      </c>
    </row>
    <row r="314" spans="1:11" x14ac:dyDescent="0.15">
      <c r="A314">
        <v>312</v>
      </c>
      <c r="B314" s="5"/>
      <c r="C314" s="5"/>
      <c r="D314" s="5"/>
      <c r="E314" s="5">
        <f>572.478/1112</f>
        <v>0.51481834532374093</v>
      </c>
      <c r="F314" s="5">
        <f>561.914333333333/1112</f>
        <v>0.50531864508393265</v>
      </c>
      <c r="G314" s="5"/>
      <c r="H314" s="5"/>
      <c r="I314" s="5"/>
      <c r="J314" s="5">
        <f>4.44566666666667/114</f>
        <v>3.8997076023391843E-2</v>
      </c>
      <c r="K314" s="5">
        <f>3.97633333333333/114</f>
        <v>3.4880116959064303E-2</v>
      </c>
    </row>
    <row r="315" spans="1:11" x14ac:dyDescent="0.15">
      <c r="A315">
        <v>313</v>
      </c>
      <c r="B315" s="5"/>
      <c r="C315" s="5"/>
      <c r="D315" s="5"/>
      <c r="E315" s="5">
        <f>572.130333333333/1112</f>
        <v>0.51450569544364488</v>
      </c>
      <c r="F315" s="5">
        <f>562.704333333333/1112</f>
        <v>0.50602907673860886</v>
      </c>
      <c r="G315" s="5"/>
      <c r="H315" s="5"/>
      <c r="I315" s="5"/>
      <c r="J315" s="5">
        <f>4.46333333333333/114</f>
        <v>3.9152046783625702E-2</v>
      </c>
      <c r="K315" s="5">
        <f>3.99433333333333/114</f>
        <v>3.5038011695906403E-2</v>
      </c>
    </row>
    <row r="316" spans="1:11" x14ac:dyDescent="0.15">
      <c r="A316">
        <v>314</v>
      </c>
      <c r="B316" s="5"/>
      <c r="C316" s="5"/>
      <c r="D316" s="5"/>
      <c r="E316" s="5">
        <f>573.363666666667/1112</f>
        <v>0.51561480815347749</v>
      </c>
      <c r="F316" s="5">
        <f>563.176666666667/1112</f>
        <v>0.50645383693045587</v>
      </c>
      <c r="G316" s="5"/>
      <c r="H316" s="5"/>
      <c r="I316" s="5"/>
      <c r="J316" s="5">
        <f>4.48566666666667/114</f>
        <v>3.9347953216374291E-2</v>
      </c>
      <c r="K316" s="5">
        <f>3.95033333333333/114</f>
        <v>3.4652046783625698E-2</v>
      </c>
    </row>
    <row r="317" spans="1:11" x14ac:dyDescent="0.15">
      <c r="A317">
        <v>315</v>
      </c>
      <c r="B317" s="5"/>
      <c r="C317" s="5"/>
      <c r="D317" s="5"/>
      <c r="E317" s="5">
        <f>573.441666666667/1112</f>
        <v>0.5156849520383695</v>
      </c>
      <c r="F317" s="5">
        <f>563.373666666667/1112</f>
        <v>0.50663099520383714</v>
      </c>
      <c r="G317" s="5"/>
      <c r="H317" s="5"/>
      <c r="I317" s="5"/>
      <c r="J317" s="5">
        <f>4.46966666666667/114</f>
        <v>3.9207602339181309E-2</v>
      </c>
      <c r="K317" s="5">
        <f>3.943/114</f>
        <v>3.4587719298245612E-2</v>
      </c>
    </row>
    <row r="318" spans="1:11" x14ac:dyDescent="0.15">
      <c r="A318">
        <v>316</v>
      </c>
      <c r="B318" s="5"/>
      <c r="C318" s="5"/>
      <c r="D318" s="5"/>
      <c r="E318" s="5">
        <f>573.92/1112</f>
        <v>0.51611510791366899</v>
      </c>
      <c r="F318" s="5">
        <f>564.816/1112</f>
        <v>0.50792805755395687</v>
      </c>
      <c r="G318" s="5"/>
      <c r="H318" s="5"/>
      <c r="I318" s="5"/>
      <c r="J318" s="5">
        <f>4.52/114</f>
        <v>3.9649122807017538E-2</v>
      </c>
      <c r="K318" s="5">
        <f>3.98466666666667/114</f>
        <v>3.4953216374269035E-2</v>
      </c>
    </row>
    <row r="319" spans="1:11" x14ac:dyDescent="0.15">
      <c r="A319">
        <v>317</v>
      </c>
      <c r="B319" s="5"/>
      <c r="C319" s="5"/>
      <c r="D319" s="5"/>
      <c r="E319" s="5">
        <f>575.140666666667/1112</f>
        <v>0.5172128297362113</v>
      </c>
      <c r="F319" s="5">
        <f>565.014333333333/1112</f>
        <v>0.50810641486810515</v>
      </c>
      <c r="G319" s="5"/>
      <c r="H319" s="5"/>
      <c r="I319" s="5"/>
      <c r="J319" s="5">
        <f>4.53866666666667/114</f>
        <v>3.9812865497076057E-2</v>
      </c>
      <c r="K319" s="5">
        <f>4.01033333333333/114</f>
        <v>3.5178362573099385E-2</v>
      </c>
    </row>
    <row r="320" spans="1:11" x14ac:dyDescent="0.15">
      <c r="A320">
        <v>318</v>
      </c>
      <c r="B320" s="5"/>
      <c r="C320" s="5"/>
      <c r="D320" s="5"/>
      <c r="E320" s="5">
        <f>575.622666666667/1112</f>
        <v>0.51764628297362136</v>
      </c>
      <c r="F320" s="5">
        <f>565.464333333333/1112</f>
        <v>0.50851109112709802</v>
      </c>
      <c r="G320" s="5"/>
      <c r="H320" s="5"/>
      <c r="I320" s="5"/>
      <c r="J320" s="5">
        <f>4.55166666666667/114</f>
        <v>3.9926900584795352E-2</v>
      </c>
      <c r="K320" s="5">
        <f>4.01/114</f>
        <v>3.5175438596491228E-2</v>
      </c>
    </row>
    <row r="321" spans="1:11" x14ac:dyDescent="0.15">
      <c r="A321">
        <v>319</v>
      </c>
      <c r="B321" s="5"/>
      <c r="C321" s="5"/>
      <c r="D321" s="5"/>
      <c r="E321" s="5">
        <f>576.799666666667/1112</f>
        <v>0.51870473621103153</v>
      </c>
      <c r="F321" s="5">
        <f>566.512/1112</f>
        <v>0.50945323741007187</v>
      </c>
      <c r="G321" s="5"/>
      <c r="H321" s="5"/>
      <c r="I321" s="5"/>
      <c r="J321" s="5">
        <f>4.55366666666667/114</f>
        <v>3.9944444444444477E-2</v>
      </c>
      <c r="K321" s="5">
        <f>4.04466666666667/114</f>
        <v>3.5479532163742715E-2</v>
      </c>
    </row>
    <row r="322" spans="1:11" x14ac:dyDescent="0.15">
      <c r="A322">
        <v>320</v>
      </c>
      <c r="B322" s="5"/>
      <c r="C322" s="5"/>
      <c r="D322" s="5"/>
      <c r="E322" s="5">
        <f>577.130666666667/1112</f>
        <v>0.51900239808153514</v>
      </c>
      <c r="F322" s="5">
        <f>567.332666666667/1112</f>
        <v>0.51019124700239837</v>
      </c>
      <c r="G322" s="5"/>
      <c r="H322" s="5"/>
      <c r="I322" s="5"/>
      <c r="J322" s="5">
        <f>4.56166666666667/114</f>
        <v>4.0014619883040968E-2</v>
      </c>
      <c r="K322" s="5">
        <f>4.08033333333333/114</f>
        <v>3.5792397660818688E-2</v>
      </c>
    </row>
    <row r="323" spans="1:11" x14ac:dyDescent="0.15">
      <c r="A323">
        <v>321</v>
      </c>
      <c r="B323" s="5"/>
      <c r="C323" s="5"/>
      <c r="D323" s="5"/>
      <c r="E323" s="5">
        <f>577.604666666667/1112</f>
        <v>0.51942865707434083</v>
      </c>
      <c r="F323" s="5">
        <f>567.786333333333/1112</f>
        <v>0.51059922062350094</v>
      </c>
      <c r="G323" s="5"/>
      <c r="H323" s="5"/>
      <c r="I323" s="5"/>
      <c r="J323" s="5">
        <f>4.57266666666667/114</f>
        <v>4.0111111111111139E-2</v>
      </c>
      <c r="K323" s="5">
        <f>4.07533333333333/114</f>
        <v>3.5748538011695884E-2</v>
      </c>
    </row>
    <row r="324" spans="1:11" x14ac:dyDescent="0.15">
      <c r="A324">
        <v>322</v>
      </c>
      <c r="B324" s="5"/>
      <c r="C324" s="5"/>
      <c r="D324" s="5"/>
      <c r="E324" s="5">
        <f>578.299/1112</f>
        <v>0.52005305755395681</v>
      </c>
      <c r="F324" s="5">
        <f>568.464/1112</f>
        <v>0.51120863309352527</v>
      </c>
      <c r="G324" s="5"/>
      <c r="H324" s="5"/>
      <c r="I324" s="5"/>
      <c r="J324" s="5">
        <f>4.57133333333333/114</f>
        <v>4.0099415204678329E-2</v>
      </c>
      <c r="K324" s="5">
        <f>4.104/114</f>
        <v>3.6000000000000004E-2</v>
      </c>
    </row>
    <row r="325" spans="1:11" x14ac:dyDescent="0.15">
      <c r="A325">
        <v>323</v>
      </c>
      <c r="B325" s="5"/>
      <c r="C325" s="5"/>
      <c r="D325" s="5"/>
      <c r="E325" s="5">
        <f>578.661666666667/1112</f>
        <v>0.52037919664268617</v>
      </c>
      <c r="F325" s="5">
        <f>568.707/1112</f>
        <v>0.51142715827338125</v>
      </c>
      <c r="G325" s="5"/>
      <c r="H325" s="5"/>
      <c r="I325" s="5"/>
      <c r="J325" s="5">
        <f>4.56066666666667/114</f>
        <v>4.0005847953216399E-2</v>
      </c>
      <c r="K325" s="5">
        <f>4.043/114</f>
        <v>3.5464912280701755E-2</v>
      </c>
    </row>
    <row r="326" spans="1:11" x14ac:dyDescent="0.15">
      <c r="A326">
        <v>324</v>
      </c>
      <c r="B326" s="5"/>
      <c r="C326" s="5"/>
      <c r="D326" s="5"/>
      <c r="E326" s="5">
        <f>579.304/1112</f>
        <v>0.52095683453237407</v>
      </c>
      <c r="F326" s="5">
        <f>569.442333333333/1112</f>
        <v>0.51208842925659437</v>
      </c>
      <c r="G326" s="5"/>
      <c r="H326" s="5"/>
      <c r="I326" s="5"/>
      <c r="J326" s="5">
        <f>4.62733333333333/114</f>
        <v>4.0590643274853774E-2</v>
      </c>
      <c r="K326" s="5">
        <f>4.09166666666667/114</f>
        <v>3.5891812865497107E-2</v>
      </c>
    </row>
    <row r="327" spans="1:11" x14ac:dyDescent="0.15">
      <c r="A327">
        <v>325</v>
      </c>
      <c r="B327" s="5"/>
      <c r="C327" s="5"/>
      <c r="D327" s="5"/>
      <c r="E327" s="5">
        <f>579.862/1112</f>
        <v>0.52145863309352514</v>
      </c>
      <c r="F327" s="5">
        <f>570.001666666667/1112</f>
        <v>0.51259142685851344</v>
      </c>
      <c r="G327" s="5"/>
      <c r="H327" s="5"/>
      <c r="I327" s="5"/>
      <c r="J327" s="5">
        <f>4.61133333333333/114</f>
        <v>4.0450292397660792E-2</v>
      </c>
      <c r="K327" s="5">
        <f>4.11766666666667/114</f>
        <v>3.6119883040935705E-2</v>
      </c>
    </row>
    <row r="328" spans="1:11" x14ac:dyDescent="0.15">
      <c r="A328">
        <v>326</v>
      </c>
      <c r="B328" s="5"/>
      <c r="C328" s="5"/>
      <c r="D328" s="5"/>
      <c r="E328" s="5">
        <f>580.597/1112</f>
        <v>0.52211960431654669</v>
      </c>
      <c r="F328" s="5">
        <f>570.443/1112</f>
        <v>0.51298830935251793</v>
      </c>
      <c r="G328" s="5"/>
      <c r="H328" s="5"/>
      <c r="I328" s="5"/>
      <c r="J328" s="5">
        <f>4.678/114</f>
        <v>4.1035087719298244E-2</v>
      </c>
      <c r="K328" s="5">
        <f>4.154/114</f>
        <v>3.6438596491228069E-2</v>
      </c>
    </row>
    <row r="329" spans="1:11" x14ac:dyDescent="0.15">
      <c r="A329">
        <v>327</v>
      </c>
      <c r="B329" s="5"/>
      <c r="C329" s="5"/>
      <c r="D329" s="5"/>
      <c r="E329" s="5">
        <f>581.657333333333/1112</f>
        <v>0.52307314148681028</v>
      </c>
      <c r="F329" s="5">
        <f>571.577666666667/1112</f>
        <v>0.51400869304556385</v>
      </c>
      <c r="G329" s="5"/>
      <c r="H329" s="5"/>
      <c r="I329" s="5"/>
      <c r="J329" s="5">
        <f>4.651/114</f>
        <v>4.0798245614035084E-2</v>
      </c>
      <c r="K329" s="5">
        <f>4.128/114</f>
        <v>3.6210526315789478E-2</v>
      </c>
    </row>
    <row r="330" spans="1:11" x14ac:dyDescent="0.15">
      <c r="A330">
        <v>328</v>
      </c>
      <c r="B330" s="5"/>
      <c r="C330" s="5"/>
      <c r="D330" s="5"/>
      <c r="E330" s="5">
        <f>581.645333333333/1112</f>
        <v>0.52306235011990376</v>
      </c>
      <c r="F330" s="5">
        <f>572.550666666667/1112</f>
        <v>0.51488369304556381</v>
      </c>
      <c r="G330" s="5"/>
      <c r="H330" s="5"/>
      <c r="I330" s="5"/>
      <c r="J330" s="5">
        <f>4.642/114</f>
        <v>4.0719298245614037E-2</v>
      </c>
      <c r="K330" s="5">
        <f>4.147/114</f>
        <v>3.637719298245614E-2</v>
      </c>
    </row>
    <row r="331" spans="1:11" x14ac:dyDescent="0.15">
      <c r="A331">
        <v>329</v>
      </c>
      <c r="B331" s="5"/>
      <c r="C331" s="5"/>
      <c r="D331" s="5"/>
      <c r="E331" s="5">
        <f>582.932/1112</f>
        <v>0.52421942446043168</v>
      </c>
      <c r="F331" s="5">
        <f>572.500666666667/1112</f>
        <v>0.51483872901678684</v>
      </c>
      <c r="G331" s="5"/>
      <c r="H331" s="5"/>
      <c r="I331" s="5"/>
      <c r="J331" s="5">
        <f>4.68/114</f>
        <v>4.1052631578947368E-2</v>
      </c>
      <c r="K331" s="5">
        <f>4.21166666666667/114</f>
        <v>3.6944444444444467E-2</v>
      </c>
    </row>
    <row r="332" spans="1:11" x14ac:dyDescent="0.15">
      <c r="A332">
        <v>330</v>
      </c>
      <c r="B332" s="5"/>
      <c r="C332" s="5"/>
      <c r="D332" s="5"/>
      <c r="E332" s="5">
        <f>582.831666666667/1112</f>
        <v>0.5241291966426862</v>
      </c>
      <c r="F332" s="5">
        <f>573.464333333333/1112</f>
        <v>0.51570533573141453</v>
      </c>
      <c r="G332" s="5"/>
      <c r="H332" s="5"/>
      <c r="I332" s="5"/>
      <c r="J332" s="5">
        <f>4.67333333333333/114</f>
        <v>4.0994152046783597E-2</v>
      </c>
      <c r="K332" s="5">
        <f>4.19733333333333/114</f>
        <v>3.6818713450292369E-2</v>
      </c>
    </row>
    <row r="333" spans="1:11" x14ac:dyDescent="0.15">
      <c r="A333">
        <v>331</v>
      </c>
      <c r="B333" s="5"/>
      <c r="C333" s="5"/>
      <c r="D333" s="5"/>
      <c r="E333" s="5">
        <f>583.247333333333/1112</f>
        <v>0.52450299760191821</v>
      </c>
      <c r="F333" s="5">
        <f>573.873/1112</f>
        <v>0.51607284172661871</v>
      </c>
      <c r="G333" s="5"/>
      <c r="H333" s="5"/>
      <c r="I333" s="5"/>
      <c r="J333" s="5">
        <f>4.67033333333333/114</f>
        <v>4.096783625730991E-2</v>
      </c>
      <c r="K333" s="5">
        <f>4.20733333333333/114</f>
        <v>3.6906432748537985E-2</v>
      </c>
    </row>
    <row r="334" spans="1:11" x14ac:dyDescent="0.15">
      <c r="A334">
        <v>332</v>
      </c>
      <c r="B334" s="5"/>
      <c r="C334" s="5"/>
      <c r="D334" s="5"/>
      <c r="E334" s="5">
        <f>584.104666666667/1112</f>
        <v>0.52527398081534793</v>
      </c>
      <c r="F334" s="5">
        <f>574.397333333333/1112</f>
        <v>0.51654436450839303</v>
      </c>
      <c r="G334" s="5"/>
      <c r="H334" s="5"/>
      <c r="I334" s="5"/>
      <c r="J334" s="5">
        <f>4.67833333333333/114</f>
        <v>4.1038011695906401E-2</v>
      </c>
      <c r="K334" s="5">
        <f>4.20166666666667/114</f>
        <v>3.6856725146198858E-2</v>
      </c>
    </row>
    <row r="335" spans="1:11" x14ac:dyDescent="0.15">
      <c r="A335">
        <v>333</v>
      </c>
      <c r="B335" s="5"/>
      <c r="C335" s="5"/>
      <c r="D335" s="5"/>
      <c r="E335" s="5">
        <f>585.200666666667/1112</f>
        <v>0.52625959232613939</v>
      </c>
      <c r="F335" s="5">
        <f>575.409333333333/1112</f>
        <v>0.51745443645083911</v>
      </c>
      <c r="G335" s="5"/>
      <c r="H335" s="5"/>
      <c r="I335" s="5"/>
      <c r="J335" s="5">
        <f>4.72/114</f>
        <v>4.1403508771929824E-2</v>
      </c>
      <c r="K335" s="5">
        <f>4.198/114</f>
        <v>3.6824561403508774E-2</v>
      </c>
    </row>
    <row r="336" spans="1:11" x14ac:dyDescent="0.15">
      <c r="A336">
        <v>334</v>
      </c>
      <c r="B336" s="5"/>
      <c r="C336" s="5"/>
      <c r="D336" s="5"/>
      <c r="E336" s="5">
        <f>585.706333333333/1112</f>
        <v>0.52671432853716993</v>
      </c>
      <c r="F336" s="5">
        <f>575.515333333333/1112</f>
        <v>0.51754976019184629</v>
      </c>
      <c r="G336" s="5"/>
      <c r="H336" s="5"/>
      <c r="I336" s="5"/>
      <c r="J336" s="5">
        <f>4.742/114</f>
        <v>4.1596491228070173E-2</v>
      </c>
      <c r="K336" s="5">
        <f>4.21666666666667/114</f>
        <v>3.6988304093567285E-2</v>
      </c>
    </row>
    <row r="337" spans="1:11" x14ac:dyDescent="0.15">
      <c r="A337">
        <v>335</v>
      </c>
      <c r="B337" s="5"/>
      <c r="C337" s="5"/>
      <c r="D337" s="5"/>
      <c r="E337" s="5">
        <f>586.609333333333/1112</f>
        <v>0.52752637889688214</v>
      </c>
      <c r="F337" s="5">
        <f>576.282333333333/1112</f>
        <v>0.51823950839328503</v>
      </c>
      <c r="G337" s="5"/>
      <c r="H337" s="5"/>
      <c r="I337" s="5"/>
      <c r="J337" s="5">
        <f>4.777/114</f>
        <v>4.1903508771929825E-2</v>
      </c>
      <c r="K337" s="5">
        <f>4.18533333333333/114</f>
        <v>3.6713450292397629E-2</v>
      </c>
    </row>
    <row r="338" spans="1:11" x14ac:dyDescent="0.15">
      <c r="A338">
        <v>336</v>
      </c>
      <c r="B338" s="5"/>
      <c r="C338" s="5"/>
      <c r="D338" s="5"/>
      <c r="E338" s="5">
        <f>586.904666666667/1112</f>
        <v>0.52779196642685888</v>
      </c>
      <c r="F338" s="5">
        <f>576.710666666667/1112</f>
        <v>0.51862470023980844</v>
      </c>
      <c r="G338" s="5"/>
      <c r="H338" s="5"/>
      <c r="I338" s="5"/>
      <c r="J338" s="5">
        <f>4.79666666666667/114</f>
        <v>4.2076023391812899E-2</v>
      </c>
      <c r="K338" s="5">
        <f>4.242/114</f>
        <v>3.7210526315789472E-2</v>
      </c>
    </row>
    <row r="339" spans="1:11" x14ac:dyDescent="0.15">
      <c r="A339">
        <v>337</v>
      </c>
      <c r="B339" s="5"/>
      <c r="C339" s="5"/>
      <c r="D339" s="5"/>
      <c r="E339" s="5">
        <f>587.892/1112</f>
        <v>0.52867985611510793</v>
      </c>
      <c r="F339" s="5">
        <f>577.521333333333/1112</f>
        <v>0.51935371702637856</v>
      </c>
      <c r="G339" s="5"/>
      <c r="H339" s="5"/>
      <c r="I339" s="5"/>
      <c r="J339" s="5">
        <f>4.765/114</f>
        <v>4.1798245614035084E-2</v>
      </c>
      <c r="K339" s="5">
        <f>4.28366666666667/114</f>
        <v>3.7576023391812895E-2</v>
      </c>
    </row>
    <row r="340" spans="1:11" x14ac:dyDescent="0.15">
      <c r="A340">
        <v>338</v>
      </c>
      <c r="B340" s="5"/>
      <c r="C340" s="5"/>
      <c r="D340" s="5"/>
      <c r="E340" s="5">
        <f>587.746333333333/1112</f>
        <v>0.52854886091127073</v>
      </c>
      <c r="F340" s="5">
        <f>578.003666666667/1112</f>
        <v>0.51978747002398107</v>
      </c>
      <c r="G340" s="5"/>
      <c r="H340" s="5"/>
      <c r="I340" s="5"/>
      <c r="J340" s="5">
        <f>4.727/114</f>
        <v>4.146491228070176E-2</v>
      </c>
      <c r="K340" s="5">
        <f>4.26266666666667/114</f>
        <v>3.7391812865497101E-2</v>
      </c>
    </row>
    <row r="341" spans="1:11" x14ac:dyDescent="0.15">
      <c r="A341">
        <v>339</v>
      </c>
      <c r="B341" s="5"/>
      <c r="C341" s="5"/>
      <c r="D341" s="5"/>
      <c r="E341" s="5">
        <f>588.695666666667/1112</f>
        <v>0.52940257793765011</v>
      </c>
      <c r="F341" s="5">
        <f>578.493666666667/1112</f>
        <v>0.52022811750599551</v>
      </c>
      <c r="G341" s="5"/>
      <c r="H341" s="5"/>
      <c r="I341" s="5"/>
      <c r="J341" s="5">
        <f>4.79966666666667/114</f>
        <v>4.2102339181286579E-2</v>
      </c>
      <c r="K341" s="5">
        <f>4.23433333333333/114</f>
        <v>3.7143274853801145E-2</v>
      </c>
    </row>
    <row r="342" spans="1:11" x14ac:dyDescent="0.15">
      <c r="A342">
        <v>340</v>
      </c>
      <c r="B342" s="5"/>
      <c r="C342" s="5"/>
      <c r="D342" s="5"/>
      <c r="E342" s="5">
        <f>589.557/1112</f>
        <v>0.5301771582733813</v>
      </c>
      <c r="F342" s="5">
        <f>579.107/1112</f>
        <v>0.5207796762589928</v>
      </c>
      <c r="G342" s="5"/>
      <c r="H342" s="5"/>
      <c r="I342" s="5"/>
      <c r="J342" s="5">
        <f>4.848/114</f>
        <v>4.2526315789473683E-2</v>
      </c>
      <c r="K342" s="5">
        <f>4.29333333333333/114</f>
        <v>3.7660818713450263E-2</v>
      </c>
    </row>
    <row r="343" spans="1:11" x14ac:dyDescent="0.15">
      <c r="A343">
        <v>341</v>
      </c>
      <c r="B343" s="5"/>
      <c r="C343" s="5"/>
      <c r="D343" s="5"/>
      <c r="E343" s="5">
        <f>590.089666666667/1112</f>
        <v>0.53065617505995233</v>
      </c>
      <c r="F343" s="5">
        <f>579.667333333333/1112</f>
        <v>0.52128357314148654</v>
      </c>
      <c r="G343" s="5"/>
      <c r="H343" s="5"/>
      <c r="I343" s="5"/>
      <c r="J343" s="5">
        <f>4.82533333333333/114</f>
        <v>4.2327485380116936E-2</v>
      </c>
      <c r="K343" s="5">
        <f>4.28466666666667/114</f>
        <v>3.7584795321637457E-2</v>
      </c>
    </row>
    <row r="344" spans="1:11" x14ac:dyDescent="0.15">
      <c r="A344">
        <v>342</v>
      </c>
      <c r="B344" s="5"/>
      <c r="C344" s="5"/>
      <c r="D344" s="5"/>
      <c r="E344" s="5">
        <f>590.12/1112</f>
        <v>0.53068345323741006</v>
      </c>
      <c r="F344" s="5">
        <f>580.562666666667/1112</f>
        <v>0.52208872901678693</v>
      </c>
      <c r="G344" s="5"/>
      <c r="H344" s="5"/>
      <c r="I344" s="5"/>
      <c r="J344" s="5">
        <f>4.86233333333333/114</f>
        <v>4.2652046783625705E-2</v>
      </c>
      <c r="K344" s="5">
        <f>4.336/114</f>
        <v>3.8035087719298248E-2</v>
      </c>
    </row>
    <row r="345" spans="1:11" x14ac:dyDescent="0.15">
      <c r="A345">
        <v>343</v>
      </c>
      <c r="B345" s="5"/>
      <c r="C345" s="5"/>
      <c r="D345" s="5"/>
      <c r="E345" s="5">
        <f>590.943/1112</f>
        <v>0.53142356115107914</v>
      </c>
      <c r="F345" s="5">
        <f>581.18/1112</f>
        <v>0.52264388489208624</v>
      </c>
      <c r="G345" s="5"/>
      <c r="H345" s="5"/>
      <c r="I345" s="5"/>
      <c r="J345" s="5">
        <f>4.86033333333333/114</f>
        <v>4.2634502923976574E-2</v>
      </c>
      <c r="K345" s="5">
        <f>4.281/114</f>
        <v>3.7552631578947365E-2</v>
      </c>
    </row>
    <row r="346" spans="1:11" x14ac:dyDescent="0.15">
      <c r="A346">
        <v>344</v>
      </c>
      <c r="B346" s="5"/>
      <c r="C346" s="5"/>
      <c r="D346" s="5"/>
      <c r="E346" s="5">
        <f>590.976/1112</f>
        <v>0.53145323741007189</v>
      </c>
      <c r="F346" s="5">
        <f>582.076666666667/1112</f>
        <v>0.52345023980815386</v>
      </c>
      <c r="G346" s="5"/>
      <c r="H346" s="5"/>
      <c r="I346" s="5"/>
      <c r="J346" s="5">
        <f>4.872/114</f>
        <v>4.2736842105263156E-2</v>
      </c>
      <c r="K346" s="5">
        <f>4.322/114</f>
        <v>3.7912280701754383E-2</v>
      </c>
    </row>
    <row r="347" spans="1:11" x14ac:dyDescent="0.15">
      <c r="A347">
        <v>345</v>
      </c>
      <c r="B347" s="5"/>
      <c r="C347" s="5"/>
      <c r="D347" s="5"/>
      <c r="E347" s="5">
        <f>592.390333333333/1112</f>
        <v>0.53272511990407645</v>
      </c>
      <c r="F347" s="5">
        <f>582.597333333333/1112</f>
        <v>0.52391846522781749</v>
      </c>
      <c r="G347" s="5"/>
      <c r="H347" s="5"/>
      <c r="I347" s="5"/>
      <c r="J347" s="5">
        <f>4.873/114</f>
        <v>4.2745614035087719E-2</v>
      </c>
      <c r="K347" s="5">
        <f>4.37966666666667/114</f>
        <v>3.8418128654970789E-2</v>
      </c>
    </row>
    <row r="348" spans="1:11" x14ac:dyDescent="0.15">
      <c r="A348">
        <v>346</v>
      </c>
      <c r="B348" s="5"/>
      <c r="C348" s="5"/>
      <c r="D348" s="5"/>
      <c r="E348" s="5">
        <f>592.398333333333/1112</f>
        <v>0.53273231414868072</v>
      </c>
      <c r="F348" s="5">
        <f>583.395333333333/1112</f>
        <v>0.52463609112709808</v>
      </c>
      <c r="G348" s="5"/>
      <c r="H348" s="5"/>
      <c r="I348" s="5"/>
      <c r="J348" s="5">
        <f>4.88633333333333/114</f>
        <v>4.2862573099415179E-2</v>
      </c>
      <c r="K348" s="5">
        <f>4.343/114</f>
        <v>3.8096491228070177E-2</v>
      </c>
    </row>
    <row r="349" spans="1:11" x14ac:dyDescent="0.15">
      <c r="A349">
        <v>347</v>
      </c>
      <c r="B349" s="5"/>
      <c r="C349" s="5"/>
      <c r="D349" s="5"/>
      <c r="E349" s="5">
        <f>593.161/1112</f>
        <v>0.53341816546762588</v>
      </c>
      <c r="F349" s="5">
        <f>584.111666666667/1112</f>
        <v>0.52528027577937686</v>
      </c>
      <c r="G349" s="5"/>
      <c r="H349" s="5"/>
      <c r="I349" s="5"/>
      <c r="J349" s="5">
        <f>4.89833333333333/114</f>
        <v>4.2967836257309912E-2</v>
      </c>
      <c r="K349" s="5">
        <f>4.32766666666667/114</f>
        <v>3.79619883040936E-2</v>
      </c>
    </row>
    <row r="350" spans="1:11" x14ac:dyDescent="0.15">
      <c r="A350">
        <v>348</v>
      </c>
      <c r="B350" s="5"/>
      <c r="C350" s="5"/>
      <c r="D350" s="5"/>
      <c r="E350" s="5">
        <f>594.002666666667/1112</f>
        <v>0.53417505995203862</v>
      </c>
      <c r="F350" s="5">
        <f>584.111333333333/1112</f>
        <v>0.52527997601918441</v>
      </c>
      <c r="G350" s="5"/>
      <c r="H350" s="5"/>
      <c r="I350" s="5"/>
      <c r="J350" s="5">
        <f>4.907/114</f>
        <v>4.3043859649122808E-2</v>
      </c>
      <c r="K350" s="5">
        <f>4.32833333333333/114</f>
        <v>3.7967836257309907E-2</v>
      </c>
    </row>
    <row r="351" spans="1:11" x14ac:dyDescent="0.15">
      <c r="A351">
        <v>349</v>
      </c>
      <c r="B351" s="5"/>
      <c r="C351" s="5"/>
      <c r="D351" s="5"/>
      <c r="E351" s="5">
        <f>594.796666666667/1112</f>
        <v>0.53488908872901708</v>
      </c>
      <c r="F351" s="5">
        <f>584.676/1112</f>
        <v>0.52578776978417274</v>
      </c>
      <c r="G351" s="5"/>
      <c r="H351" s="5"/>
      <c r="I351" s="5"/>
      <c r="J351" s="5">
        <f>4.88/114</f>
        <v>4.2807017543859648E-2</v>
      </c>
      <c r="K351" s="5">
        <f>4.389/114</f>
        <v>3.85E-2</v>
      </c>
    </row>
    <row r="352" spans="1:11" x14ac:dyDescent="0.15">
      <c r="A352">
        <v>350</v>
      </c>
      <c r="B352" s="5"/>
      <c r="C352" s="5"/>
      <c r="D352" s="5"/>
      <c r="E352" s="5">
        <f>594.861666666667/1112</f>
        <v>0.53494754196642713</v>
      </c>
      <c r="F352" s="5">
        <f>585.421/1112</f>
        <v>0.52645773381294969</v>
      </c>
      <c r="G352" s="5"/>
      <c r="H352" s="5"/>
      <c r="I352" s="5"/>
      <c r="J352" s="5">
        <f>4.94566666666667/114</f>
        <v>4.3383040935672551E-2</v>
      </c>
      <c r="K352" s="5">
        <f>4.396/114</f>
        <v>3.8561403508771928E-2</v>
      </c>
    </row>
    <row r="353" spans="1:11" x14ac:dyDescent="0.15">
      <c r="A353">
        <v>351</v>
      </c>
      <c r="B353" s="5"/>
      <c r="C353" s="5"/>
      <c r="D353" s="5"/>
      <c r="E353" s="5">
        <f>595.478333333333/1112</f>
        <v>0.53550209832134266</v>
      </c>
      <c r="F353" s="5">
        <f>585.739333333333/1112</f>
        <v>0.52674400479616279</v>
      </c>
      <c r="G353" s="5"/>
      <c r="H353" s="5"/>
      <c r="I353" s="5"/>
      <c r="J353" s="5">
        <f>4.96666666666667/114</f>
        <v>4.3567251461988338E-2</v>
      </c>
      <c r="K353" s="5">
        <f>4.40366666666667/114</f>
        <v>3.8628654970760262E-2</v>
      </c>
    </row>
    <row r="354" spans="1:11" x14ac:dyDescent="0.15">
      <c r="A354">
        <v>352</v>
      </c>
      <c r="B354" s="5"/>
      <c r="C354" s="5"/>
      <c r="D354" s="5"/>
      <c r="E354" s="5">
        <f>595.86/1112</f>
        <v>0.53584532374100724</v>
      </c>
      <c r="F354" s="5">
        <f>586.587333333333/1112</f>
        <v>0.52750659472422035</v>
      </c>
      <c r="G354" s="5"/>
      <c r="H354" s="5"/>
      <c r="I354" s="5"/>
      <c r="J354" s="5">
        <f>4.98933333333333/114</f>
        <v>4.3766081871345001E-2</v>
      </c>
      <c r="K354" s="5">
        <f>4.38833333333333/114</f>
        <v>3.8494152046783595E-2</v>
      </c>
    </row>
    <row r="355" spans="1:11" x14ac:dyDescent="0.15">
      <c r="A355">
        <v>353</v>
      </c>
      <c r="B355" s="5"/>
      <c r="C355" s="5"/>
      <c r="D355" s="5"/>
      <c r="E355" s="5">
        <f>596.918333333333/1112</f>
        <v>0.53679706235011959</v>
      </c>
      <c r="F355" s="5">
        <f>587.565666666667/1112</f>
        <v>0.52838639088729045</v>
      </c>
      <c r="G355" s="5"/>
      <c r="H355" s="5"/>
      <c r="I355" s="5"/>
      <c r="J355" s="5">
        <f>4.95566666666667/114</f>
        <v>4.347076023391816E-2</v>
      </c>
      <c r="K355" s="5">
        <f>4.44766666666667/114</f>
        <v>3.9014619883040967E-2</v>
      </c>
    </row>
    <row r="356" spans="1:11" x14ac:dyDescent="0.15">
      <c r="A356">
        <v>354</v>
      </c>
      <c r="B356" s="5"/>
      <c r="C356" s="5"/>
      <c r="D356" s="5"/>
      <c r="E356" s="5">
        <f>597.249/1112</f>
        <v>0.53709442446043165</v>
      </c>
      <c r="F356" s="5">
        <f>587.569333333333/1112</f>
        <v>0.52838968824940025</v>
      </c>
      <c r="G356" s="5"/>
      <c r="H356" s="5"/>
      <c r="I356" s="5"/>
      <c r="J356" s="5">
        <f>4.93833333333333/114</f>
        <v>4.3318713450292368E-2</v>
      </c>
      <c r="K356" s="5">
        <f>4.42333333333333/114</f>
        <v>3.8801169590643246E-2</v>
      </c>
    </row>
    <row r="357" spans="1:11" x14ac:dyDescent="0.15">
      <c r="A357">
        <v>355</v>
      </c>
      <c r="B357" s="5"/>
      <c r="C357" s="5"/>
      <c r="D357" s="5"/>
      <c r="E357" s="5">
        <f>597.912333333333/1112</f>
        <v>0.5376909472422059</v>
      </c>
      <c r="F357" s="5">
        <f>588.314666666667/1112</f>
        <v>0.52905995203836964</v>
      </c>
      <c r="G357" s="5"/>
      <c r="H357" s="5"/>
      <c r="I357" s="5"/>
      <c r="J357" s="5">
        <f>4.98666666666667/114</f>
        <v>4.3742690058479562E-2</v>
      </c>
      <c r="K357" s="5">
        <f>4.44666666666667/114</f>
        <v>3.9005847953216405E-2</v>
      </c>
    </row>
    <row r="358" spans="1:11" x14ac:dyDescent="0.15">
      <c r="A358">
        <v>356</v>
      </c>
      <c r="B358" s="5"/>
      <c r="C358" s="5"/>
      <c r="D358" s="5"/>
      <c r="E358" s="5">
        <f>598.436666666667/1112</f>
        <v>0.5381624700239811</v>
      </c>
      <c r="F358" s="5">
        <f>588.835666666667/1112</f>
        <v>0.52952847721822571</v>
      </c>
      <c r="G358" s="5"/>
      <c r="H358" s="5"/>
      <c r="I358" s="5"/>
      <c r="J358" s="5">
        <f>5.00366666666667/114</f>
        <v>4.3891812865497107E-2</v>
      </c>
      <c r="K358" s="5">
        <f>4.49566666666667/114</f>
        <v>3.9435672514619914E-2</v>
      </c>
    </row>
    <row r="359" spans="1:11" x14ac:dyDescent="0.15">
      <c r="A359">
        <v>357</v>
      </c>
      <c r="B359" s="5"/>
      <c r="C359" s="5"/>
      <c r="D359" s="5"/>
      <c r="E359" s="5">
        <f>599.561666666667/1112</f>
        <v>0.53917416067146307</v>
      </c>
      <c r="F359" s="5">
        <f>589.380333333333/1112</f>
        <v>0.53001828537170237</v>
      </c>
      <c r="G359" s="5"/>
      <c r="H359" s="5"/>
      <c r="I359" s="5"/>
      <c r="J359" s="5">
        <f>4.96933333333333/114</f>
        <v>4.359064327485377E-2</v>
      </c>
      <c r="K359" s="5">
        <f>4.45466666666667/114</f>
        <v>3.9076023391812896E-2</v>
      </c>
    </row>
    <row r="360" spans="1:11" x14ac:dyDescent="0.15">
      <c r="A360">
        <v>358</v>
      </c>
      <c r="B360" s="5"/>
      <c r="C360" s="5"/>
      <c r="D360" s="5"/>
      <c r="E360" s="5">
        <f>599.754333333333/1112</f>
        <v>0.53934742206234976</v>
      </c>
      <c r="F360" s="5">
        <f>589.923333333333/1112</f>
        <v>0.53050659472422024</v>
      </c>
      <c r="G360" s="5"/>
      <c r="H360" s="5"/>
      <c r="I360" s="5"/>
      <c r="J360" s="5">
        <f>5.03333333333333/114</f>
        <v>4.4152046783625699E-2</v>
      </c>
      <c r="K360" s="5">
        <f>4.459/114</f>
        <v>3.9114035087719295E-2</v>
      </c>
    </row>
    <row r="361" spans="1:11" x14ac:dyDescent="0.15">
      <c r="A361">
        <v>359</v>
      </c>
      <c r="B361" s="5"/>
      <c r="C361" s="5"/>
      <c r="D361" s="5"/>
      <c r="E361" s="5">
        <f>599.966/1112</f>
        <v>0.53953776978417267</v>
      </c>
      <c r="F361" s="5">
        <f>590.248/1112</f>
        <v>0.53079856115107915</v>
      </c>
      <c r="G361" s="5"/>
      <c r="H361" s="5"/>
      <c r="I361" s="5"/>
      <c r="J361" s="5">
        <f>5.026/114</f>
        <v>4.4087719298245613E-2</v>
      </c>
      <c r="K361" s="5">
        <f>4.54466666666667/114</f>
        <v>3.9865497076023416E-2</v>
      </c>
    </row>
    <row r="362" spans="1:11" x14ac:dyDescent="0.15">
      <c r="A362">
        <v>360</v>
      </c>
      <c r="B362" s="5"/>
      <c r="C362" s="5"/>
      <c r="D362" s="5"/>
      <c r="E362" s="5">
        <f>600.985333333333/1112</f>
        <v>0.54045443645083902</v>
      </c>
      <c r="F362" s="5">
        <f>591.262333333333/1112</f>
        <v>0.5317107314148678</v>
      </c>
      <c r="G362" s="5"/>
      <c r="H362" s="5"/>
      <c r="I362" s="5"/>
      <c r="J362" s="5">
        <f>5.06866666666667/114</f>
        <v>4.4461988304093591E-2</v>
      </c>
      <c r="K362" s="5">
        <f>4.45633333333333/114</f>
        <v>3.9090643274853766E-2</v>
      </c>
    </row>
    <row r="363" spans="1:11" x14ac:dyDescent="0.15">
      <c r="A363">
        <v>361</v>
      </c>
      <c r="B363" s="5"/>
      <c r="C363" s="5"/>
      <c r="D363" s="5"/>
      <c r="E363" s="5">
        <f>601.429666666667/1112</f>
        <v>0.54085401678657108</v>
      </c>
      <c r="F363" s="5">
        <f>591.805666666667/1112</f>
        <v>0.53219934052757822</v>
      </c>
      <c r="G363" s="5"/>
      <c r="H363" s="5"/>
      <c r="I363" s="5"/>
      <c r="J363" s="5">
        <f>5.06533333333333/114</f>
        <v>4.4432748538011664E-2</v>
      </c>
      <c r="K363" s="5">
        <f>4.54366666666667/114</f>
        <v>3.9856725146198861E-2</v>
      </c>
    </row>
    <row r="364" spans="1:11" x14ac:dyDescent="0.15">
      <c r="A364">
        <v>362</v>
      </c>
      <c r="B364" s="5"/>
      <c r="C364" s="5"/>
      <c r="D364" s="5"/>
      <c r="E364" s="5">
        <f>602.152333333333/1112</f>
        <v>0.54150389688249367</v>
      </c>
      <c r="F364" s="5">
        <f>591.906/1112</f>
        <v>0.5322895683453237</v>
      </c>
      <c r="G364" s="5"/>
      <c r="H364" s="5"/>
      <c r="I364" s="5"/>
      <c r="J364" s="5">
        <f>5.05433333333333/114</f>
        <v>4.4336257309941486E-2</v>
      </c>
      <c r="K364" s="5">
        <f>4.49033333333333/114</f>
        <v>3.9388888888888862E-2</v>
      </c>
    </row>
    <row r="365" spans="1:11" x14ac:dyDescent="0.15">
      <c r="A365">
        <v>363</v>
      </c>
      <c r="B365" s="5"/>
      <c r="C365" s="5"/>
      <c r="D365" s="5"/>
      <c r="E365" s="5">
        <f>602.486/1112</f>
        <v>0.54180395683453242</v>
      </c>
      <c r="F365" s="5">
        <f>593.017333333333/1112</f>
        <v>0.5332889688249397</v>
      </c>
      <c r="G365" s="5"/>
      <c r="H365" s="5"/>
      <c r="I365" s="5"/>
      <c r="J365" s="5">
        <f>5.093/114</f>
        <v>4.4675438596491229E-2</v>
      </c>
      <c r="K365" s="5">
        <f>4.542/114</f>
        <v>3.9842105263157894E-2</v>
      </c>
    </row>
    <row r="366" spans="1:11" x14ac:dyDescent="0.15">
      <c r="A366">
        <v>364</v>
      </c>
      <c r="B366" s="5"/>
      <c r="C366" s="5"/>
      <c r="D366" s="5"/>
      <c r="E366" s="5">
        <f>602.789666666667/1112</f>
        <v>0.54207703836930488</v>
      </c>
      <c r="F366" s="5">
        <f>593.464333333333/1112</f>
        <v>0.53369094724220589</v>
      </c>
      <c r="G366" s="5"/>
      <c r="H366" s="5"/>
      <c r="I366" s="5"/>
      <c r="J366" s="5">
        <f>5.101/114</f>
        <v>4.474561403508772E-2</v>
      </c>
      <c r="K366" s="5">
        <f>4.567/114</f>
        <v>4.006140350877193E-2</v>
      </c>
    </row>
    <row r="367" spans="1:11" x14ac:dyDescent="0.15">
      <c r="A367">
        <v>365</v>
      </c>
      <c r="B367" s="5"/>
      <c r="C367" s="5"/>
      <c r="D367" s="5"/>
      <c r="E367" s="5">
        <f>603.703666666667/1112</f>
        <v>0.54289898081534804</v>
      </c>
      <c r="F367" s="5">
        <f>593.878333333333/1112</f>
        <v>0.53406324940047933</v>
      </c>
      <c r="G367" s="5"/>
      <c r="H367" s="5"/>
      <c r="I367" s="5"/>
      <c r="J367" s="5">
        <f>5.12866666666667/114</f>
        <v>4.4988304093567286E-2</v>
      </c>
      <c r="K367" s="5">
        <f>4.543/114</f>
        <v>3.9850877192982456E-2</v>
      </c>
    </row>
    <row r="368" spans="1:11" x14ac:dyDescent="0.15">
      <c r="A368">
        <v>366</v>
      </c>
      <c r="B368" s="5"/>
      <c r="C368" s="5"/>
      <c r="D368" s="5"/>
      <c r="E368" s="5">
        <f>604.049666666667/1112</f>
        <v>0.54321013189448475</v>
      </c>
      <c r="F368" s="5">
        <f>593.872666666667/1112</f>
        <v>0.53405815347721852</v>
      </c>
      <c r="G368" s="5"/>
      <c r="H368" s="5"/>
      <c r="I368" s="5"/>
      <c r="J368" s="5">
        <f>5.12166666666667/114</f>
        <v>4.492690058479535E-2</v>
      </c>
      <c r="K368" s="5">
        <f>4.54633333333333/114</f>
        <v>3.9880116959064293E-2</v>
      </c>
    </row>
    <row r="369" spans="1:11" x14ac:dyDescent="0.15">
      <c r="A369">
        <v>367</v>
      </c>
      <c r="B369" s="5"/>
      <c r="C369" s="5"/>
      <c r="D369" s="5"/>
      <c r="E369" s="5">
        <f>604.554666666667/1112</f>
        <v>0.54366426858513217</v>
      </c>
      <c r="F369" s="5">
        <f>594.725333333333/1112</f>
        <v>0.53482494004796133</v>
      </c>
      <c r="G369" s="5"/>
      <c r="H369" s="5"/>
      <c r="I369" s="5"/>
      <c r="J369" s="5">
        <f>5.15266666666667/114</f>
        <v>4.5198830409356759E-2</v>
      </c>
      <c r="K369" s="5">
        <f>4.613/114</f>
        <v>4.0464912280701759E-2</v>
      </c>
    </row>
    <row r="370" spans="1:11" x14ac:dyDescent="0.15">
      <c r="A370">
        <v>368</v>
      </c>
      <c r="B370" s="5"/>
      <c r="C370" s="5"/>
      <c r="D370" s="5"/>
      <c r="E370" s="5">
        <f>605.199666666667/1112</f>
        <v>0.5442443045563552</v>
      </c>
      <c r="F370" s="5">
        <f>595.501666666667/1112</f>
        <v>0.53552308153477246</v>
      </c>
      <c r="G370" s="5"/>
      <c r="H370" s="5"/>
      <c r="I370" s="5"/>
      <c r="J370" s="5">
        <f>5.17166666666667/114</f>
        <v>4.5365497076023421E-2</v>
      </c>
      <c r="K370" s="5">
        <f>4.60633333333333/114</f>
        <v>4.0406432748537981E-2</v>
      </c>
    </row>
    <row r="371" spans="1:11" x14ac:dyDescent="0.15">
      <c r="A371">
        <v>369</v>
      </c>
      <c r="B371" s="5"/>
      <c r="C371" s="5"/>
      <c r="D371" s="5"/>
      <c r="E371" s="5">
        <f>605.803333333333/1112</f>
        <v>0.54478717026378864</v>
      </c>
      <c r="F371" s="5">
        <f>595.56/1112</f>
        <v>0.53557553956834525</v>
      </c>
      <c r="G371" s="5"/>
      <c r="H371" s="5"/>
      <c r="I371" s="5"/>
      <c r="J371" s="5">
        <f>5.153/114</f>
        <v>4.520175438596491E-2</v>
      </c>
      <c r="K371" s="5">
        <f>4.62/114</f>
        <v>4.0526315789473688E-2</v>
      </c>
    </row>
    <row r="372" spans="1:11" x14ac:dyDescent="0.15">
      <c r="A372">
        <v>370</v>
      </c>
      <c r="B372" s="5"/>
      <c r="C372" s="5"/>
      <c r="D372" s="5"/>
      <c r="E372" s="5">
        <f>606.124/1112</f>
        <v>0.54507553956834531</v>
      </c>
      <c r="F372" s="5">
        <f>596.637666666667/1112</f>
        <v>0.53654466426858538</v>
      </c>
      <c r="G372" s="5"/>
      <c r="H372" s="5"/>
      <c r="I372" s="5"/>
      <c r="J372" s="5">
        <f>5.18266666666667/114</f>
        <v>4.5461988304093592E-2</v>
      </c>
      <c r="K372" s="5">
        <f>4.63733333333333/114</f>
        <v>4.0678362573099383E-2</v>
      </c>
    </row>
    <row r="373" spans="1:11" x14ac:dyDescent="0.15">
      <c r="A373">
        <v>371</v>
      </c>
      <c r="B373" s="5"/>
      <c r="C373" s="5"/>
      <c r="D373" s="5"/>
      <c r="E373" s="5">
        <f>606.746/1112</f>
        <v>0.54563489208633087</v>
      </c>
      <c r="F373" s="5">
        <f>597.156333333333/1112</f>
        <v>0.53701109112709799</v>
      </c>
      <c r="G373" s="5"/>
      <c r="H373" s="5"/>
      <c r="I373" s="5"/>
      <c r="J373" s="5">
        <f>5.22733333333333/114</f>
        <v>4.5853801169590612E-2</v>
      </c>
      <c r="K373" s="5">
        <f>4.624/114</f>
        <v>4.056140350877193E-2</v>
      </c>
    </row>
    <row r="374" spans="1:11" x14ac:dyDescent="0.15">
      <c r="A374">
        <v>372</v>
      </c>
      <c r="B374" s="5"/>
      <c r="C374" s="5"/>
      <c r="D374" s="5"/>
      <c r="E374" s="5">
        <f>607.566333333333/1112</f>
        <v>0.54637260191846493</v>
      </c>
      <c r="F374" s="5">
        <f>597.804/1112</f>
        <v>0.53759352517985615</v>
      </c>
      <c r="G374" s="5"/>
      <c r="H374" s="5"/>
      <c r="I374" s="5"/>
      <c r="J374" s="5">
        <f>5.242/114</f>
        <v>4.5982456140350875E-2</v>
      </c>
      <c r="K374" s="5">
        <f>4.62633333333333/114</f>
        <v>4.0581871345029205E-2</v>
      </c>
    </row>
    <row r="375" spans="1:11" x14ac:dyDescent="0.15">
      <c r="A375">
        <v>373</v>
      </c>
      <c r="B375" s="5"/>
      <c r="C375" s="5"/>
      <c r="D375" s="5"/>
      <c r="E375" s="5">
        <f>607.692/1112</f>
        <v>0.54648561151079134</v>
      </c>
      <c r="F375" s="5">
        <f>598.063333333333/1112</f>
        <v>0.53782673860911245</v>
      </c>
      <c r="G375" s="5"/>
      <c r="H375" s="5"/>
      <c r="I375" s="5"/>
      <c r="J375" s="5">
        <f>5.21266666666667/114</f>
        <v>4.5725146198830439E-2</v>
      </c>
      <c r="K375" s="5">
        <f>4.60233333333333/114</f>
        <v>4.0371345029239732E-2</v>
      </c>
    </row>
    <row r="376" spans="1:11" x14ac:dyDescent="0.15">
      <c r="A376">
        <v>374</v>
      </c>
      <c r="B376" s="5"/>
      <c r="C376" s="5"/>
      <c r="D376" s="5"/>
      <c r="E376" s="5">
        <f>608.633666666667/1112</f>
        <v>0.547332434052758</v>
      </c>
      <c r="F376" s="5">
        <f>598.698666666667/1112</f>
        <v>0.53839808153477253</v>
      </c>
      <c r="G376" s="5"/>
      <c r="H376" s="5"/>
      <c r="I376" s="5"/>
      <c r="J376" s="5">
        <f>5.23533333333333/114</f>
        <v>4.5923976608187103E-2</v>
      </c>
      <c r="K376" s="5">
        <f>4.685/114</f>
        <v>4.1096491228070173E-2</v>
      </c>
    </row>
    <row r="377" spans="1:11" x14ac:dyDescent="0.15">
      <c r="A377">
        <v>375</v>
      </c>
      <c r="B377" s="5"/>
      <c r="C377" s="5"/>
      <c r="D377" s="5"/>
      <c r="E377" s="5">
        <f>609.254666666667/1112</f>
        <v>0.54789088729016822</v>
      </c>
      <c r="F377" s="5">
        <f>599.250666666667/1112</f>
        <v>0.53889448441247034</v>
      </c>
      <c r="G377" s="5"/>
      <c r="H377" s="5"/>
      <c r="I377" s="5"/>
      <c r="J377" s="5">
        <f>5.202/114</f>
        <v>4.5631578947368419E-2</v>
      </c>
      <c r="K377" s="5">
        <f>4.72133333333333/114</f>
        <v>4.1415204678362544E-2</v>
      </c>
    </row>
    <row r="378" spans="1:11" x14ac:dyDescent="0.15">
      <c r="A378">
        <v>376</v>
      </c>
      <c r="B378" s="5"/>
      <c r="C378" s="5"/>
      <c r="D378" s="5"/>
      <c r="E378" s="5">
        <f>609.285/1112</f>
        <v>0.54791816546762584</v>
      </c>
      <c r="F378" s="5">
        <f>599.903666666667/1112</f>
        <v>0.53948171462829775</v>
      </c>
      <c r="G378" s="5"/>
      <c r="H378" s="5"/>
      <c r="I378" s="5"/>
      <c r="J378" s="5">
        <f>5.26966666666667/114</f>
        <v>4.622514619883044E-2</v>
      </c>
      <c r="K378" s="5">
        <f>4.66466666666667/114</f>
        <v>4.0918128654970791E-2</v>
      </c>
    </row>
    <row r="379" spans="1:11" x14ac:dyDescent="0.15">
      <c r="A379">
        <v>377</v>
      </c>
      <c r="B379" s="5"/>
      <c r="C379" s="5"/>
      <c r="D379" s="5"/>
      <c r="E379" s="5">
        <f>610.175666666667/1112</f>
        <v>0.54871912470024009</v>
      </c>
      <c r="F379" s="5">
        <f>600.263/1112</f>
        <v>0.53980485611510798</v>
      </c>
      <c r="G379" s="5"/>
      <c r="H379" s="5"/>
      <c r="I379" s="5"/>
      <c r="J379" s="5">
        <f>5.24933333333333/114</f>
        <v>4.6046783625730961E-2</v>
      </c>
      <c r="K379" s="5">
        <f>4.69933333333333/114</f>
        <v>4.1222222222222195E-2</v>
      </c>
    </row>
    <row r="380" spans="1:11" x14ac:dyDescent="0.15">
      <c r="A380">
        <v>378</v>
      </c>
      <c r="B380" s="5"/>
      <c r="C380" s="5"/>
      <c r="D380" s="5"/>
      <c r="E380" s="5">
        <f>610.592666666667/1112</f>
        <v>0.5490941247002401</v>
      </c>
      <c r="F380" s="5">
        <f>600.994/1112</f>
        <v>0.5404622302158274</v>
      </c>
      <c r="G380" s="5"/>
      <c r="H380" s="5"/>
      <c r="I380" s="5"/>
      <c r="J380" s="5">
        <f>5.28633333333333/114</f>
        <v>4.6371345029239737E-2</v>
      </c>
      <c r="K380" s="5">
        <f>4.65266666666667/114</f>
        <v>4.0812865497076058E-2</v>
      </c>
    </row>
    <row r="381" spans="1:11" x14ac:dyDescent="0.15">
      <c r="A381">
        <v>379</v>
      </c>
      <c r="B381" s="5"/>
      <c r="C381" s="5"/>
      <c r="D381" s="5"/>
      <c r="E381" s="5">
        <f>611.414/1112</f>
        <v>0.54983273381294961</v>
      </c>
      <c r="F381" s="5">
        <f>601.173/1112</f>
        <v>0.5406232014388489</v>
      </c>
      <c r="G381" s="5"/>
      <c r="H381" s="5"/>
      <c r="I381" s="5"/>
      <c r="J381" s="5">
        <f>5.26633333333333/114</f>
        <v>4.6195906432748512E-2</v>
      </c>
      <c r="K381" s="5">
        <f>4.75366666666667/114</f>
        <v>4.1698830409356756E-2</v>
      </c>
    </row>
    <row r="382" spans="1:11" x14ac:dyDescent="0.15">
      <c r="A382">
        <v>380</v>
      </c>
      <c r="B382" s="5"/>
      <c r="C382" s="5"/>
      <c r="D382" s="5"/>
      <c r="E382" s="5">
        <f>612.056/1112</f>
        <v>0.55041007194244607</v>
      </c>
      <c r="F382" s="5">
        <f>601.832666666667/1112</f>
        <v>0.54121642685851346</v>
      </c>
      <c r="G382" s="5"/>
      <c r="H382" s="5"/>
      <c r="I382" s="5"/>
      <c r="J382" s="5">
        <f>5.30666666666667/114</f>
        <v>4.6549707602339209E-2</v>
      </c>
      <c r="K382" s="5">
        <f>4.71266666666667/114</f>
        <v>4.1339181286549738E-2</v>
      </c>
    </row>
    <row r="383" spans="1:11" x14ac:dyDescent="0.15">
      <c r="A383">
        <v>381</v>
      </c>
      <c r="B383" s="5"/>
      <c r="C383" s="5"/>
      <c r="D383" s="5"/>
      <c r="E383" s="5">
        <f>612.056/1112</f>
        <v>0.55041007194244607</v>
      </c>
      <c r="F383" s="5">
        <f>602.106666666667/1112</f>
        <v>0.5414628297362114</v>
      </c>
      <c r="G383" s="5"/>
      <c r="H383" s="5"/>
      <c r="I383" s="5"/>
      <c r="J383" s="5">
        <f>5.31633333333333/114</f>
        <v>4.6634502923976577E-2</v>
      </c>
      <c r="K383" s="5">
        <f>4.78/114</f>
        <v>4.1929824561403511E-2</v>
      </c>
    </row>
    <row r="384" spans="1:11" x14ac:dyDescent="0.15">
      <c r="A384">
        <v>382</v>
      </c>
      <c r="B384" s="5"/>
      <c r="C384" s="5"/>
      <c r="D384" s="5"/>
      <c r="E384" s="5">
        <f>612.498/1112</f>
        <v>0.55080755395683456</v>
      </c>
      <c r="F384" s="5">
        <f>602.980333333333/1112</f>
        <v>0.54224850119904044</v>
      </c>
      <c r="G384" s="5"/>
      <c r="H384" s="5"/>
      <c r="I384" s="5"/>
      <c r="J384" s="5">
        <f>5.325/114</f>
        <v>4.6710526315789473E-2</v>
      </c>
      <c r="K384" s="5">
        <f>4.79433333333333/114</f>
        <v>4.2055555555555527E-2</v>
      </c>
    </row>
    <row r="385" spans="1:11" x14ac:dyDescent="0.15">
      <c r="A385">
        <v>383</v>
      </c>
      <c r="B385" s="5"/>
      <c r="C385" s="5"/>
      <c r="D385" s="5"/>
      <c r="E385" s="5">
        <f>613.230666666667/1112</f>
        <v>0.55146642685851355</v>
      </c>
      <c r="F385" s="5">
        <f>603.524/1112</f>
        <v>0.54273741007194243</v>
      </c>
      <c r="G385" s="5"/>
      <c r="H385" s="5"/>
      <c r="I385" s="5"/>
      <c r="J385" s="5">
        <f>5.33133333333333/114</f>
        <v>4.6766081871344997E-2</v>
      </c>
      <c r="K385" s="5">
        <f>4.765/114</f>
        <v>4.1798245614035084E-2</v>
      </c>
    </row>
    <row r="386" spans="1:11" x14ac:dyDescent="0.15">
      <c r="A386">
        <v>384</v>
      </c>
      <c r="B386" s="5"/>
      <c r="C386" s="5"/>
      <c r="D386" s="5"/>
      <c r="E386" s="5">
        <f>613.592666666667/1112</f>
        <v>0.55179196642685879</v>
      </c>
      <c r="F386" s="5">
        <f>604.165666666667/1112</f>
        <v>0.54331444844124732</v>
      </c>
      <c r="G386" s="5"/>
      <c r="H386" s="5"/>
      <c r="I386" s="5"/>
      <c r="J386" s="5">
        <f>5.36233333333333/114</f>
        <v>4.7038011695906407E-2</v>
      </c>
      <c r="K386" s="5">
        <f>4.79/114</f>
        <v>4.201754385964912E-2</v>
      </c>
    </row>
    <row r="387" spans="1:11" x14ac:dyDescent="0.15">
      <c r="A387">
        <v>385</v>
      </c>
      <c r="B387" s="5"/>
      <c r="C387" s="5"/>
      <c r="D387" s="5"/>
      <c r="E387" s="5">
        <f>614.414/1112</f>
        <v>0.5525305755395683</v>
      </c>
      <c r="F387" s="5">
        <f>604.009333333333/1112</f>
        <v>0.54317386091127062</v>
      </c>
      <c r="G387" s="5"/>
      <c r="H387" s="5"/>
      <c r="I387" s="5"/>
      <c r="J387" s="5">
        <f>5.363/114</f>
        <v>4.7043859649122811E-2</v>
      </c>
      <c r="K387" s="5">
        <f>4.79033333333333/114</f>
        <v>4.2020467836257284E-2</v>
      </c>
    </row>
    <row r="388" spans="1:11" x14ac:dyDescent="0.15">
      <c r="A388">
        <v>386</v>
      </c>
      <c r="B388" s="5"/>
      <c r="C388" s="5"/>
      <c r="D388" s="5"/>
      <c r="E388" s="5">
        <f>614.991333333333/1112</f>
        <v>0.55304976019184626</v>
      </c>
      <c r="F388" s="5">
        <f>604.781333333333/1112</f>
        <v>0.54386810551558729</v>
      </c>
      <c r="G388" s="5"/>
      <c r="H388" s="5"/>
      <c r="I388" s="5"/>
      <c r="J388" s="5">
        <f>5.35766666666667/114</f>
        <v>4.6997076023391843E-2</v>
      </c>
      <c r="K388" s="5">
        <f>4.796/114</f>
        <v>4.2070175438596494E-2</v>
      </c>
    </row>
    <row r="389" spans="1:11" x14ac:dyDescent="0.15">
      <c r="A389">
        <v>387</v>
      </c>
      <c r="B389" s="5"/>
      <c r="C389" s="5"/>
      <c r="D389" s="5"/>
      <c r="E389" s="5">
        <f>615.321/1112</f>
        <v>0.55334622302158276</v>
      </c>
      <c r="F389" s="5">
        <f>605.905/1112</f>
        <v>0.54487859712230213</v>
      </c>
      <c r="G389" s="5"/>
      <c r="H389" s="5"/>
      <c r="I389" s="5"/>
      <c r="J389" s="5">
        <f>5.394/114</f>
        <v>4.7315789473684214E-2</v>
      </c>
      <c r="K389" s="5">
        <f>4.80766666666667/114</f>
        <v>4.217251461988307E-2</v>
      </c>
    </row>
    <row r="390" spans="1:11" x14ac:dyDescent="0.15">
      <c r="A390">
        <v>388</v>
      </c>
      <c r="B390" s="5"/>
      <c r="C390" s="5"/>
      <c r="D390" s="5"/>
      <c r="E390" s="5">
        <f>615.659/1112</f>
        <v>0.55365017985611509</v>
      </c>
      <c r="F390" s="5">
        <f>606.069/1112</f>
        <v>0.54502607913669066</v>
      </c>
      <c r="G390" s="5"/>
      <c r="H390" s="5"/>
      <c r="I390" s="5"/>
      <c r="J390" s="5">
        <f>5.39066666666667/114</f>
        <v>4.728654970760237E-2</v>
      </c>
      <c r="K390" s="5">
        <f>4.80933333333333/114</f>
        <v>4.2187134502923954E-2</v>
      </c>
    </row>
    <row r="391" spans="1:11" x14ac:dyDescent="0.15">
      <c r="A391">
        <v>389</v>
      </c>
      <c r="B391" s="5"/>
      <c r="C391" s="5"/>
      <c r="D391" s="5"/>
      <c r="E391" s="5">
        <f>616.954666666667/1112</f>
        <v>0.55481534772182284</v>
      </c>
      <c r="F391" s="5">
        <f>606.425666666667/1112</f>
        <v>0.54534682254196676</v>
      </c>
      <c r="G391" s="5"/>
      <c r="H391" s="5"/>
      <c r="I391" s="5"/>
      <c r="J391" s="5">
        <f>5.41133333333333/114</f>
        <v>4.7467836257309909E-2</v>
      </c>
      <c r="K391" s="5">
        <f>4.83233333333333/114</f>
        <v>4.2388888888888858E-2</v>
      </c>
    </row>
    <row r="392" spans="1:11" x14ac:dyDescent="0.15">
      <c r="A392">
        <v>390</v>
      </c>
      <c r="B392" s="5"/>
      <c r="C392" s="5"/>
      <c r="D392" s="5"/>
      <c r="E392" s="5">
        <f>616.737/1112</f>
        <v>0.55461960431654678</v>
      </c>
      <c r="F392" s="5">
        <f>607.392/1112</f>
        <v>0.54621582733812957</v>
      </c>
      <c r="G392" s="5"/>
      <c r="H392" s="5"/>
      <c r="I392" s="5"/>
      <c r="J392" s="5">
        <f>5.42666666666667/114</f>
        <v>4.7602339181286583E-2</v>
      </c>
      <c r="K392" s="5">
        <f>4.863/114</f>
        <v>4.265789473684211E-2</v>
      </c>
    </row>
    <row r="393" spans="1:11" x14ac:dyDescent="0.15">
      <c r="A393">
        <v>391</v>
      </c>
      <c r="B393" s="5"/>
      <c r="C393" s="5"/>
      <c r="D393" s="5"/>
      <c r="E393" s="5">
        <f>617.397666666667/1112</f>
        <v>0.55521372901678678</v>
      </c>
      <c r="F393" s="5">
        <f>607.654666666667/1112</f>
        <v>0.54645203836930489</v>
      </c>
      <c r="G393" s="5"/>
      <c r="H393" s="5"/>
      <c r="I393" s="5"/>
      <c r="J393" s="5">
        <f>5.434/114</f>
        <v>4.766666666666667E-2</v>
      </c>
      <c r="K393" s="5">
        <f>4.886/114</f>
        <v>4.2859649122807021E-2</v>
      </c>
    </row>
    <row r="394" spans="1:11" x14ac:dyDescent="0.15">
      <c r="A394">
        <v>392</v>
      </c>
      <c r="B394" s="5"/>
      <c r="C394" s="5"/>
      <c r="D394" s="5"/>
      <c r="E394" s="5">
        <f>618.017333333333/1112</f>
        <v>0.55577098321342899</v>
      </c>
      <c r="F394" s="5">
        <f>608.314333333333/1112</f>
        <v>0.54704526378896856</v>
      </c>
      <c r="G394" s="5"/>
      <c r="H394" s="5"/>
      <c r="I394" s="5"/>
      <c r="J394" s="5">
        <f>5.432/114</f>
        <v>4.7649122807017545E-2</v>
      </c>
      <c r="K394" s="5">
        <f>4.86133333333333/114</f>
        <v>4.2643274853801143E-2</v>
      </c>
    </row>
    <row r="395" spans="1:11" x14ac:dyDescent="0.15">
      <c r="A395">
        <v>393</v>
      </c>
      <c r="B395" s="5"/>
      <c r="C395" s="5"/>
      <c r="D395" s="5"/>
      <c r="E395" s="5">
        <f>618.449666666667/1112</f>
        <v>0.55615977218225443</v>
      </c>
      <c r="F395" s="5">
        <f>608.779333333333/1112</f>
        <v>0.54746342925659452</v>
      </c>
      <c r="G395" s="5"/>
      <c r="H395" s="5"/>
      <c r="I395" s="5"/>
      <c r="J395" s="5">
        <f>5.48566666666667/114</f>
        <v>4.8119883040935701E-2</v>
      </c>
      <c r="K395" s="5">
        <f>4.872/114</f>
        <v>4.2736842105263156E-2</v>
      </c>
    </row>
    <row r="396" spans="1:11" x14ac:dyDescent="0.15">
      <c r="A396">
        <v>394</v>
      </c>
      <c r="B396" s="5"/>
      <c r="C396" s="5"/>
      <c r="D396" s="5"/>
      <c r="E396" s="5">
        <f>619.125333333333/1112</f>
        <v>0.55676738609112675</v>
      </c>
      <c r="F396" s="5">
        <f>609.214666666667/1112</f>
        <v>0.54785491606714654</v>
      </c>
      <c r="G396" s="5"/>
      <c r="H396" s="5"/>
      <c r="I396" s="5"/>
      <c r="J396" s="5">
        <f>5.46933333333333/114</f>
        <v>4.7976608187134472E-2</v>
      </c>
      <c r="K396" s="5">
        <f>4.86133333333333/114</f>
        <v>4.2643274853801143E-2</v>
      </c>
    </row>
    <row r="397" spans="1:11" x14ac:dyDescent="0.15">
      <c r="A397">
        <v>395</v>
      </c>
      <c r="B397" s="5"/>
      <c r="C397" s="5"/>
      <c r="D397" s="5"/>
      <c r="E397" s="5">
        <f>619.368/1112</f>
        <v>0.5569856115107914</v>
      </c>
      <c r="F397" s="5">
        <f>609.510666666667/1112</f>
        <v>0.54812110311750628</v>
      </c>
      <c r="G397" s="5"/>
      <c r="H397" s="5"/>
      <c r="I397" s="5"/>
      <c r="J397" s="5">
        <f>5.484/114</f>
        <v>4.8105263157894734E-2</v>
      </c>
      <c r="K397" s="5">
        <f>4.909/114</f>
        <v>4.3061403508771925E-2</v>
      </c>
    </row>
    <row r="398" spans="1:11" x14ac:dyDescent="0.15">
      <c r="A398">
        <v>396</v>
      </c>
      <c r="B398" s="5"/>
      <c r="C398" s="5"/>
      <c r="D398" s="5"/>
      <c r="E398" s="5">
        <f>620.204/1112</f>
        <v>0.55773741007194244</v>
      </c>
      <c r="F398" s="5">
        <f>610.085666666667/1112</f>
        <v>0.54863818944844145</v>
      </c>
      <c r="G398" s="5"/>
      <c r="H398" s="5"/>
      <c r="I398" s="5"/>
      <c r="J398" s="5">
        <f>5.47533333333333/114</f>
        <v>4.8029239766081838E-2</v>
      </c>
      <c r="K398" s="5">
        <f>4.93/114</f>
        <v>4.3245614035087719E-2</v>
      </c>
    </row>
    <row r="399" spans="1:11" x14ac:dyDescent="0.15">
      <c r="A399">
        <v>397</v>
      </c>
      <c r="B399" s="5"/>
      <c r="C399" s="5"/>
      <c r="D399" s="5"/>
      <c r="E399" s="5">
        <f>620.340666666667/1112</f>
        <v>0.5578603117505998</v>
      </c>
      <c r="F399" s="5">
        <f>610.839/1112</f>
        <v>0.54931564748201445</v>
      </c>
      <c r="G399" s="5"/>
      <c r="H399" s="5"/>
      <c r="I399" s="5"/>
      <c r="J399" s="5">
        <f>5.508/114</f>
        <v>4.8315789473684208E-2</v>
      </c>
      <c r="K399" s="5">
        <f>4.89766666666667/114</f>
        <v>4.2961988304093597E-2</v>
      </c>
    </row>
    <row r="400" spans="1:11" x14ac:dyDescent="0.15">
      <c r="A400">
        <v>398</v>
      </c>
      <c r="B400" s="5"/>
      <c r="C400" s="5"/>
      <c r="D400" s="5"/>
      <c r="E400" s="5">
        <f>621.083333333333/1112</f>
        <v>0.55852817745803329</v>
      </c>
      <c r="F400" s="5">
        <f>611.408333333333/1112</f>
        <v>0.54982763788968791</v>
      </c>
      <c r="G400" s="5"/>
      <c r="H400" s="5"/>
      <c r="I400" s="5"/>
      <c r="J400" s="5">
        <f>5.526/114</f>
        <v>4.8473684210526315E-2</v>
      </c>
      <c r="K400" s="5">
        <f>4.939/114</f>
        <v>4.3324561403508773E-2</v>
      </c>
    </row>
    <row r="401" spans="1:11" x14ac:dyDescent="0.15">
      <c r="A401">
        <v>399</v>
      </c>
      <c r="B401" s="5"/>
      <c r="C401" s="5"/>
      <c r="D401" s="5"/>
      <c r="E401" s="5">
        <f>621.560333333333/1112</f>
        <v>0.55895713429256566</v>
      </c>
      <c r="F401" s="5">
        <f>611.845333333333/1112</f>
        <v>0.55022062350119871</v>
      </c>
      <c r="G401" s="5"/>
      <c r="H401" s="5"/>
      <c r="I401" s="5"/>
      <c r="J401" s="5">
        <f>5.505/114</f>
        <v>4.8289473684210528E-2</v>
      </c>
      <c r="K401" s="5">
        <f>4.97833333333333/114</f>
        <v>4.3669590643274823E-2</v>
      </c>
    </row>
    <row r="402" spans="1:11" x14ac:dyDescent="0.15">
      <c r="A402">
        <v>400</v>
      </c>
      <c r="B402" s="5"/>
      <c r="C402" s="5"/>
      <c r="D402" s="5"/>
      <c r="E402" s="5">
        <f>621.994666666667/1112</f>
        <v>0.55934772182254222</v>
      </c>
      <c r="F402" s="5">
        <f>611.963666666667/1112</f>
        <v>0.55032703836930486</v>
      </c>
      <c r="G402" s="5"/>
      <c r="H402" s="5"/>
      <c r="I402" s="5"/>
      <c r="J402" s="5">
        <f>5.551/114</f>
        <v>4.869298245614035E-2</v>
      </c>
      <c r="K402" s="5">
        <f>4.972/114</f>
        <v>4.3614035087719299E-2</v>
      </c>
    </row>
    <row r="403" spans="1:11" x14ac:dyDescent="0.15">
      <c r="A403">
        <v>401</v>
      </c>
      <c r="B403" s="5"/>
      <c r="C403" s="5"/>
      <c r="D403" s="5"/>
      <c r="E403" s="5">
        <f>622.548333333333/1112</f>
        <v>0.55984562350119871</v>
      </c>
      <c r="F403" s="5">
        <f>612.732333333333/1112</f>
        <v>0.55101828537170239</v>
      </c>
      <c r="G403" s="5"/>
      <c r="H403" s="5"/>
      <c r="I403" s="5"/>
      <c r="J403" s="5">
        <f>5.57066666666667/114</f>
        <v>4.8865497076023424E-2</v>
      </c>
      <c r="K403" s="5">
        <f>4.94633333333333/114</f>
        <v>4.3388888888888859E-2</v>
      </c>
    </row>
    <row r="404" spans="1:11" x14ac:dyDescent="0.15">
      <c r="A404">
        <v>402</v>
      </c>
      <c r="B404" s="5"/>
      <c r="C404" s="5"/>
      <c r="D404" s="5"/>
      <c r="E404" s="5">
        <f>623.17/1112</f>
        <v>0.56040467625899282</v>
      </c>
      <c r="F404" s="5">
        <f>613.169/1112</f>
        <v>0.55141097122302152</v>
      </c>
      <c r="G404" s="5"/>
      <c r="H404" s="5"/>
      <c r="I404" s="5"/>
      <c r="J404" s="5">
        <f>5.55933333333333/114</f>
        <v>4.8766081871345006E-2</v>
      </c>
      <c r="K404" s="5">
        <f>4.96633333333333/114</f>
        <v>4.356432748538009E-2</v>
      </c>
    </row>
    <row r="405" spans="1:11" x14ac:dyDescent="0.15">
      <c r="A405">
        <v>403</v>
      </c>
      <c r="B405" s="5"/>
      <c r="C405" s="5"/>
      <c r="D405" s="5"/>
      <c r="E405" s="5">
        <f>623.492666666667/1112</f>
        <v>0.5606948441247005</v>
      </c>
      <c r="F405" s="5">
        <f>613.591/1112</f>
        <v>0.55179046762589934</v>
      </c>
      <c r="G405" s="5"/>
      <c r="H405" s="5"/>
      <c r="I405" s="5"/>
      <c r="J405" s="5">
        <f>5.576/114</f>
        <v>4.8912280701754379E-2</v>
      </c>
      <c r="K405" s="5">
        <f>4.96366666666667/114</f>
        <v>4.3540935672514651E-2</v>
      </c>
    </row>
    <row r="406" spans="1:11" x14ac:dyDescent="0.15">
      <c r="A406">
        <v>404</v>
      </c>
      <c r="B406" s="5"/>
      <c r="C406" s="5"/>
      <c r="D406" s="5"/>
      <c r="E406" s="5">
        <f>623.965333333333/1112</f>
        <v>0.56111990407673829</v>
      </c>
      <c r="F406" s="5">
        <f>614.284/1112</f>
        <v>0.5524136690647482</v>
      </c>
      <c r="G406" s="5"/>
      <c r="H406" s="5"/>
      <c r="I406" s="5"/>
      <c r="J406" s="5">
        <f>5.582/114</f>
        <v>4.8964912280701753E-2</v>
      </c>
      <c r="K406" s="5">
        <f>4.976/114</f>
        <v>4.3649122807017542E-2</v>
      </c>
    </row>
    <row r="407" spans="1:11" x14ac:dyDescent="0.15">
      <c r="A407">
        <v>405</v>
      </c>
      <c r="B407" s="5"/>
      <c r="C407" s="5"/>
      <c r="D407" s="5"/>
      <c r="E407" s="5">
        <f>624.742666666667/1112</f>
        <v>0.56181894484412498</v>
      </c>
      <c r="F407" s="5">
        <f>614.824333333333/1112</f>
        <v>0.55289958033573117</v>
      </c>
      <c r="G407" s="5"/>
      <c r="H407" s="5"/>
      <c r="I407" s="5"/>
      <c r="J407" s="5">
        <f>5.594/114</f>
        <v>4.9070175438596493E-2</v>
      </c>
      <c r="K407" s="5">
        <f>5.02866666666667/114</f>
        <v>4.4111111111111136E-2</v>
      </c>
    </row>
    <row r="408" spans="1:11" x14ac:dyDescent="0.15">
      <c r="A408">
        <v>406</v>
      </c>
      <c r="B408" s="5"/>
      <c r="C408" s="5"/>
      <c r="D408" s="5"/>
      <c r="E408" s="5">
        <f>624.979/1112</f>
        <v>0.56203147482014393</v>
      </c>
      <c r="F408" s="5">
        <f>615.462333333333/1112</f>
        <v>0.55347332134292537</v>
      </c>
      <c r="G408" s="5"/>
      <c r="H408" s="5"/>
      <c r="I408" s="5"/>
      <c r="J408" s="5">
        <f>5.615/114</f>
        <v>4.925438596491228E-2</v>
      </c>
      <c r="K408" s="5">
        <f>5.01933333333333/114</f>
        <v>4.4029239766081842E-2</v>
      </c>
    </row>
    <row r="409" spans="1:11" x14ac:dyDescent="0.15">
      <c r="A409">
        <v>407</v>
      </c>
      <c r="B409" s="5"/>
      <c r="C409" s="5"/>
      <c r="D409" s="5"/>
      <c r="E409" s="5">
        <f>625.404/1112</f>
        <v>0.56241366906474821</v>
      </c>
      <c r="F409" s="5">
        <f>615.66/1112</f>
        <v>0.55365107913669065</v>
      </c>
      <c r="G409" s="5"/>
      <c r="H409" s="5"/>
      <c r="I409" s="5"/>
      <c r="J409" s="5">
        <f>5.62833333333333/114</f>
        <v>4.937134502923974E-2</v>
      </c>
      <c r="K409" s="5">
        <f>5.03033333333333/114</f>
        <v>4.412573099415202E-2</v>
      </c>
    </row>
    <row r="410" spans="1:11" x14ac:dyDescent="0.15">
      <c r="A410">
        <v>408</v>
      </c>
      <c r="B410" s="5"/>
      <c r="C410" s="5"/>
      <c r="D410" s="5"/>
      <c r="E410" s="5">
        <f>625.934333333333/1112</f>
        <v>0.56289058752997578</v>
      </c>
      <c r="F410" s="5">
        <f>616.073/1112</f>
        <v>0.55402248201438842</v>
      </c>
      <c r="G410" s="5"/>
      <c r="H410" s="5"/>
      <c r="I410" s="5"/>
      <c r="J410" s="5">
        <f>5.61533333333333/114</f>
        <v>4.9257309941520444E-2</v>
      </c>
      <c r="K410" s="5">
        <f>4.98/114</f>
        <v>4.3684210526315791E-2</v>
      </c>
    </row>
    <row r="411" spans="1:11" x14ac:dyDescent="0.15">
      <c r="A411">
        <v>409</v>
      </c>
      <c r="B411" s="5"/>
      <c r="C411" s="5"/>
      <c r="D411" s="5"/>
      <c r="E411" s="5">
        <f>626.333/1112</f>
        <v>0.56324910071942447</v>
      </c>
      <c r="F411" s="5">
        <f>616.816/1112</f>
        <v>0.55469064748201447</v>
      </c>
      <c r="G411" s="5"/>
      <c r="H411" s="5"/>
      <c r="I411" s="5"/>
      <c r="J411" s="5">
        <f>5.64566666666667/114</f>
        <v>4.9523391812865525E-2</v>
      </c>
      <c r="K411" s="5">
        <f>5.05433333333333/114</f>
        <v>4.4336257309941486E-2</v>
      </c>
    </row>
    <row r="412" spans="1:11" x14ac:dyDescent="0.15">
      <c r="A412">
        <v>410</v>
      </c>
      <c r="B412" s="5"/>
      <c r="C412" s="5"/>
      <c r="D412" s="5"/>
      <c r="E412" s="5">
        <f>627.197/1112</f>
        <v>0.56402607913669067</v>
      </c>
      <c r="F412" s="5">
        <f>617.440666666667/1112</f>
        <v>0.55525239808153504</v>
      </c>
      <c r="G412" s="5"/>
      <c r="H412" s="5"/>
      <c r="I412" s="5"/>
      <c r="J412" s="5">
        <f>5.654/114</f>
        <v>4.9596491228070173E-2</v>
      </c>
      <c r="K412" s="5">
        <f>5.039/114</f>
        <v>4.4201754385964909E-2</v>
      </c>
    </row>
    <row r="413" spans="1:11" x14ac:dyDescent="0.15">
      <c r="A413">
        <v>411</v>
      </c>
      <c r="B413" s="5"/>
      <c r="C413" s="5"/>
      <c r="D413" s="5"/>
      <c r="E413" s="5">
        <f>627.340333333333/1112</f>
        <v>0.5641549760191843</v>
      </c>
      <c r="F413" s="5">
        <f>617.967333333333/1112</f>
        <v>0.55572601918465203</v>
      </c>
      <c r="G413" s="5"/>
      <c r="H413" s="5"/>
      <c r="I413" s="5"/>
      <c r="J413" s="5">
        <f>5.67166666666667/114</f>
        <v>4.975146198830413E-2</v>
      </c>
      <c r="K413" s="5">
        <f>5.113/114</f>
        <v>4.4850877192982461E-2</v>
      </c>
    </row>
    <row r="414" spans="1:11" x14ac:dyDescent="0.15">
      <c r="A414">
        <v>412</v>
      </c>
      <c r="B414" s="5"/>
      <c r="C414" s="5"/>
      <c r="D414" s="5"/>
      <c r="E414" s="5">
        <f>628.016/1112</f>
        <v>0.5647625899280575</v>
      </c>
      <c r="F414" s="5">
        <f>618.235333333333/1112</f>
        <v>0.5559670263788965</v>
      </c>
      <c r="G414" s="5"/>
      <c r="H414" s="5"/>
      <c r="I414" s="5"/>
      <c r="J414" s="5">
        <f>5.659/114</f>
        <v>4.9640350877192978E-2</v>
      </c>
      <c r="K414" s="5">
        <f>5.08466666666667/114</f>
        <v>4.4602339181286574E-2</v>
      </c>
    </row>
    <row r="415" spans="1:11" x14ac:dyDescent="0.15">
      <c r="A415">
        <v>413</v>
      </c>
      <c r="B415" s="5"/>
      <c r="C415" s="5"/>
      <c r="D415" s="5"/>
      <c r="E415" s="5">
        <f>628.617333333333/1112</f>
        <v>0.56530335731414838</v>
      </c>
      <c r="F415" s="5">
        <f>618.723/1112</f>
        <v>0.55640557553956826</v>
      </c>
      <c r="G415" s="5"/>
      <c r="H415" s="5"/>
      <c r="I415" s="5"/>
      <c r="J415" s="5">
        <f>5.68166666666667/114</f>
        <v>4.9839181286549739E-2</v>
      </c>
      <c r="K415" s="5">
        <f>5.09566666666667/114</f>
        <v>4.4698830409356752E-2</v>
      </c>
    </row>
    <row r="416" spans="1:11" x14ac:dyDescent="0.15">
      <c r="A416">
        <v>414</v>
      </c>
      <c r="B416" s="5"/>
      <c r="C416" s="5"/>
      <c r="D416" s="5"/>
      <c r="E416" s="5">
        <f>628.882333333333/1112</f>
        <v>0.56554166666666639</v>
      </c>
      <c r="F416" s="5">
        <f>619.104/1112</f>
        <v>0.55674820143884896</v>
      </c>
      <c r="G416" s="5"/>
      <c r="H416" s="5"/>
      <c r="I416" s="5"/>
      <c r="J416" s="5">
        <f>5.72466666666667/114</f>
        <v>5.0216374269005881E-2</v>
      </c>
      <c r="K416" s="5">
        <f>5.10066666666667/114</f>
        <v>4.4742690058479556E-2</v>
      </c>
    </row>
    <row r="417" spans="1:11" x14ac:dyDescent="0.15">
      <c r="A417">
        <v>415</v>
      </c>
      <c r="B417" s="5"/>
      <c r="C417" s="5"/>
      <c r="D417" s="5"/>
      <c r="E417" s="5">
        <f>629.275666666667/1112</f>
        <v>0.56589538369304582</v>
      </c>
      <c r="F417" s="5">
        <f>619.634666666667/1112</f>
        <v>0.55722541966426897</v>
      </c>
      <c r="G417" s="5"/>
      <c r="H417" s="5"/>
      <c r="I417" s="5"/>
      <c r="J417" s="5">
        <f>5.724/114</f>
        <v>5.0210526315789476E-2</v>
      </c>
      <c r="K417" s="5">
        <f>5.139/114</f>
        <v>4.5078947368421052E-2</v>
      </c>
    </row>
    <row r="418" spans="1:11" x14ac:dyDescent="0.15">
      <c r="A418">
        <v>416</v>
      </c>
      <c r="B418" s="5"/>
      <c r="C418" s="5"/>
      <c r="D418" s="5"/>
      <c r="E418" s="5">
        <f>629.865333333333/1112</f>
        <v>0.56642565947242174</v>
      </c>
      <c r="F418" s="5">
        <f>620.018/1112</f>
        <v>0.55757014388489212</v>
      </c>
      <c r="G418" s="5"/>
      <c r="H418" s="5"/>
      <c r="I418" s="5"/>
      <c r="J418" s="5">
        <f>5.73966666666667/114</f>
        <v>5.0347953216374301E-2</v>
      </c>
      <c r="K418" s="5">
        <f>5.13933333333333/114</f>
        <v>4.5081871345029216E-2</v>
      </c>
    </row>
    <row r="419" spans="1:11" x14ac:dyDescent="0.15">
      <c r="A419">
        <v>417</v>
      </c>
      <c r="B419" s="5"/>
      <c r="C419" s="5"/>
      <c r="D419" s="5"/>
      <c r="E419" s="5">
        <f>630.474666666667/1112</f>
        <v>0.56697362110311778</v>
      </c>
      <c r="F419" s="5">
        <f>620.912333333333/1112</f>
        <v>0.55837440047961595</v>
      </c>
      <c r="G419" s="5"/>
      <c r="H419" s="5"/>
      <c r="I419" s="5"/>
      <c r="J419" s="5">
        <f>5.71766666666667/114</f>
        <v>5.0154970760233945E-2</v>
      </c>
      <c r="K419" s="5">
        <f>5.13833333333333/114</f>
        <v>4.5073099415204647E-2</v>
      </c>
    </row>
    <row r="420" spans="1:11" x14ac:dyDescent="0.15">
      <c r="A420">
        <v>418</v>
      </c>
      <c r="B420" s="5"/>
      <c r="C420" s="5"/>
      <c r="D420" s="5"/>
      <c r="E420" s="5">
        <f>630.769666666667/1112</f>
        <v>0.56723890887290196</v>
      </c>
      <c r="F420" s="5">
        <f>620.95/1112</f>
        <v>0.55840827338129495</v>
      </c>
      <c r="G420" s="5"/>
      <c r="H420" s="5"/>
      <c r="I420" s="5"/>
      <c r="J420" s="5">
        <f>5.72866666666667/114</f>
        <v>5.0251461988304123E-2</v>
      </c>
      <c r="K420" s="5">
        <f>5.141/114</f>
        <v>4.5096491228070176E-2</v>
      </c>
    </row>
    <row r="421" spans="1:11" x14ac:dyDescent="0.15">
      <c r="A421">
        <v>419</v>
      </c>
      <c r="B421" s="5"/>
      <c r="C421" s="5"/>
      <c r="D421" s="5"/>
      <c r="E421" s="5">
        <f>631.549666666667/1112</f>
        <v>0.56794034772182289</v>
      </c>
      <c r="F421" s="5">
        <f>621.508666666667/1112</f>
        <v>0.55891067146283002</v>
      </c>
      <c r="G421" s="5"/>
      <c r="H421" s="5"/>
      <c r="I421" s="5"/>
      <c r="J421" s="5">
        <f>5.75633333333333/114</f>
        <v>5.0494152046783598E-2</v>
      </c>
      <c r="K421" s="5">
        <f>5.13366666666667/114</f>
        <v>4.503216374269009E-2</v>
      </c>
    </row>
    <row r="422" spans="1:11" x14ac:dyDescent="0.15">
      <c r="A422">
        <v>420</v>
      </c>
      <c r="B422" s="5"/>
      <c r="C422" s="5"/>
      <c r="D422" s="5"/>
      <c r="E422" s="5">
        <f>631.782/1112</f>
        <v>0.56814928057553959</v>
      </c>
      <c r="F422" s="5">
        <f>622.073666666667/1112</f>
        <v>0.55941876498800991</v>
      </c>
      <c r="G422" s="5"/>
      <c r="H422" s="5"/>
      <c r="I422" s="5"/>
      <c r="J422" s="5">
        <f>5.75133333333333/114</f>
        <v>5.0450292397660787E-2</v>
      </c>
      <c r="K422" s="5">
        <f>5.131/114</f>
        <v>4.5008771929824561E-2</v>
      </c>
    </row>
    <row r="423" spans="1:11" x14ac:dyDescent="0.15">
      <c r="A423">
        <v>421</v>
      </c>
      <c r="B423" s="5"/>
      <c r="C423" s="5"/>
      <c r="D423" s="5"/>
      <c r="E423" s="5">
        <f>632.312/1112</f>
        <v>0.5686258992805755</v>
      </c>
      <c r="F423" s="5">
        <f>622.48/1112</f>
        <v>0.55978417266187053</v>
      </c>
      <c r="G423" s="5"/>
      <c r="H423" s="5"/>
      <c r="I423" s="5"/>
      <c r="J423" s="5">
        <f>5.794/114</f>
        <v>5.0824561403508765E-2</v>
      </c>
      <c r="K423" s="5">
        <f>5.198/114</f>
        <v>4.5596491228070177E-2</v>
      </c>
    </row>
    <row r="424" spans="1:11" x14ac:dyDescent="0.15">
      <c r="A424">
        <v>422</v>
      </c>
      <c r="B424" s="5"/>
      <c r="C424" s="5"/>
      <c r="D424" s="5"/>
      <c r="E424" s="5">
        <f>632.831333333333/1112</f>
        <v>0.56909292565947212</v>
      </c>
      <c r="F424" s="5">
        <f>622.925/1112</f>
        <v>0.5601843525179856</v>
      </c>
      <c r="G424" s="5"/>
      <c r="H424" s="5"/>
      <c r="I424" s="5"/>
      <c r="J424" s="5">
        <f>5.78766666666667/114</f>
        <v>5.0769005847953248E-2</v>
      </c>
      <c r="K424" s="5">
        <f>5.18/114</f>
        <v>4.543859649122807E-2</v>
      </c>
    </row>
    <row r="425" spans="1:11" x14ac:dyDescent="0.15">
      <c r="A425">
        <v>423</v>
      </c>
      <c r="B425" s="5"/>
      <c r="C425" s="5"/>
      <c r="D425" s="5"/>
      <c r="E425" s="5">
        <f>633.087666666667/1112</f>
        <v>0.56932344124700274</v>
      </c>
      <c r="F425" s="5">
        <f>623.655333333333/1112</f>
        <v>0.56084112709832112</v>
      </c>
      <c r="G425" s="5"/>
      <c r="H425" s="5"/>
      <c r="I425" s="5"/>
      <c r="J425" s="5">
        <f>5.81133333333333/114</f>
        <v>5.0976608187134474E-2</v>
      </c>
      <c r="K425" s="5">
        <f>5.20233333333333/114</f>
        <v>4.5634502923976583E-2</v>
      </c>
    </row>
    <row r="426" spans="1:11" x14ac:dyDescent="0.15">
      <c r="A426">
        <v>424</v>
      </c>
      <c r="B426" s="5"/>
      <c r="C426" s="5"/>
      <c r="D426" s="5"/>
      <c r="E426" s="5">
        <f>633.729333333333/1112</f>
        <v>0.56990047961630663</v>
      </c>
      <c r="F426" s="5">
        <f>624.383/1112</f>
        <v>0.5614955035971223</v>
      </c>
      <c r="G426" s="5"/>
      <c r="H426" s="5"/>
      <c r="I426" s="5"/>
      <c r="J426" s="5">
        <f>5.797/114</f>
        <v>5.0850877192982452E-2</v>
      </c>
      <c r="K426" s="5">
        <f>5.22266666666667/114</f>
        <v>4.5812865497076048E-2</v>
      </c>
    </row>
    <row r="427" spans="1:11" x14ac:dyDescent="0.15">
      <c r="A427">
        <v>425</v>
      </c>
      <c r="B427" s="5"/>
      <c r="C427" s="5"/>
      <c r="D427" s="5"/>
      <c r="E427" s="5">
        <f>634.184333333333/1112</f>
        <v>0.5703096522781772</v>
      </c>
      <c r="F427" s="5">
        <f>624.669/1112</f>
        <v>0.56175269784172666</v>
      </c>
      <c r="G427" s="5"/>
      <c r="H427" s="5"/>
      <c r="I427" s="5"/>
      <c r="J427" s="5">
        <f>5.83233333333333/114</f>
        <v>5.1160818713450261E-2</v>
      </c>
      <c r="K427" s="5">
        <f>5.219/114</f>
        <v>4.578070175438597E-2</v>
      </c>
    </row>
    <row r="428" spans="1:11" x14ac:dyDescent="0.15">
      <c r="A428">
        <v>426</v>
      </c>
      <c r="B428" s="5"/>
      <c r="C428" s="5"/>
      <c r="D428" s="5"/>
      <c r="E428" s="5">
        <f>634.474666666667/1112</f>
        <v>0.57057074340527603</v>
      </c>
      <c r="F428" s="5">
        <f>624.944/1112</f>
        <v>0.56199999999999994</v>
      </c>
      <c r="G428" s="5"/>
      <c r="H428" s="5"/>
      <c r="I428" s="5"/>
      <c r="J428" s="5">
        <f>5.84266666666667/114</f>
        <v>5.1251461988304124E-2</v>
      </c>
      <c r="K428" s="5">
        <f>5.20933333333333/114</f>
        <v>4.5695906432748505E-2</v>
      </c>
    </row>
    <row r="429" spans="1:11" x14ac:dyDescent="0.15">
      <c r="A429">
        <v>427</v>
      </c>
      <c r="B429" s="5"/>
      <c r="C429" s="5"/>
      <c r="D429" s="5"/>
      <c r="E429" s="5">
        <f>635.111333333333/1112</f>
        <v>0.57114328537170234</v>
      </c>
      <c r="F429" s="5">
        <f>625.187666666667/1112</f>
        <v>0.56221912470024016</v>
      </c>
      <c r="G429" s="5"/>
      <c r="H429" s="5"/>
      <c r="I429" s="5"/>
      <c r="J429" s="5">
        <f>5.85533333333333/114</f>
        <v>5.1362573099415172E-2</v>
      </c>
      <c r="K429" s="5">
        <f>5.264/114</f>
        <v>4.6175438596491231E-2</v>
      </c>
    </row>
    <row r="430" spans="1:11" x14ac:dyDescent="0.15">
      <c r="A430">
        <v>428</v>
      </c>
      <c r="B430" s="5"/>
      <c r="C430" s="5"/>
      <c r="D430" s="5"/>
      <c r="E430" s="5">
        <f>635.583/1112</f>
        <v>0.57156744604316545</v>
      </c>
      <c r="F430" s="5">
        <f>625.846/1112</f>
        <v>0.56281115107913671</v>
      </c>
      <c r="G430" s="5"/>
      <c r="H430" s="5"/>
      <c r="I430" s="5"/>
      <c r="J430" s="5">
        <f>5.86733333333333/114</f>
        <v>5.1467836257309912E-2</v>
      </c>
      <c r="K430" s="5">
        <f>5.257/114</f>
        <v>4.6114035087719295E-2</v>
      </c>
    </row>
    <row r="431" spans="1:11" x14ac:dyDescent="0.15">
      <c r="A431">
        <v>429</v>
      </c>
      <c r="B431" s="5"/>
      <c r="C431" s="5"/>
      <c r="D431" s="5"/>
      <c r="E431" s="5">
        <f>635.929/1112</f>
        <v>0.57187859712230216</v>
      </c>
      <c r="F431" s="5">
        <f>626.247666666667/1112</f>
        <v>0.56317236211031207</v>
      </c>
      <c r="G431" s="5"/>
      <c r="H431" s="5"/>
      <c r="I431" s="5"/>
      <c r="J431" s="5">
        <f>5.881/114</f>
        <v>5.1587719298245613E-2</v>
      </c>
      <c r="K431" s="5">
        <f>5.253/114</f>
        <v>4.6078947368421053E-2</v>
      </c>
    </row>
    <row r="432" spans="1:11" x14ac:dyDescent="0.15">
      <c r="A432">
        <v>430</v>
      </c>
      <c r="B432" s="5"/>
      <c r="C432" s="5"/>
      <c r="D432" s="5"/>
      <c r="E432" s="5">
        <f>636.404666666667/1112</f>
        <v>0.57230635491606752</v>
      </c>
      <c r="F432" s="5">
        <f>627.085/1112</f>
        <v>0.56392535971223023</v>
      </c>
      <c r="G432" s="5"/>
      <c r="H432" s="5"/>
      <c r="I432" s="5"/>
      <c r="J432" s="5">
        <f>5.899/114</f>
        <v>5.174561403508772E-2</v>
      </c>
      <c r="K432" s="5">
        <f>5.29166666666667/114</f>
        <v>4.6418128654970789E-2</v>
      </c>
    </row>
    <row r="433" spans="1:11" x14ac:dyDescent="0.15">
      <c r="A433">
        <v>431</v>
      </c>
      <c r="B433" s="5"/>
      <c r="C433" s="5"/>
      <c r="D433" s="5"/>
      <c r="E433" s="5">
        <f>636.896/1112</f>
        <v>0.57274820143884886</v>
      </c>
      <c r="F433" s="5">
        <f>627.248333333333/1112</f>
        <v>0.56407224220623475</v>
      </c>
      <c r="G433" s="5"/>
      <c r="H433" s="5"/>
      <c r="I433" s="5"/>
      <c r="J433" s="5">
        <f>5.895/114</f>
        <v>5.1710526315789471E-2</v>
      </c>
      <c r="K433" s="5">
        <f>5.27166666666667/114</f>
        <v>4.6242690058479564E-2</v>
      </c>
    </row>
    <row r="434" spans="1:11" x14ac:dyDescent="0.15">
      <c r="A434">
        <v>432</v>
      </c>
      <c r="B434" s="5"/>
      <c r="C434" s="5"/>
      <c r="D434" s="5"/>
      <c r="E434" s="5">
        <f>637.466333333333/1112</f>
        <v>0.573261091127098</v>
      </c>
      <c r="F434" s="5">
        <f>627.687/1112</f>
        <v>0.56446672661870501</v>
      </c>
      <c r="G434" s="5"/>
      <c r="H434" s="5"/>
      <c r="I434" s="5"/>
      <c r="J434" s="5">
        <f>5.918/114</f>
        <v>5.1912280701754389E-2</v>
      </c>
      <c r="K434" s="5">
        <f>5.324/114</f>
        <v>4.6701754385964911E-2</v>
      </c>
    </row>
    <row r="435" spans="1:11" x14ac:dyDescent="0.15">
      <c r="A435">
        <v>433</v>
      </c>
      <c r="B435" s="5"/>
      <c r="C435" s="5"/>
      <c r="D435" s="5"/>
      <c r="E435" s="5">
        <f>637.87/1112</f>
        <v>0.57362410071942449</v>
      </c>
      <c r="F435" s="5">
        <f>627.854333333333/1112</f>
        <v>0.56461720623501166</v>
      </c>
      <c r="G435" s="5"/>
      <c r="H435" s="5"/>
      <c r="I435" s="5"/>
      <c r="J435" s="5">
        <f>5.91533333333333/114</f>
        <v>5.1888888888888859E-2</v>
      </c>
      <c r="K435" s="5">
        <f>5.31533333333333/114</f>
        <v>4.6625730994152015E-2</v>
      </c>
    </row>
    <row r="436" spans="1:11" x14ac:dyDescent="0.15">
      <c r="A436">
        <v>434</v>
      </c>
      <c r="B436" s="5"/>
      <c r="C436" s="5"/>
      <c r="D436" s="5"/>
      <c r="E436" s="5">
        <f>638.337666666667/1112</f>
        <v>0.57404466426858547</v>
      </c>
      <c r="F436" s="5">
        <f>628.571333333333/1112</f>
        <v>0.56526199040767355</v>
      </c>
      <c r="G436" s="5"/>
      <c r="H436" s="5"/>
      <c r="I436" s="5"/>
      <c r="J436" s="5">
        <f>5.93666666666667/114</f>
        <v>5.2076023391812894E-2</v>
      </c>
      <c r="K436" s="5">
        <f>5.307/114</f>
        <v>4.6552631578947373E-2</v>
      </c>
    </row>
    <row r="437" spans="1:11" x14ac:dyDescent="0.15">
      <c r="A437">
        <v>435</v>
      </c>
      <c r="B437" s="5"/>
      <c r="C437" s="5"/>
      <c r="D437" s="5"/>
      <c r="E437" s="5">
        <f>638.683333333333/1112</f>
        <v>0.57435551558752973</v>
      </c>
      <c r="F437" s="5">
        <f>629.227666666667/1112</f>
        <v>0.56585221822541998</v>
      </c>
      <c r="G437" s="5"/>
      <c r="H437" s="5"/>
      <c r="I437" s="5"/>
      <c r="J437" s="5">
        <f>5.94766666666667/114</f>
        <v>5.2172514619883072E-2</v>
      </c>
      <c r="K437" s="5">
        <f>5.33733333333333/114</f>
        <v>4.6818713450292371E-2</v>
      </c>
    </row>
    <row r="438" spans="1:11" x14ac:dyDescent="0.15">
      <c r="A438">
        <v>436</v>
      </c>
      <c r="B438" s="5"/>
      <c r="C438" s="5"/>
      <c r="D438" s="5"/>
      <c r="E438" s="5">
        <f>639.180333333333/1112</f>
        <v>0.57480245803357288</v>
      </c>
      <c r="F438" s="5">
        <f>629.685666666667/1112</f>
        <v>0.56626408872901701</v>
      </c>
      <c r="G438" s="5"/>
      <c r="H438" s="5"/>
      <c r="I438" s="5"/>
      <c r="J438" s="5">
        <f>5.95833333333333/114</f>
        <v>5.2266081871345002E-2</v>
      </c>
      <c r="K438" s="5">
        <f>5.29466666666667/114</f>
        <v>4.6444444444444469E-2</v>
      </c>
    </row>
    <row r="439" spans="1:11" x14ac:dyDescent="0.15">
      <c r="A439">
        <v>437</v>
      </c>
      <c r="B439" s="5"/>
      <c r="C439" s="5"/>
      <c r="D439" s="5"/>
      <c r="E439" s="5">
        <f>639.707/1112</f>
        <v>0.57527607913669065</v>
      </c>
      <c r="F439" s="5">
        <f>630.21/1112</f>
        <v>0.56673561151079144</v>
      </c>
      <c r="G439" s="5"/>
      <c r="H439" s="5"/>
      <c r="I439" s="5"/>
      <c r="J439" s="5">
        <f>5.95933333333333/114</f>
        <v>5.2274853801169557E-2</v>
      </c>
      <c r="K439" s="5">
        <f>5.345/114</f>
        <v>4.6885964912280698E-2</v>
      </c>
    </row>
    <row r="440" spans="1:11" x14ac:dyDescent="0.15">
      <c r="A440">
        <v>438</v>
      </c>
      <c r="B440" s="5"/>
      <c r="C440" s="5"/>
      <c r="D440" s="5"/>
      <c r="E440" s="5">
        <f>640.081/1112</f>
        <v>0.57561241007194242</v>
      </c>
      <c r="F440" s="5">
        <f>630.709/1112</f>
        <v>0.5671843525179856</v>
      </c>
      <c r="G440" s="5"/>
      <c r="H440" s="5"/>
      <c r="I440" s="5"/>
      <c r="J440" s="5">
        <f>5.97466666666667/114</f>
        <v>5.2409356725146232E-2</v>
      </c>
      <c r="K440" s="5">
        <f>5.37133333333333/114</f>
        <v>4.7116959064327453E-2</v>
      </c>
    </row>
    <row r="441" spans="1:11" x14ac:dyDescent="0.15">
      <c r="A441">
        <v>439</v>
      </c>
      <c r="B441" s="5"/>
      <c r="C441" s="5"/>
      <c r="D441" s="5"/>
      <c r="E441" s="5">
        <f>640.521/1112</f>
        <v>0.57600809352517979</v>
      </c>
      <c r="F441" s="5">
        <f>630.834666666667/1112</f>
        <v>0.56729736211031201</v>
      </c>
      <c r="G441" s="5"/>
      <c r="H441" s="5"/>
      <c r="I441" s="5"/>
      <c r="J441" s="5">
        <f>5.987/114</f>
        <v>5.2517543859649123E-2</v>
      </c>
      <c r="K441" s="5">
        <f>5.37333333333333/114</f>
        <v>4.7134502923976584E-2</v>
      </c>
    </row>
    <row r="442" spans="1:11" x14ac:dyDescent="0.15">
      <c r="A442">
        <v>440</v>
      </c>
      <c r="B442" s="5"/>
      <c r="C442" s="5"/>
      <c r="D442" s="5"/>
      <c r="E442" s="5">
        <f>641/1112</f>
        <v>0.57643884892086328</v>
      </c>
      <c r="F442" s="5">
        <f>631.232333333333/1112</f>
        <v>0.56765497601918435</v>
      </c>
      <c r="G442" s="5"/>
      <c r="H442" s="5"/>
      <c r="I442" s="5"/>
      <c r="J442" s="5">
        <f>6/114</f>
        <v>5.2631578947368418E-2</v>
      </c>
      <c r="K442" s="5">
        <f>5.35766666666667/114</f>
        <v>4.6997076023391843E-2</v>
      </c>
    </row>
    <row r="443" spans="1:11" x14ac:dyDescent="0.15">
      <c r="A443">
        <v>441</v>
      </c>
      <c r="B443" s="5"/>
      <c r="C443" s="5"/>
      <c r="D443" s="5"/>
      <c r="E443" s="5"/>
      <c r="F443" s="5">
        <f>632.099666666667/1112</f>
        <v>0.56843495203836958</v>
      </c>
      <c r="G443" s="5"/>
      <c r="H443" s="5"/>
      <c r="I443" s="5"/>
      <c r="J443" s="5"/>
      <c r="K443" s="5">
        <f>5.37633333333333/114</f>
        <v>4.7160818713450257E-2</v>
      </c>
    </row>
    <row r="444" spans="1:11" x14ac:dyDescent="0.15">
      <c r="A444">
        <v>442</v>
      </c>
      <c r="B444" s="5"/>
      <c r="C444" s="5"/>
      <c r="D444" s="5"/>
      <c r="E444" s="5"/>
      <c r="F444" s="5">
        <f>632.171333333333/1112</f>
        <v>0.568499400479616</v>
      </c>
      <c r="G444" s="5"/>
      <c r="H444" s="5"/>
      <c r="I444" s="5"/>
      <c r="J444" s="5"/>
      <c r="K444" s="5">
        <f>5.39266666666667/114</f>
        <v>4.7304093567251487E-2</v>
      </c>
    </row>
    <row r="445" spans="1:11" x14ac:dyDescent="0.15">
      <c r="A445">
        <v>443</v>
      </c>
      <c r="B445" s="5"/>
      <c r="C445" s="5"/>
      <c r="D445" s="5"/>
      <c r="E445" s="5"/>
      <c r="F445" s="5">
        <f>632.683/1112</f>
        <v>0.56895953237410068</v>
      </c>
      <c r="G445" s="5"/>
      <c r="H445" s="5"/>
      <c r="I445" s="5"/>
      <c r="J445" s="5"/>
      <c r="K445" s="5">
        <f>5.39833333333333/114</f>
        <v>4.7353801169590613E-2</v>
      </c>
    </row>
    <row r="446" spans="1:11" x14ac:dyDescent="0.15">
      <c r="A446">
        <v>444</v>
      </c>
      <c r="B446" s="5"/>
      <c r="C446" s="5"/>
      <c r="D446" s="5"/>
      <c r="E446" s="5"/>
      <c r="F446" s="5">
        <f>633.174/1112</f>
        <v>0.56940107913669058</v>
      </c>
      <c r="G446" s="5"/>
      <c r="H446" s="5"/>
      <c r="I446" s="5"/>
      <c r="J446" s="5"/>
      <c r="K446" s="5">
        <f>5.42133333333333/114</f>
        <v>4.7555555555555525E-2</v>
      </c>
    </row>
    <row r="447" spans="1:11" x14ac:dyDescent="0.15">
      <c r="A447">
        <v>445</v>
      </c>
      <c r="B447" s="5"/>
      <c r="C447" s="5"/>
      <c r="D447" s="5"/>
      <c r="E447" s="5"/>
      <c r="F447" s="5">
        <f>633.859666666667/1112</f>
        <v>0.57001768585131918</v>
      </c>
      <c r="G447" s="5"/>
      <c r="H447" s="5"/>
      <c r="I447" s="5"/>
      <c r="J447" s="5"/>
      <c r="K447" s="5">
        <f>5.43166666666667/114</f>
        <v>4.7646198830409388E-2</v>
      </c>
    </row>
    <row r="448" spans="1:11" x14ac:dyDescent="0.15">
      <c r="A448">
        <v>446</v>
      </c>
      <c r="B448" s="5"/>
      <c r="C448" s="5"/>
      <c r="D448" s="5"/>
      <c r="E448" s="5"/>
      <c r="F448" s="5">
        <f>634.110666666667/1112</f>
        <v>0.57024340527577977</v>
      </c>
      <c r="G448" s="5"/>
      <c r="H448" s="5"/>
      <c r="I448" s="5"/>
      <c r="J448" s="5"/>
      <c r="K448" s="5">
        <f>5.416/114</f>
        <v>4.7508771929824563E-2</v>
      </c>
    </row>
    <row r="449" spans="1:11" x14ac:dyDescent="0.15">
      <c r="A449">
        <v>447</v>
      </c>
      <c r="B449" s="5"/>
      <c r="C449" s="5"/>
      <c r="D449" s="5"/>
      <c r="E449" s="5"/>
      <c r="F449" s="5">
        <f>634.524/1112</f>
        <v>0.5706151079136691</v>
      </c>
      <c r="G449" s="5"/>
      <c r="H449" s="5"/>
      <c r="I449" s="5"/>
      <c r="J449" s="5"/>
      <c r="K449" s="5">
        <f>5.42766666666667/114</f>
        <v>4.7611111111111139E-2</v>
      </c>
    </row>
    <row r="450" spans="1:11" x14ac:dyDescent="0.15">
      <c r="A450">
        <v>448</v>
      </c>
      <c r="B450" s="5"/>
      <c r="C450" s="5"/>
      <c r="D450" s="5"/>
      <c r="E450" s="5"/>
      <c r="F450" s="5">
        <f>634.835/1112</f>
        <v>0.57089478417266193</v>
      </c>
      <c r="G450" s="5"/>
      <c r="H450" s="5"/>
      <c r="I450" s="5"/>
      <c r="J450" s="5"/>
      <c r="K450" s="5">
        <f>5.46266666666667/114</f>
        <v>4.791812865497079E-2</v>
      </c>
    </row>
    <row r="451" spans="1:11" x14ac:dyDescent="0.15">
      <c r="A451">
        <v>449</v>
      </c>
      <c r="B451" s="5"/>
      <c r="C451" s="5"/>
      <c r="D451" s="5"/>
      <c r="E451" s="5"/>
      <c r="F451" s="5">
        <f>635.243666666667/1112</f>
        <v>0.571262290167866</v>
      </c>
      <c r="G451" s="5"/>
      <c r="H451" s="5"/>
      <c r="I451" s="5"/>
      <c r="J451" s="5"/>
      <c r="K451" s="5">
        <f>5.46166666666667/114</f>
        <v>4.7909356725146221E-2</v>
      </c>
    </row>
    <row r="452" spans="1:11" x14ac:dyDescent="0.15">
      <c r="A452">
        <v>450</v>
      </c>
      <c r="B452" s="5"/>
      <c r="C452" s="5"/>
      <c r="D452" s="5"/>
      <c r="E452" s="5"/>
      <c r="F452" s="5">
        <f>635.844666666667/1112</f>
        <v>0.57180275779376522</v>
      </c>
      <c r="G452" s="5"/>
      <c r="H452" s="5"/>
      <c r="I452" s="5"/>
      <c r="J452" s="5"/>
      <c r="K452" s="5">
        <f>5.478/114</f>
        <v>4.8052631578947368E-2</v>
      </c>
    </row>
    <row r="453" spans="1:11" x14ac:dyDescent="0.15">
      <c r="A453">
        <v>451</v>
      </c>
      <c r="B453" s="5"/>
      <c r="C453" s="5"/>
      <c r="D453" s="5"/>
      <c r="E453" s="5"/>
      <c r="F453" s="5">
        <f>636.211666666667/1112</f>
        <v>0.57213279376498838</v>
      </c>
      <c r="G453" s="5"/>
      <c r="H453" s="5"/>
      <c r="I453" s="5"/>
      <c r="J453" s="5"/>
      <c r="K453" s="5">
        <f>5.47233333333333/114</f>
        <v>4.8002923976608158E-2</v>
      </c>
    </row>
    <row r="454" spans="1:11" x14ac:dyDescent="0.15">
      <c r="A454">
        <v>452</v>
      </c>
      <c r="B454" s="5"/>
      <c r="C454" s="5"/>
      <c r="D454" s="5"/>
      <c r="E454" s="5"/>
      <c r="F454" s="5">
        <f>636.640666666667/1112</f>
        <v>0.5725185851318948</v>
      </c>
      <c r="G454" s="5"/>
      <c r="H454" s="5"/>
      <c r="I454" s="5"/>
      <c r="J454" s="5"/>
      <c r="K454" s="5">
        <f>5.49066666666667/114</f>
        <v>4.8163742690058513E-2</v>
      </c>
    </row>
    <row r="455" spans="1:11" x14ac:dyDescent="0.15">
      <c r="A455">
        <v>453</v>
      </c>
      <c r="B455" s="5"/>
      <c r="C455" s="5"/>
      <c r="D455" s="5"/>
      <c r="E455" s="5"/>
      <c r="F455" s="5">
        <f>637.339333333333/1112</f>
        <v>0.57314688249400447</v>
      </c>
      <c r="G455" s="5"/>
      <c r="H455" s="5"/>
      <c r="I455" s="5"/>
      <c r="J455" s="5"/>
      <c r="K455" s="5">
        <f>5.50633333333333/114</f>
        <v>4.8301169590643248E-2</v>
      </c>
    </row>
    <row r="456" spans="1:11" x14ac:dyDescent="0.15">
      <c r="A456">
        <v>454</v>
      </c>
      <c r="B456" s="5"/>
      <c r="C456" s="5"/>
      <c r="D456" s="5"/>
      <c r="E456" s="5"/>
      <c r="F456" s="5">
        <f>637.626333333333/1112</f>
        <v>0.57340497601918439</v>
      </c>
      <c r="G456" s="5"/>
      <c r="H456" s="5"/>
      <c r="I456" s="5"/>
      <c r="J456" s="5"/>
      <c r="K456" s="5">
        <f>5.506/114</f>
        <v>4.829824561403509E-2</v>
      </c>
    </row>
    <row r="457" spans="1:11" x14ac:dyDescent="0.15">
      <c r="A457">
        <v>455</v>
      </c>
      <c r="B457" s="5"/>
      <c r="C457" s="5"/>
      <c r="D457" s="5"/>
      <c r="E457" s="5"/>
      <c r="F457" s="5">
        <f>637.826333333333/1112</f>
        <v>0.57358483213429223</v>
      </c>
      <c r="G457" s="5"/>
      <c r="H457" s="5"/>
      <c r="I457" s="5"/>
      <c r="J457" s="5"/>
      <c r="K457" s="5">
        <f>5.566/114</f>
        <v>4.882456140350877E-2</v>
      </c>
    </row>
    <row r="458" spans="1:11" x14ac:dyDescent="0.15">
      <c r="A458">
        <v>456</v>
      </c>
      <c r="B458" s="5"/>
      <c r="C458" s="5"/>
      <c r="D458" s="5"/>
      <c r="E458" s="5"/>
      <c r="F458" s="5">
        <f>638.563/1112</f>
        <v>0.57424730215827335</v>
      </c>
      <c r="G458" s="5"/>
      <c r="H458" s="5"/>
      <c r="I458" s="5"/>
      <c r="J458" s="5"/>
      <c r="K458" s="5">
        <f>5.56833333333333/114</f>
        <v>4.8845029239766052E-2</v>
      </c>
    </row>
    <row r="459" spans="1:11" x14ac:dyDescent="0.15">
      <c r="A459">
        <v>457</v>
      </c>
      <c r="B459" s="5"/>
      <c r="C459" s="5"/>
      <c r="D459" s="5"/>
      <c r="E459" s="5"/>
      <c r="F459" s="5">
        <f>638.955/1112</f>
        <v>0.57459982014388489</v>
      </c>
      <c r="G459" s="5"/>
      <c r="H459" s="5"/>
      <c r="I459" s="5"/>
      <c r="J459" s="5"/>
      <c r="K459" s="5">
        <f>5.57233333333333/114</f>
        <v>4.8880116959064301E-2</v>
      </c>
    </row>
    <row r="460" spans="1:11" x14ac:dyDescent="0.15">
      <c r="A460">
        <v>458</v>
      </c>
      <c r="B460" s="5"/>
      <c r="C460" s="5"/>
      <c r="D460" s="5"/>
      <c r="E460" s="5"/>
      <c r="F460" s="5">
        <f>639.262333333333/1112</f>
        <v>0.57487619904076714</v>
      </c>
      <c r="G460" s="5"/>
      <c r="H460" s="5"/>
      <c r="I460" s="5"/>
      <c r="J460" s="5"/>
      <c r="K460" s="5">
        <f>5.57766666666667/114</f>
        <v>4.8926900584795353E-2</v>
      </c>
    </row>
    <row r="461" spans="1:11" x14ac:dyDescent="0.15">
      <c r="A461">
        <v>459</v>
      </c>
      <c r="B461" s="5"/>
      <c r="C461" s="5"/>
      <c r="D461" s="5"/>
      <c r="E461" s="5"/>
      <c r="F461" s="5">
        <f>639.503333333333/1112</f>
        <v>0.57509292565947212</v>
      </c>
      <c r="G461" s="5"/>
      <c r="H461" s="5"/>
      <c r="I461" s="5"/>
      <c r="J461" s="5"/>
      <c r="K461" s="5">
        <f>5.56233333333333/114</f>
        <v>4.8792397660818679E-2</v>
      </c>
    </row>
    <row r="462" spans="1:11" x14ac:dyDescent="0.15">
      <c r="A462">
        <v>460</v>
      </c>
      <c r="B462" s="5"/>
      <c r="C462" s="5"/>
      <c r="D462" s="5"/>
      <c r="E462" s="5"/>
      <c r="F462" s="5">
        <f>640.224/1112</f>
        <v>0.57574100719424459</v>
      </c>
      <c r="G462" s="5"/>
      <c r="H462" s="5"/>
      <c r="I462" s="5"/>
      <c r="J462" s="5"/>
      <c r="K462" s="5">
        <f>5.57966666666667/114</f>
        <v>4.8944444444444471E-2</v>
      </c>
    </row>
    <row r="463" spans="1:11" x14ac:dyDescent="0.15">
      <c r="A463">
        <v>461</v>
      </c>
      <c r="B463" s="5"/>
      <c r="C463" s="5"/>
      <c r="D463" s="5"/>
      <c r="E463" s="5"/>
      <c r="F463" s="5">
        <f>640.517333333333/1112</f>
        <v>0.57600479616306921</v>
      </c>
      <c r="G463" s="5"/>
      <c r="H463" s="5"/>
      <c r="I463" s="5"/>
      <c r="J463" s="5"/>
      <c r="K463" s="5">
        <f>5.60033333333333/114</f>
        <v>4.9125730994152017E-2</v>
      </c>
    </row>
    <row r="464" spans="1:11" x14ac:dyDescent="0.15">
      <c r="A464">
        <v>462</v>
      </c>
      <c r="B464" s="5"/>
      <c r="C464" s="5"/>
      <c r="D464" s="5"/>
      <c r="E464" s="5"/>
      <c r="F464" s="5">
        <f>641.172333333333/1112</f>
        <v>0.57659382494004763</v>
      </c>
      <c r="G464" s="5"/>
      <c r="H464" s="5"/>
      <c r="I464" s="5"/>
      <c r="J464" s="5"/>
      <c r="K464" s="5">
        <f>5.591/114</f>
        <v>4.9043859649122806E-2</v>
      </c>
    </row>
    <row r="465" spans="1:11" x14ac:dyDescent="0.15">
      <c r="A465">
        <v>463</v>
      </c>
      <c r="B465" s="5"/>
      <c r="C465" s="5"/>
      <c r="D465" s="5"/>
      <c r="E465" s="5"/>
      <c r="F465" s="5">
        <f>641.585333333333/1112</f>
        <v>0.57696522781774551</v>
      </c>
      <c r="G465" s="5"/>
      <c r="H465" s="5"/>
      <c r="I465" s="5"/>
      <c r="J465" s="5"/>
      <c r="K465" s="5">
        <f>5.63733333333333/114</f>
        <v>4.9450292397660786E-2</v>
      </c>
    </row>
    <row r="466" spans="1:11" x14ac:dyDescent="0.15">
      <c r="A466">
        <v>464</v>
      </c>
      <c r="B466" s="5"/>
      <c r="C466" s="5"/>
      <c r="D466" s="5"/>
      <c r="E466" s="5"/>
      <c r="F466" s="5">
        <f>642.038333333333/1112</f>
        <v>0.57737260191846485</v>
      </c>
      <c r="G466" s="5"/>
      <c r="H466" s="5"/>
      <c r="I466" s="5"/>
      <c r="J466" s="5"/>
      <c r="K466" s="5">
        <f>5.62066666666667/114</f>
        <v>4.9304093567251496E-2</v>
      </c>
    </row>
    <row r="467" spans="1:11" x14ac:dyDescent="0.15">
      <c r="A467">
        <v>465</v>
      </c>
      <c r="B467" s="5"/>
      <c r="C467" s="5"/>
      <c r="D467" s="5"/>
      <c r="E467" s="5"/>
      <c r="F467" s="5">
        <f>642.252/1112</f>
        <v>0.57756474820143877</v>
      </c>
      <c r="G467" s="5"/>
      <c r="H467" s="5"/>
      <c r="I467" s="5"/>
      <c r="J467" s="5"/>
      <c r="K467" s="5">
        <f>5.65733333333333/114</f>
        <v>4.9625730994152017E-2</v>
      </c>
    </row>
    <row r="468" spans="1:11" x14ac:dyDescent="0.15">
      <c r="A468">
        <v>466</v>
      </c>
      <c r="B468" s="5"/>
      <c r="C468" s="5"/>
      <c r="D468" s="5"/>
      <c r="E468" s="5"/>
      <c r="F468" s="5">
        <f>642.848666666667/1112</f>
        <v>0.5781013189448444</v>
      </c>
      <c r="G468" s="5"/>
      <c r="H468" s="5"/>
      <c r="I468" s="5"/>
      <c r="J468" s="5"/>
      <c r="K468" s="5">
        <f>5.61933333333333/114</f>
        <v>4.9292397660818686E-2</v>
      </c>
    </row>
    <row r="469" spans="1:11" x14ac:dyDescent="0.15">
      <c r="A469">
        <v>467</v>
      </c>
      <c r="B469" s="5"/>
      <c r="C469" s="5"/>
      <c r="D469" s="5"/>
      <c r="E469" s="5"/>
      <c r="F469" s="5">
        <f>643.054/1112</f>
        <v>0.57828597122302161</v>
      </c>
      <c r="G469" s="5"/>
      <c r="H469" s="5"/>
      <c r="I469" s="5"/>
      <c r="J469" s="5"/>
      <c r="K469" s="5">
        <f>5.65066666666667/114</f>
        <v>4.9567251461988329E-2</v>
      </c>
    </row>
    <row r="470" spans="1:11" x14ac:dyDescent="0.15">
      <c r="A470">
        <v>468</v>
      </c>
      <c r="B470" s="5"/>
      <c r="C470" s="5"/>
      <c r="D470" s="5"/>
      <c r="E470" s="5"/>
      <c r="F470" s="5">
        <f>643.621/1112</f>
        <v>0.57879586330935251</v>
      </c>
      <c r="G470" s="5"/>
      <c r="H470" s="5"/>
      <c r="I470" s="5"/>
      <c r="J470" s="5"/>
      <c r="K470" s="5">
        <f>5.67333333333333/114</f>
        <v>4.9766081871345E-2</v>
      </c>
    </row>
    <row r="471" spans="1:11" x14ac:dyDescent="0.15">
      <c r="A471">
        <v>469</v>
      </c>
      <c r="B471" s="5"/>
      <c r="C471" s="5"/>
      <c r="D471" s="5"/>
      <c r="E471" s="5"/>
      <c r="F471" s="5">
        <f>644.205333333333/1112</f>
        <v>0.57932134292565918</v>
      </c>
      <c r="G471" s="5"/>
      <c r="H471" s="5"/>
      <c r="I471" s="5"/>
      <c r="J471" s="5"/>
      <c r="K471" s="5">
        <f>5.693/114</f>
        <v>4.9938596491228067E-2</v>
      </c>
    </row>
    <row r="472" spans="1:11" x14ac:dyDescent="0.15">
      <c r="A472">
        <v>470</v>
      </c>
      <c r="B472" s="5"/>
      <c r="C472" s="5"/>
      <c r="D472" s="5"/>
      <c r="E472" s="5"/>
      <c r="F472" s="5">
        <f>644.185/1112</f>
        <v>0.57930305755395683</v>
      </c>
      <c r="G472" s="5"/>
      <c r="H472" s="5"/>
      <c r="I472" s="5"/>
      <c r="J472" s="5"/>
      <c r="K472" s="5">
        <f>5.683/114</f>
        <v>4.9850877192982451E-2</v>
      </c>
    </row>
    <row r="473" spans="1:11" x14ac:dyDescent="0.15">
      <c r="A473">
        <v>471</v>
      </c>
      <c r="B473" s="5"/>
      <c r="C473" s="5"/>
      <c r="D473" s="5"/>
      <c r="E473" s="5"/>
      <c r="F473" s="5">
        <f>644.861666666667/1112</f>
        <v>0.5799115707434056</v>
      </c>
      <c r="G473" s="5"/>
      <c r="H473" s="5"/>
      <c r="I473" s="5"/>
      <c r="J473" s="5"/>
      <c r="K473" s="5">
        <f>5.68933333333333/114</f>
        <v>4.9906432748537982E-2</v>
      </c>
    </row>
    <row r="474" spans="1:11" x14ac:dyDescent="0.15">
      <c r="A474">
        <v>472</v>
      </c>
      <c r="B474" s="5"/>
      <c r="C474" s="5"/>
      <c r="D474" s="5"/>
      <c r="E474" s="5"/>
      <c r="F474" s="5">
        <f>645.499666666667/1112</f>
        <v>0.58048531175059992</v>
      </c>
      <c r="G474" s="5"/>
      <c r="H474" s="5"/>
      <c r="I474" s="5"/>
      <c r="J474" s="5"/>
      <c r="K474" s="5">
        <f>5.705/114</f>
        <v>5.0043859649122807E-2</v>
      </c>
    </row>
    <row r="475" spans="1:11" x14ac:dyDescent="0.15">
      <c r="A475">
        <v>473</v>
      </c>
      <c r="B475" s="5"/>
      <c r="C475" s="5"/>
      <c r="D475" s="5"/>
      <c r="E475" s="5"/>
      <c r="F475" s="5">
        <f>645.660666666667/1112</f>
        <v>0.58063009592326165</v>
      </c>
      <c r="G475" s="5"/>
      <c r="H475" s="5"/>
      <c r="I475" s="5"/>
      <c r="J475" s="5"/>
      <c r="K475" s="5">
        <f>5.70766666666667/114</f>
        <v>5.0067251461988337E-2</v>
      </c>
    </row>
    <row r="476" spans="1:11" x14ac:dyDescent="0.15">
      <c r="A476">
        <v>474</v>
      </c>
      <c r="B476" s="5"/>
      <c r="C476" s="5"/>
      <c r="D476" s="5"/>
      <c r="E476" s="5"/>
      <c r="F476" s="5">
        <f>646.072333333333/1112</f>
        <v>0.58100029976019152</v>
      </c>
      <c r="G476" s="5"/>
      <c r="H476" s="5"/>
      <c r="I476" s="5"/>
      <c r="J476" s="5"/>
      <c r="K476" s="5">
        <f>5.72633333333333/114</f>
        <v>5.0230994152046758E-2</v>
      </c>
    </row>
    <row r="477" spans="1:11" x14ac:dyDescent="0.15">
      <c r="A477">
        <v>475</v>
      </c>
      <c r="B477" s="5"/>
      <c r="C477" s="5"/>
      <c r="D477" s="5"/>
      <c r="E477" s="5"/>
      <c r="F477" s="5">
        <f>646.502/1112</f>
        <v>0.58138669064748194</v>
      </c>
      <c r="G477" s="5"/>
      <c r="H477" s="5"/>
      <c r="I477" s="5"/>
      <c r="J477" s="5"/>
      <c r="K477" s="5">
        <f>5.75133333333333/114</f>
        <v>5.0450292397660787E-2</v>
      </c>
    </row>
    <row r="478" spans="1:11" x14ac:dyDescent="0.15">
      <c r="A478">
        <v>476</v>
      </c>
      <c r="B478" s="5"/>
      <c r="C478" s="5"/>
      <c r="D478" s="5"/>
      <c r="E478" s="5"/>
      <c r="F478" s="5">
        <f>646.874333333333/1112</f>
        <v>0.58172152278177425</v>
      </c>
      <c r="G478" s="5"/>
      <c r="H478" s="5"/>
      <c r="I478" s="5"/>
      <c r="J478" s="5"/>
      <c r="K478" s="5">
        <f>5.77833333333333/114</f>
        <v>5.0687134502923947E-2</v>
      </c>
    </row>
    <row r="479" spans="1:11" x14ac:dyDescent="0.15">
      <c r="A479">
        <v>477</v>
      </c>
      <c r="B479" s="5"/>
      <c r="C479" s="5"/>
      <c r="D479" s="5"/>
      <c r="E479" s="5"/>
      <c r="F479" s="5">
        <f>647.458666666667/1112</f>
        <v>0.5822470023980818</v>
      </c>
      <c r="G479" s="5"/>
      <c r="H479" s="5"/>
      <c r="I479" s="5"/>
      <c r="J479" s="5"/>
      <c r="K479" s="5">
        <f>5.777/114</f>
        <v>5.0675438596491228E-2</v>
      </c>
    </row>
    <row r="480" spans="1:11" x14ac:dyDescent="0.15">
      <c r="A480">
        <v>478</v>
      </c>
      <c r="B480" s="5"/>
      <c r="C480" s="5"/>
      <c r="D480" s="5"/>
      <c r="E480" s="5"/>
      <c r="F480" s="5">
        <f>647.691/1112</f>
        <v>0.58245593525179862</v>
      </c>
      <c r="G480" s="5"/>
      <c r="H480" s="5"/>
      <c r="I480" s="5"/>
      <c r="J480" s="5"/>
      <c r="K480" s="5">
        <f>5.767/114</f>
        <v>5.0587719298245619E-2</v>
      </c>
    </row>
    <row r="481" spans="1:11" x14ac:dyDescent="0.15">
      <c r="A481">
        <v>479</v>
      </c>
      <c r="B481" s="5"/>
      <c r="C481" s="5"/>
      <c r="D481" s="5"/>
      <c r="E481" s="5"/>
      <c r="F481" s="5">
        <f>648.126666666667/1112</f>
        <v>0.5828477218225423</v>
      </c>
      <c r="G481" s="5"/>
      <c r="H481" s="5"/>
      <c r="I481" s="5"/>
      <c r="J481" s="5"/>
      <c r="K481" s="5">
        <f>5.773/114</f>
        <v>5.0640350877192979E-2</v>
      </c>
    </row>
    <row r="482" spans="1:11" x14ac:dyDescent="0.15">
      <c r="A482">
        <v>480</v>
      </c>
      <c r="B482" s="5"/>
      <c r="C482" s="5"/>
      <c r="D482" s="5"/>
      <c r="E482" s="5"/>
      <c r="F482" s="5">
        <f>648.626333333333/1112</f>
        <v>0.58329706235011969</v>
      </c>
      <c r="G482" s="5"/>
      <c r="H482" s="5"/>
      <c r="I482" s="5"/>
      <c r="J482" s="5"/>
      <c r="K482" s="5">
        <f>5.77233333333333/114</f>
        <v>5.0634502923976581E-2</v>
      </c>
    </row>
    <row r="483" spans="1:11" x14ac:dyDescent="0.15">
      <c r="A483">
        <v>481</v>
      </c>
      <c r="B483" s="5"/>
      <c r="C483" s="5"/>
      <c r="D483" s="5"/>
      <c r="E483" s="5"/>
      <c r="F483" s="5">
        <f>649.071/1112</f>
        <v>0.5836969424460432</v>
      </c>
      <c r="G483" s="5"/>
      <c r="H483" s="5"/>
      <c r="I483" s="5"/>
      <c r="J483" s="5"/>
      <c r="K483" s="5">
        <f>5.803/114</f>
        <v>5.0903508771929826E-2</v>
      </c>
    </row>
    <row r="484" spans="1:11" x14ac:dyDescent="0.15">
      <c r="A484">
        <v>482</v>
      </c>
      <c r="B484" s="5"/>
      <c r="C484" s="5"/>
      <c r="D484" s="5"/>
      <c r="E484" s="5"/>
      <c r="F484" s="5">
        <f>649.271666666667/1112</f>
        <v>0.58387739808153505</v>
      </c>
      <c r="G484" s="5"/>
      <c r="H484" s="5"/>
      <c r="I484" s="5"/>
      <c r="J484" s="5"/>
      <c r="K484" s="5">
        <f>5.79233333333333/114</f>
        <v>5.0809941520467805E-2</v>
      </c>
    </row>
    <row r="485" spans="1:11" x14ac:dyDescent="0.15">
      <c r="A485">
        <v>483</v>
      </c>
      <c r="B485" s="5"/>
      <c r="C485" s="5"/>
      <c r="D485" s="5"/>
      <c r="E485" s="5"/>
      <c r="F485" s="5">
        <f>649.894/1112</f>
        <v>0.58443705035971227</v>
      </c>
      <c r="G485" s="5"/>
      <c r="H485" s="5"/>
      <c r="I485" s="5"/>
      <c r="J485" s="5"/>
      <c r="K485" s="5">
        <f>5.817/114</f>
        <v>5.1026315789473684E-2</v>
      </c>
    </row>
    <row r="486" spans="1:11" x14ac:dyDescent="0.15">
      <c r="A486">
        <v>484</v>
      </c>
      <c r="B486" s="5"/>
      <c r="C486" s="5"/>
      <c r="D486" s="5"/>
      <c r="E486" s="5"/>
      <c r="F486" s="5">
        <f>650.176333333333/1112</f>
        <v>0.58469094724220594</v>
      </c>
      <c r="G486" s="5"/>
      <c r="H486" s="5"/>
      <c r="I486" s="5"/>
      <c r="J486" s="5"/>
      <c r="K486" s="5">
        <f>5.82766666666667/114</f>
        <v>5.1119883040935704E-2</v>
      </c>
    </row>
    <row r="487" spans="1:11" x14ac:dyDescent="0.15">
      <c r="A487">
        <v>485</v>
      </c>
      <c r="B487" s="5"/>
      <c r="C487" s="5"/>
      <c r="D487" s="5"/>
      <c r="E487" s="5"/>
      <c r="F487" s="5">
        <f>650.574/1112</f>
        <v>0.58504856115107906</v>
      </c>
      <c r="G487" s="5"/>
      <c r="H487" s="5"/>
      <c r="I487" s="5"/>
      <c r="J487" s="5"/>
      <c r="K487" s="5">
        <f>5.83733333333333/114</f>
        <v>5.1204678362573072E-2</v>
      </c>
    </row>
    <row r="488" spans="1:11" x14ac:dyDescent="0.15">
      <c r="A488">
        <v>486</v>
      </c>
      <c r="B488" s="5"/>
      <c r="C488" s="5"/>
      <c r="D488" s="5"/>
      <c r="E488" s="5"/>
      <c r="F488" s="5">
        <f>650.89/1112</f>
        <v>0.58533273381294959</v>
      </c>
      <c r="G488" s="5"/>
      <c r="H488" s="5"/>
      <c r="I488" s="5"/>
      <c r="J488" s="5"/>
      <c r="K488" s="5">
        <f>5.85333333333333/114</f>
        <v>5.1345029239766055E-2</v>
      </c>
    </row>
    <row r="489" spans="1:11" x14ac:dyDescent="0.15">
      <c r="A489">
        <v>487</v>
      </c>
      <c r="B489" s="5"/>
      <c r="C489" s="5"/>
      <c r="D489" s="5"/>
      <c r="E489" s="5"/>
      <c r="F489" s="5">
        <f>651.421666666667/1112</f>
        <v>0.58581085131894506</v>
      </c>
      <c r="G489" s="5"/>
      <c r="H489" s="5"/>
      <c r="I489" s="5"/>
      <c r="J489" s="5"/>
      <c r="K489" s="5">
        <f>5.853/114</f>
        <v>5.134210526315789E-2</v>
      </c>
    </row>
    <row r="490" spans="1:11" x14ac:dyDescent="0.15">
      <c r="A490">
        <v>488</v>
      </c>
      <c r="B490" s="5"/>
      <c r="C490" s="5"/>
      <c r="D490" s="5"/>
      <c r="E490" s="5"/>
      <c r="F490" s="5">
        <f>651.799333333333/1112</f>
        <v>0.58615047961630673</v>
      </c>
      <c r="G490" s="5"/>
      <c r="H490" s="5"/>
      <c r="I490" s="5"/>
      <c r="J490" s="5"/>
      <c r="K490" s="5">
        <f>5.86366666666667/114</f>
        <v>5.1435672514619911E-2</v>
      </c>
    </row>
    <row r="491" spans="1:11" x14ac:dyDescent="0.15">
      <c r="A491">
        <v>489</v>
      </c>
      <c r="B491" s="5"/>
      <c r="C491" s="5"/>
      <c r="D491" s="5"/>
      <c r="E491" s="5"/>
      <c r="F491" s="5">
        <f>652.357333333333/1112</f>
        <v>0.5866522781774578</v>
      </c>
      <c r="G491" s="5"/>
      <c r="H491" s="5"/>
      <c r="I491" s="5"/>
      <c r="J491" s="5"/>
      <c r="K491" s="5">
        <f>5.874/114</f>
        <v>5.1526315789473684E-2</v>
      </c>
    </row>
    <row r="492" spans="1:11" x14ac:dyDescent="0.15">
      <c r="A492">
        <v>490</v>
      </c>
      <c r="B492" s="5"/>
      <c r="C492" s="5"/>
      <c r="D492" s="5"/>
      <c r="E492" s="5"/>
      <c r="F492" s="5">
        <f>652.634666666667/1112</f>
        <v>0.58690167865707465</v>
      </c>
      <c r="G492" s="5"/>
      <c r="H492" s="5"/>
      <c r="I492" s="5"/>
      <c r="J492" s="5"/>
      <c r="K492" s="5">
        <f>5.888/114</f>
        <v>5.1649122807017542E-2</v>
      </c>
    </row>
    <row r="493" spans="1:11" x14ac:dyDescent="0.15">
      <c r="A493">
        <v>491</v>
      </c>
      <c r="B493" s="5"/>
      <c r="C493" s="5"/>
      <c r="D493" s="5"/>
      <c r="E493" s="5"/>
      <c r="F493" s="5">
        <f>653.033666666667/1112</f>
        <v>0.58726049160671501</v>
      </c>
      <c r="G493" s="5"/>
      <c r="H493" s="5"/>
      <c r="I493" s="5"/>
      <c r="J493" s="5"/>
      <c r="K493" s="5">
        <f>5.898/114</f>
        <v>5.1736842105263157E-2</v>
      </c>
    </row>
    <row r="494" spans="1:11" x14ac:dyDescent="0.15">
      <c r="A494">
        <v>492</v>
      </c>
      <c r="B494" s="5"/>
      <c r="C494" s="5"/>
      <c r="D494" s="5"/>
      <c r="E494" s="5"/>
      <c r="F494" s="5">
        <f>653.51/1112</f>
        <v>0.58768884892086326</v>
      </c>
      <c r="G494" s="5"/>
      <c r="H494" s="5"/>
      <c r="I494" s="5"/>
      <c r="J494" s="5"/>
      <c r="K494" s="5">
        <f>5.918/114</f>
        <v>5.1912280701754389E-2</v>
      </c>
    </row>
    <row r="495" spans="1:11" x14ac:dyDescent="0.15">
      <c r="A495">
        <v>493</v>
      </c>
      <c r="B495" s="5"/>
      <c r="C495" s="5"/>
      <c r="D495" s="5"/>
      <c r="E495" s="5"/>
      <c r="F495" s="5">
        <f>653.734333333333/1112</f>
        <v>0.58789058752997569</v>
      </c>
      <c r="G495" s="5"/>
      <c r="H495" s="5"/>
      <c r="I495" s="5"/>
      <c r="J495" s="5"/>
      <c r="K495" s="5">
        <f>5.925/114</f>
        <v>5.1973684210526311E-2</v>
      </c>
    </row>
    <row r="496" spans="1:11" x14ac:dyDescent="0.15">
      <c r="A496">
        <v>494</v>
      </c>
      <c r="B496" s="5"/>
      <c r="C496" s="5"/>
      <c r="D496" s="5"/>
      <c r="E496" s="5"/>
      <c r="F496" s="5">
        <f>654.146666666667/1112</f>
        <v>0.58826139088729046</v>
      </c>
      <c r="G496" s="5"/>
      <c r="H496" s="5"/>
      <c r="I496" s="5"/>
      <c r="J496" s="5"/>
      <c r="K496" s="5">
        <f>5.93233333333333/114</f>
        <v>5.2038011695906404E-2</v>
      </c>
    </row>
    <row r="497" spans="1:11" x14ac:dyDescent="0.15">
      <c r="A497">
        <v>495</v>
      </c>
      <c r="B497" s="5"/>
      <c r="C497" s="5"/>
      <c r="D497" s="5"/>
      <c r="E497" s="5"/>
      <c r="F497" s="5">
        <f>654.663666666667/1112</f>
        <v>0.58872631894484451</v>
      </c>
      <c r="G497" s="5"/>
      <c r="H497" s="5"/>
      <c r="I497" s="5"/>
      <c r="J497" s="5"/>
      <c r="K497" s="5">
        <f>5.932/114</f>
        <v>5.2035087719298247E-2</v>
      </c>
    </row>
    <row r="498" spans="1:11" x14ac:dyDescent="0.15">
      <c r="A498">
        <v>496</v>
      </c>
      <c r="B498" s="5"/>
      <c r="C498" s="5"/>
      <c r="D498" s="5"/>
      <c r="E498" s="5"/>
      <c r="F498" s="5">
        <f>655.045333333333/1112</f>
        <v>0.58906954436450809</v>
      </c>
      <c r="G498" s="5"/>
      <c r="H498" s="5"/>
      <c r="I498" s="5"/>
      <c r="J498" s="5"/>
      <c r="K498" s="5">
        <f>5.94566666666667/114</f>
        <v>5.2154970760233954E-2</v>
      </c>
    </row>
    <row r="499" spans="1:11" x14ac:dyDescent="0.15">
      <c r="A499">
        <v>497</v>
      </c>
      <c r="B499" s="5"/>
      <c r="C499" s="5"/>
      <c r="D499" s="5"/>
      <c r="E499" s="5"/>
      <c r="F499" s="5">
        <f>655.414666666667/1112</f>
        <v>0.5894016786570746</v>
      </c>
      <c r="G499" s="5"/>
      <c r="H499" s="5"/>
      <c r="I499" s="5"/>
      <c r="J499" s="5"/>
      <c r="K499" s="5">
        <f>5.96133333333333/114</f>
        <v>5.2292397660818682E-2</v>
      </c>
    </row>
    <row r="500" spans="1:11" x14ac:dyDescent="0.15">
      <c r="A500">
        <v>498</v>
      </c>
      <c r="B500" s="5"/>
      <c r="C500" s="5"/>
      <c r="D500" s="5"/>
      <c r="E500" s="5"/>
      <c r="F500" s="5">
        <f>655.811333333333/1112</f>
        <v>0.58975839328537139</v>
      </c>
      <c r="G500" s="5"/>
      <c r="H500" s="5"/>
      <c r="I500" s="5"/>
      <c r="J500" s="5"/>
      <c r="K500" s="5">
        <f>5.96433333333333/114</f>
        <v>5.2318713450292369E-2</v>
      </c>
    </row>
    <row r="501" spans="1:11" x14ac:dyDescent="0.15">
      <c r="A501">
        <v>499</v>
      </c>
      <c r="B501" s="5"/>
      <c r="C501" s="5"/>
      <c r="D501" s="5"/>
      <c r="E501" s="5"/>
      <c r="F501" s="5">
        <f>656.205/1112</f>
        <v>0.59011241007194248</v>
      </c>
      <c r="G501" s="5"/>
      <c r="H501" s="5"/>
      <c r="I501" s="5"/>
      <c r="J501" s="5"/>
      <c r="K501" s="5">
        <f>5.985/114</f>
        <v>5.2500000000000005E-2</v>
      </c>
    </row>
    <row r="502" spans="1:11" x14ac:dyDescent="0.15">
      <c r="A502">
        <v>500</v>
      </c>
      <c r="B502" s="5"/>
      <c r="C502" s="5"/>
      <c r="D502" s="5"/>
      <c r="E502" s="5"/>
      <c r="F502" s="5">
        <f>656.572666666667/1112</f>
        <v>0.59044304556354954</v>
      </c>
      <c r="G502" s="5"/>
      <c r="H502" s="5"/>
      <c r="I502" s="5"/>
      <c r="J502" s="5"/>
      <c r="K502" s="5">
        <f>5.98666666666667/114</f>
        <v>5.2514619883040965E-2</v>
      </c>
    </row>
    <row r="503" spans="1:11" x14ac:dyDescent="0.15">
      <c r="A503">
        <v>501</v>
      </c>
      <c r="B503" s="5"/>
      <c r="C503" s="5"/>
      <c r="D503" s="5"/>
      <c r="E503" s="5"/>
      <c r="F503" s="5">
        <f>657/1112</f>
        <v>0.59082733812949639</v>
      </c>
      <c r="G503" s="5"/>
      <c r="H503" s="5"/>
      <c r="I503" s="5"/>
      <c r="J503" s="5"/>
      <c r="K503" s="5">
        <f>6/114</f>
        <v>5.2631578947368418E-2</v>
      </c>
    </row>
  </sheetData>
  <mergeCells count="3">
    <mergeCell ref="A1:A2"/>
    <mergeCell ref="B1:F1"/>
    <mergeCell ref="G1:K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trait contribution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OHNUKI</dc:creator>
  <cp:lastModifiedBy>Shinsuke OHNUKI</cp:lastModifiedBy>
  <dcterms:created xsi:type="dcterms:W3CDTF">2018-04-04T02:55:31Z</dcterms:created>
  <dcterms:modified xsi:type="dcterms:W3CDTF">2018-04-04T04:12:19Z</dcterms:modified>
</cp:coreProperties>
</file>