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613"/>
  <workbookPr date1904="1" showInkAnnotation="0" autoCompressPictures="0"/>
  <bookViews>
    <workbookView xWindow="4380" yWindow="2200" windowWidth="32720" windowHeight="23020" tabRatio="500"/>
  </bookViews>
  <sheets>
    <sheet name="enhanced infection" sheetId="1" r:id="rId1"/>
    <sheet name="reduced infection" sheetId="4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4" l="1"/>
  <c r="B2" i="4"/>
  <c r="A3" i="4"/>
  <c r="B3" i="4"/>
  <c r="A4" i="4"/>
  <c r="B4" i="4"/>
  <c r="A5" i="4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A52" i="4"/>
  <c r="B52" i="4"/>
  <c r="A53" i="4"/>
  <c r="B53" i="4"/>
  <c r="A54" i="4"/>
  <c r="B54" i="4"/>
  <c r="A55" i="4"/>
  <c r="B55" i="4"/>
  <c r="A56" i="4"/>
  <c r="B56" i="4"/>
  <c r="A57" i="4"/>
  <c r="B57" i="4"/>
  <c r="A58" i="4"/>
  <c r="B58" i="4"/>
  <c r="A59" i="4"/>
  <c r="B59" i="4"/>
  <c r="A60" i="4"/>
  <c r="B60" i="4"/>
  <c r="A61" i="4"/>
  <c r="B61" i="4"/>
  <c r="A62" i="4"/>
  <c r="B62" i="4"/>
  <c r="A63" i="4"/>
  <c r="B63" i="4"/>
  <c r="A64" i="4"/>
  <c r="B64" i="4"/>
  <c r="A65" i="4"/>
  <c r="B65" i="4"/>
  <c r="A66" i="4"/>
  <c r="B66" i="4"/>
  <c r="A67" i="4"/>
  <c r="B67" i="4"/>
  <c r="A68" i="4"/>
  <c r="B68" i="4"/>
  <c r="A69" i="4"/>
  <c r="B69" i="4"/>
  <c r="A70" i="4"/>
  <c r="B70" i="4"/>
  <c r="A71" i="4"/>
  <c r="B71" i="4"/>
  <c r="A72" i="4"/>
  <c r="B72" i="4"/>
  <c r="A73" i="4"/>
  <c r="B73" i="4"/>
  <c r="A74" i="4"/>
  <c r="B74" i="4"/>
  <c r="A75" i="4"/>
  <c r="B75" i="4"/>
  <c r="A76" i="4"/>
  <c r="B76" i="4"/>
  <c r="A77" i="4"/>
  <c r="B77" i="4"/>
  <c r="A78" i="4"/>
  <c r="B78" i="4"/>
  <c r="A79" i="4"/>
  <c r="B79" i="4"/>
  <c r="A80" i="4"/>
  <c r="B80" i="4"/>
  <c r="A81" i="4"/>
  <c r="B81" i="4"/>
  <c r="A82" i="4"/>
  <c r="B82" i="4"/>
  <c r="A83" i="4"/>
  <c r="B83" i="4"/>
  <c r="A84" i="4"/>
  <c r="B84" i="4"/>
  <c r="A85" i="4"/>
  <c r="B85" i="4"/>
  <c r="A86" i="4"/>
  <c r="B86" i="4"/>
  <c r="A87" i="4"/>
  <c r="B87" i="4"/>
  <c r="A88" i="4"/>
  <c r="B88" i="4"/>
  <c r="A89" i="4"/>
  <c r="B89" i="4"/>
  <c r="A90" i="4"/>
  <c r="B90" i="4"/>
  <c r="A91" i="4"/>
  <c r="B91" i="4"/>
  <c r="A92" i="4"/>
  <c r="B92" i="4"/>
  <c r="A93" i="4"/>
  <c r="B93" i="4"/>
  <c r="A94" i="4"/>
  <c r="B94" i="4"/>
  <c r="A95" i="4"/>
  <c r="B95" i="4"/>
  <c r="A96" i="4"/>
  <c r="B96" i="4"/>
  <c r="A97" i="4"/>
  <c r="B97" i="4"/>
  <c r="A98" i="4"/>
  <c r="B98" i="4"/>
  <c r="A99" i="4"/>
  <c r="B99" i="4"/>
  <c r="A100" i="4"/>
  <c r="B100" i="4"/>
  <c r="A101" i="4"/>
  <c r="B101" i="4"/>
  <c r="A102" i="4"/>
  <c r="B102" i="4"/>
  <c r="A103" i="4"/>
  <c r="B103" i="4"/>
  <c r="A104" i="4"/>
  <c r="B104" i="4"/>
  <c r="A105" i="4"/>
  <c r="B105" i="4"/>
  <c r="A106" i="4"/>
  <c r="B106" i="4"/>
  <c r="A107" i="4"/>
  <c r="B107" i="4"/>
  <c r="A108" i="4"/>
  <c r="B108" i="4"/>
  <c r="A109" i="4"/>
  <c r="B109" i="4"/>
  <c r="A110" i="4"/>
  <c r="B110" i="4"/>
  <c r="A111" i="4"/>
  <c r="B111" i="4"/>
  <c r="A112" i="4"/>
  <c r="B112" i="4"/>
  <c r="A113" i="4"/>
  <c r="B113" i="4"/>
  <c r="A114" i="4"/>
  <c r="B114" i="4"/>
  <c r="A115" i="4"/>
  <c r="B115" i="4"/>
  <c r="A116" i="4"/>
  <c r="B116" i="4"/>
  <c r="A117" i="4"/>
  <c r="B117" i="4"/>
  <c r="A118" i="4"/>
  <c r="B118" i="4"/>
  <c r="A119" i="4"/>
  <c r="B119" i="4"/>
  <c r="A120" i="4"/>
  <c r="B120" i="4"/>
  <c r="A121" i="4"/>
  <c r="B121" i="4"/>
  <c r="A122" i="4"/>
  <c r="B122" i="4"/>
  <c r="A123" i="4"/>
  <c r="B123" i="4"/>
  <c r="A124" i="4"/>
  <c r="B124" i="4"/>
  <c r="A125" i="4"/>
  <c r="B125" i="4"/>
  <c r="A126" i="4"/>
  <c r="B126" i="4"/>
  <c r="A127" i="4"/>
  <c r="B127" i="4"/>
  <c r="A128" i="4"/>
  <c r="B128" i="4"/>
  <c r="A129" i="4"/>
  <c r="B129" i="4"/>
  <c r="A130" i="4"/>
  <c r="B130" i="4"/>
  <c r="A131" i="4"/>
  <c r="B131" i="4"/>
  <c r="A132" i="4"/>
  <c r="B132" i="4"/>
  <c r="A133" i="4"/>
  <c r="B133" i="4"/>
  <c r="A134" i="4"/>
  <c r="B134" i="4"/>
  <c r="A135" i="4"/>
  <c r="B135" i="4"/>
  <c r="A136" i="4"/>
  <c r="B136" i="4"/>
  <c r="A137" i="4"/>
  <c r="B137" i="4"/>
  <c r="A138" i="4"/>
  <c r="B138" i="4"/>
  <c r="A139" i="4"/>
  <c r="B139" i="4"/>
  <c r="A140" i="4"/>
  <c r="B140" i="4"/>
  <c r="A141" i="4"/>
  <c r="B141" i="4"/>
  <c r="A142" i="4"/>
  <c r="B142" i="4"/>
  <c r="A143" i="4"/>
  <c r="B143" i="4"/>
  <c r="A144" i="4"/>
  <c r="B144" i="4"/>
  <c r="A145" i="4"/>
  <c r="B145" i="4"/>
  <c r="A146" i="4"/>
  <c r="B146" i="4"/>
  <c r="A147" i="4"/>
  <c r="B147" i="4"/>
  <c r="A148" i="4"/>
  <c r="B148" i="4"/>
  <c r="A149" i="4"/>
  <c r="B149" i="4"/>
  <c r="A150" i="4"/>
  <c r="B150" i="4"/>
  <c r="A151" i="4"/>
  <c r="B151" i="4"/>
  <c r="A152" i="4"/>
  <c r="B152" i="4"/>
  <c r="A153" i="4"/>
  <c r="B153" i="4"/>
  <c r="A154" i="4"/>
  <c r="B154" i="4"/>
  <c r="A155" i="4"/>
  <c r="B155" i="4"/>
  <c r="A156" i="4"/>
  <c r="B156" i="4"/>
  <c r="A157" i="4"/>
  <c r="B157" i="4"/>
  <c r="A158" i="4"/>
  <c r="B158" i="4"/>
  <c r="A159" i="4"/>
  <c r="B159" i="4"/>
  <c r="A160" i="4"/>
  <c r="B160" i="4"/>
  <c r="A161" i="4"/>
  <c r="B161" i="4"/>
  <c r="A162" i="4"/>
  <c r="B162" i="4"/>
  <c r="A163" i="4"/>
  <c r="B163" i="4"/>
  <c r="A164" i="4"/>
  <c r="B164" i="4"/>
  <c r="A165" i="4"/>
  <c r="B165" i="4"/>
  <c r="A166" i="4"/>
  <c r="B166" i="4"/>
  <c r="A167" i="4"/>
  <c r="B167" i="4"/>
  <c r="A168" i="4"/>
  <c r="B168" i="4"/>
  <c r="A169" i="4"/>
  <c r="B169" i="4"/>
  <c r="A170" i="4"/>
  <c r="B170" i="4"/>
  <c r="A171" i="4"/>
  <c r="B171" i="4"/>
  <c r="A172" i="4"/>
  <c r="B172" i="4"/>
  <c r="A173" i="4"/>
  <c r="B173" i="4"/>
  <c r="A174" i="4"/>
  <c r="B174" i="4"/>
  <c r="A175" i="4"/>
  <c r="B175" i="4"/>
  <c r="A176" i="4"/>
  <c r="B176" i="4"/>
  <c r="A177" i="4"/>
  <c r="B177" i="4"/>
  <c r="A178" i="4"/>
  <c r="B178" i="4"/>
  <c r="A179" i="4"/>
  <c r="B179" i="4"/>
  <c r="A180" i="4"/>
  <c r="B180" i="4"/>
  <c r="A181" i="4"/>
  <c r="B181" i="4"/>
  <c r="A182" i="4"/>
  <c r="B182" i="4"/>
  <c r="A183" i="4"/>
  <c r="B183" i="4"/>
  <c r="A184" i="4"/>
  <c r="B184" i="4"/>
  <c r="A185" i="4"/>
  <c r="B185" i="4"/>
  <c r="A186" i="4"/>
  <c r="B186" i="4"/>
  <c r="A187" i="4"/>
  <c r="B187" i="4"/>
  <c r="A188" i="4"/>
  <c r="B188" i="4"/>
  <c r="A189" i="4"/>
  <c r="B189" i="4"/>
  <c r="A190" i="4"/>
  <c r="B190" i="4"/>
  <c r="A191" i="4"/>
  <c r="B191" i="4"/>
  <c r="A192" i="4"/>
  <c r="B192" i="4"/>
  <c r="A193" i="4"/>
  <c r="B193" i="4"/>
  <c r="A194" i="4"/>
  <c r="B194" i="4"/>
  <c r="A195" i="4"/>
  <c r="B195" i="4"/>
  <c r="A196" i="4"/>
  <c r="B196" i="4"/>
  <c r="A197" i="4"/>
  <c r="B197" i="4"/>
  <c r="A198" i="4"/>
  <c r="B198" i="4"/>
  <c r="A199" i="4"/>
  <c r="B199" i="4"/>
  <c r="A200" i="4"/>
  <c r="B200" i="4"/>
  <c r="A201" i="4"/>
  <c r="B201" i="4"/>
  <c r="A202" i="4"/>
  <c r="B202" i="4"/>
  <c r="A203" i="4"/>
  <c r="B203" i="4"/>
  <c r="A204" i="4"/>
  <c r="B204" i="4"/>
  <c r="A205" i="4"/>
  <c r="B205" i="4"/>
  <c r="A206" i="4"/>
  <c r="B206" i="4"/>
  <c r="A207" i="4"/>
  <c r="B207" i="4"/>
  <c r="A208" i="4"/>
  <c r="B208" i="4"/>
  <c r="A209" i="4"/>
  <c r="B209" i="4"/>
  <c r="A210" i="4"/>
  <c r="B210" i="4"/>
  <c r="A211" i="4"/>
  <c r="B211" i="4"/>
  <c r="A212" i="4"/>
  <c r="B212" i="4"/>
  <c r="A213" i="4"/>
  <c r="B213" i="4"/>
  <c r="A214" i="4"/>
  <c r="B214" i="4"/>
  <c r="A215" i="4"/>
  <c r="B215" i="4"/>
  <c r="A216" i="4"/>
  <c r="B216" i="4"/>
  <c r="A217" i="4"/>
  <c r="B217" i="4"/>
  <c r="A85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B2" i="1"/>
  <c r="B90" i="1"/>
  <c r="B73" i="1"/>
  <c r="B17" i="1"/>
  <c r="B100" i="1"/>
  <c r="B99" i="1"/>
  <c r="B98" i="1"/>
  <c r="B97" i="1"/>
  <c r="B96" i="1"/>
  <c r="B95" i="1"/>
  <c r="B94" i="1"/>
  <c r="B93" i="1"/>
  <c r="B92" i="1"/>
  <c r="B91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A2" i="1"/>
</calcChain>
</file>

<file path=xl/sharedStrings.xml><?xml version="1.0" encoding="utf-8"?>
<sst xmlns="http://schemas.openxmlformats.org/spreadsheetml/2006/main" count="2608" uniqueCount="1637">
  <si>
    <t>LOW-DENSITY LIPOPROTEIN RECEPTOR (LDL)</t>
  </si>
  <si>
    <t xml:space="preserve">Developmental processes &gt;Gametogenesis &gt;Oogenesis. </t>
  </si>
  <si>
    <t>kinesin family member 23</t>
  </si>
  <si>
    <t>mitotic spindle elongation|microtubule-based movement|cell cycle|mitosis|cell division</t>
  </si>
  <si>
    <t>nucleotide binding|microtubule motor activity|protein binding|ATP binding</t>
  </si>
  <si>
    <t>spindle|kinesin complex|microtubule</t>
  </si>
  <si>
    <t>KINESIN-LIKE PROTEIN KIF23 (MITOTIC KINESIN-LIKE PROTEIN-1)</t>
  </si>
  <si>
    <t>microtubule-based movement|protein transport|vesicle-mediated transport</t>
  </si>
  <si>
    <t>nucleotide binding|microtubule motor activity|transporter activity|ATP binding</t>
  </si>
  <si>
    <t>Golgi apparatus|microtubule|microtubule associated complex</t>
  </si>
  <si>
    <t>KINESIN FAMILY MEMBER 20 (RABKINESIN-6)</t>
  </si>
  <si>
    <t>signal transduction|signal transduction|protein processing</t>
  </si>
  <si>
    <t>protein binding|peptidase activity|protein phosphatase type 2A regulator activity|protein phosphatase type 2A regulator activity</t>
  </si>
  <si>
    <t>protein phosphatase type 2A complex|protein phosphatase type 2A complex|nucleus|integral to membrane</t>
  </si>
  <si>
    <t>PROTEIN PHOSPHATASE 2A, REGULATORY SUBUNIT</t>
  </si>
  <si>
    <t xml:space="preserve">Phosphatase &gt;Protein phosphatase. </t>
  </si>
  <si>
    <t xml:space="preserve">Protein metabolism and modification &gt;Protein modification &gt;Protein phosphorylation. Signal transduction &gt;Intracellular signaling cascade &gt;Other intracellular signaling cascade. </t>
  </si>
  <si>
    <t>anaphase promoting complex subunit 1</t>
  </si>
  <si>
    <t>central element|centric heterochromatin|spindle|microtubule|midbody|protein complex</t>
  </si>
  <si>
    <t>INNER CENTROMERE PROTEIN</t>
  </si>
  <si>
    <t>PTD016 protein</t>
  </si>
  <si>
    <t>regulation of progression through cell cycle|ubiquitin cycle|cell cycle|mitosis|cell division</t>
  </si>
  <si>
    <t>MEIOTIC CHECKPOINT REGULATOR TSG24 FAMILY MEMBER</t>
  </si>
  <si>
    <t>endosome|plasma membrane|integral to plasma membrane|membrane</t>
  </si>
  <si>
    <t>LOW DENSITY LIPOPROTEIN RECEPTOR</t>
  </si>
  <si>
    <t>nucleotide binding|DNA binding|RNA binding|protein binding|ATP binding</t>
  </si>
  <si>
    <t>spliceosome|ribonucleoprotein complex|heterogeneous nuclear ribonucleoprotein complex</t>
  </si>
  <si>
    <t>RIBONUCLEOPROTEIN</t>
  </si>
  <si>
    <t>HETEROGENEOUS NUCLEAR RIBONUCLEOPROTEIN U</t>
  </si>
  <si>
    <t>cell division cycle 73, Paf1/RNA polymerase II complex component, homolog (S. cerevisiae)</t>
  </si>
  <si>
    <t>transcription|cell cycle|negative regulation of progression through cell cycle</t>
  </si>
  <si>
    <t>CDC73 DOMAIN PROTEIN</t>
  </si>
  <si>
    <t>HYPERPARATHYROIDISM HOMOLOG</t>
  </si>
  <si>
    <t>microtubule associated serine/threonine kinase-like</t>
  </si>
  <si>
    <t>SERINE/THREONINE PROTEIN KINASE</t>
  </si>
  <si>
    <t>SERINE/THREONINE-PROTEIN KINASE RIM15(YEAST)-RELATED</t>
  </si>
  <si>
    <t>nuclear receptor subfamily 1, group H, member 3</t>
  </si>
  <si>
    <t>transcription|regulation of transcription, DNA-dependent|negative regulation of transcription|cellular lipid metabolic process</t>
  </si>
  <si>
    <t>spindle pole|cytoplasm|cytoskeleton|microtubule|dynein complex</t>
  </si>
  <si>
    <t>DYNACTIN 1-RELATED MICROTUBULE-BINDING</t>
  </si>
  <si>
    <t>DYNACTIN 1</t>
  </si>
  <si>
    <t>protein phosphatase 2, regulatory subunit B', gamma isoform</t>
  </si>
  <si>
    <t>amiloride-sensitive cation channel 1, neuronal (degenerin)</t>
  </si>
  <si>
    <t>MEMBRALIN/KINETOCHORE PROTEIN NUF2</t>
  </si>
  <si>
    <t>KINETOCHORE PROTEIN NUF2</t>
  </si>
  <si>
    <t xml:space="preserve">Cell cycle &gt;Mitosis &gt;Chromosome segregation. </t>
  </si>
  <si>
    <t>adrenergic, alpha-1A-, receptor</t>
  </si>
  <si>
    <t>apoptosis|smooth muscle contraction|signal transduction|G-protein coupled receptor protein signaling pathway|protein kinase cascade|cell-cell signaling|negative regulation of cell proliferation</t>
  </si>
  <si>
    <t>protein binding|amiloride-sensitive sodium channel activity|sodium ion binding</t>
  </si>
  <si>
    <t>membrane fraction|integral to plasma membrane|membrane|neuron projection|cell soma</t>
  </si>
  <si>
    <t>ACID SENSING ION CHANNEL 1, NEURONAL</t>
  </si>
  <si>
    <t>FYN binding protein (FYB-120/130)</t>
  </si>
  <si>
    <t>protein amino acid O-linked glycosylation|lipid metabolic process|lipid transport|endocytosis|steroid metabolic process|cholesterol metabolic process|cholesterol absorption|cholesterol transport|lipoprotein metabolic process|cholesterol homeostasis</t>
  </si>
  <si>
    <t>receptor activity|transmembrane receptor activity|low-density lipoprotein receptor activity|lipid transporter activity|calcium ion binding|lipoprotein binding</t>
  </si>
  <si>
    <t>UNCHARACTERIZED RING FINGER-CONTAINING PROTEIN</t>
  </si>
  <si>
    <t>heterogeneous nuclear ribonucleoprotein U (scaffold attachment factor A)</t>
  </si>
  <si>
    <t>mRNA processing|RNA splicing</t>
  </si>
  <si>
    <t>PEROXISOME ASSEMBLY FACTOR-2 (PEROXISOMAL-TYPE ATPASE 1)</t>
  </si>
  <si>
    <t>zonadhesin</t>
  </si>
  <si>
    <t>binding of sperm to zona pellucida|cell-cell adhesion</t>
  </si>
  <si>
    <t>plasma membrane|integral to membrane</t>
  </si>
  <si>
    <t>EXTRACELLULAR MATRIX GLYCOPROTEIN RELATED</t>
  </si>
  <si>
    <t>ZONADHESIN</t>
  </si>
  <si>
    <t>extra spindle pole bodies homolog 1 (S. cerevisiae)</t>
  </si>
  <si>
    <t>mitotic sister chromatid segregation|regulation of progression through cell cycle|meiotic spindle organization and biogenesis|cytokinesis|proteolysis|apoptosis|chromosome segregation|establishment of mitotic spindle localization|homologous chromosome segregation|positive regulation of mitotic metaphase/anaphase transition|negative regulation of sister chromatid cohesion</t>
  </si>
  <si>
    <t>one-carbon compound metabolic process</t>
  </si>
  <si>
    <t>carbonate dehydratase activity|zinc ion binding|lyase activity|metal ion binding</t>
  </si>
  <si>
    <t>CARBONIC ANHYDRASE</t>
  </si>
  <si>
    <t>CARBONIC ANHYDRASE I (CARBONATE DEHYDRATASE I)</t>
  </si>
  <si>
    <t>dynactin 1 (p150, glued homolog, Drosophila)</t>
  </si>
  <si>
    <t>mitosis|nervous system development</t>
  </si>
  <si>
    <t>motor activity|protein binding</t>
  </si>
  <si>
    <t xml:space="preserve">Signal transduction &gt;Intracellular signaling cascade. </t>
  </si>
  <si>
    <t>centrin, EF-hand protein, 1</t>
  </si>
  <si>
    <t>cell cycle|mitosis|mitotic centrosome separation|cell division</t>
  </si>
  <si>
    <t>centrosome|spindle pole body|cytoskeleton</t>
  </si>
  <si>
    <t>CALCIUM BINDING PROTEIN</t>
  </si>
  <si>
    <t>CENTRIN</t>
  </si>
  <si>
    <t>antiporter activity|solute:hydrogen antiporter activity|sodium:hydrogen antiporter activity|sodium:hydrogen antiporter activity|sodium ion binding</t>
  </si>
  <si>
    <t>mitochondrion|endoplasmic reticulum membrane|microsome|membrane|integral to membrane|integral to membrane</t>
  </si>
  <si>
    <t>cytoplasm|cytoplasmic dynein complex|microtubule|dynein complex</t>
  </si>
  <si>
    <t>DYNEIN HEAVY CHAIN</t>
  </si>
  <si>
    <t>ATP-binding cassette, sub-family A (ABC1), member 1</t>
  </si>
  <si>
    <t>lipid metabolic process|transport|steroid metabolic process|cholesterol metabolic process</t>
  </si>
  <si>
    <t>protein amino acid phosphorylation|NLS-bearing substrate import into nucleus|immune response|signal transduction|protein kinase cascade|biological_process</t>
  </si>
  <si>
    <t xml:space="preserve">Protein metabolism and modification &gt;Proteolysis. Cell cycle &gt;Cell cycle control. </t>
  </si>
  <si>
    <t>epithelial cell transforming sequence 2 oncogene</t>
  </si>
  <si>
    <t>intracellular signaling cascade|regulation of Rho protein signal transduction|positive regulation of I-kappaB kinase/NF-kappaB cascade</t>
  </si>
  <si>
    <t>signal transducer activity|guanyl-nucleotide exchange factor activity|Rho guanyl-nucleotide exchange factor activity|protein binding</t>
  </si>
  <si>
    <t>EPITHELIAL CELL TRANSFORMING-2 (ECT-2)</t>
  </si>
  <si>
    <t xml:space="preserve">Signaling molecule. </t>
  </si>
  <si>
    <t>low density lipoprotein receptor (familial hypercholesterolemia)</t>
  </si>
  <si>
    <t>nuclear chromosome|condensin complex|condensin complex|chromosome|cytoplasm</t>
  </si>
  <si>
    <t>STRUCTURAL MAINTENANCE OF CHROMOSOMES SMC FAMILY MEMBER</t>
  </si>
  <si>
    <t>STRUCTURAL MAINTENANCE OF CHROMOSOMES SMC2</t>
  </si>
  <si>
    <t>centrosomal protein 55kDa</t>
  </si>
  <si>
    <t>cell cycle|mitosis|cell division</t>
  </si>
  <si>
    <t>inner centromere protein antigens 135/155kDa</t>
  </si>
  <si>
    <t>cytokinesis|cell cycle|chromosome segregation|mitosis</t>
  </si>
  <si>
    <t>nucleus|cytoplasm|centrosome</t>
  </si>
  <si>
    <t>EXTRA SPINDLE POLES 1-RELATED</t>
  </si>
  <si>
    <t>SSU72 RNA polymerase II CTD phosphatase homolog (S. cerevisiae)</t>
  </si>
  <si>
    <t>hydroxyacylglutathione hydrolase</t>
  </si>
  <si>
    <t>rhodopsin-like receptor activity|receptor activity|adrenoceptor activity|alpha1-adrenergic receptor activity|alpha1-adrenergic receptor activity</t>
  </si>
  <si>
    <t>ALPHA-1A AND 1C ADRENERGIC RECEPTOR</t>
  </si>
  <si>
    <t>peroxisomal biogenesis factor 6</t>
  </si>
  <si>
    <t>peroxisome organization and biogenesis</t>
  </si>
  <si>
    <t>nucleotide binding|ATP binding|nucleoside-triphosphatase activity|ATPase activity, coupled</t>
  </si>
  <si>
    <t>cytoplasm|peroxisome|membrane</t>
  </si>
  <si>
    <t>AAA-FAMILY ATPASE</t>
  </si>
  <si>
    <t>TYPE II INTERGRAL TRANSMEMBRANE PROTEIN (ITM2)</t>
  </si>
  <si>
    <t>INTEGRAL TRANSMEMBRANE PROTEIN 2B</t>
  </si>
  <si>
    <t>glutamate receptor, ionotropic, N-methyl D-aspartate 2C</t>
  </si>
  <si>
    <t>ion transport|glutamate signaling pathway|regulation of synaptic plasticity</t>
  </si>
  <si>
    <t>protein binding|cysteine-type peptidase activity</t>
  </si>
  <si>
    <t>SODIUM/HYDROGEN EXCHANGER 7, 9 (NHE7, NHE9)</t>
  </si>
  <si>
    <t>chaperonin containing TCP1, subunit 8 (theta)</t>
  </si>
  <si>
    <t>transcription factor activity|steroid hormone receptor activity|transcription coactivator activity|thyroid hormone receptor activity|protein binding|zinc ion binding|sequence-specific DNA binding|metal ion binding</t>
  </si>
  <si>
    <t>NUCLEAR HORMONE RECEPTOR</t>
  </si>
  <si>
    <t>LIVER X RECEPTOR (LXR)</t>
  </si>
  <si>
    <t>kinesin family member 20A</t>
  </si>
  <si>
    <t>response to acid|sodium ion transport|synaptic transmission|central nervous system development|peripheral nervous system development|phototransduction|sensory perception of sound|response to mechanical stimulus|negative regulation of apoptosis|detection of mechanical stimulus during sensory perception</t>
  </si>
  <si>
    <t>carbonic anhydrase I</t>
  </si>
  <si>
    <t>hydroxyacylglutathione hydrolase activity|zinc ion binding|hydrolase activity|metal ion binding</t>
  </si>
  <si>
    <t>BETA LACTAMASE DOMAIN</t>
  </si>
  <si>
    <t>HYDROXYACYLGLUTATHIONE HYDROLASE</t>
  </si>
  <si>
    <t>adaptor-related protein complex 2, mu 1 subunit</t>
  </si>
  <si>
    <t>protein complex assembly|intracellular protein transport|vesicle-mediated transport</t>
  </si>
  <si>
    <t>transporter activity|protein binding|lipid binding|protein transporter activity</t>
  </si>
  <si>
    <t>membrane|clathrin adaptor complex|clathrin coat of coated pit</t>
  </si>
  <si>
    <t>CLATHRIN COAT ASSEMBLY PROTEIN</t>
  </si>
  <si>
    <t>CLATHRIN COAT ASSOCIATED PROTEIN AP-50</t>
  </si>
  <si>
    <t>calcium and integrin binding family member 3</t>
  </si>
  <si>
    <t>calcium ion binding</t>
  </si>
  <si>
    <t>CALCINEURIN B</t>
  </si>
  <si>
    <t>DNA-DEPENDENT PROTEIN KINASE CATALYTIC SUBUNIT-INTERACTING PROTEIN 2</t>
  </si>
  <si>
    <t>plasma membrane|integral to plasma membrane|integral to membrane</t>
  </si>
  <si>
    <t>PROSTAGLANDIN RECEPTOR</t>
  </si>
  <si>
    <t>THROMBOXANE A2 RECEPTOR</t>
  </si>
  <si>
    <t>glutamate receptor, ionotropic, kainate 5</t>
  </si>
  <si>
    <t>ion transport|synaptic transmission</t>
  </si>
  <si>
    <t>receptor activity|ionotropic glutamate receptor activity|ion channel activity|extracellular-glutamate-gated ion channel activity|kainate selective glutamate receptor activity</t>
  </si>
  <si>
    <t>membrane|integral to membrane|integral to membrane|cell junction|synapse</t>
  </si>
  <si>
    <t>GLUTAMATE RECEPTOR, IONOTROPIC KAINATE 5</t>
  </si>
  <si>
    <t>solute carrier family 9 (sodium/hydrogen exchanger), member 6</t>
  </si>
  <si>
    <t>nucleotide binding|protein binding|ATP binding|ATP binding|anion transmembrane transporter activity|sterol transporter activity|ATPase activity</t>
  </si>
  <si>
    <t>ATP-BINDING CASSETTE TRANSPORTER SUBFAMILY A (ABCA)</t>
  </si>
  <si>
    <t>ABCA1</t>
  </si>
  <si>
    <t>myogenic differentiation 1</t>
  </si>
  <si>
    <t>receptor binding|protein binding</t>
  </si>
  <si>
    <t>nucleus|cytoplasm|actin cytoskeleton</t>
  </si>
  <si>
    <t>SH2 CONTAINING ADAPTOR PRAM-1 RELATED</t>
  </si>
  <si>
    <t>FYN-BINDING PROTEIN</t>
  </si>
  <si>
    <t>structural maintenance of chromosomes 2</t>
  </si>
  <si>
    <t>DNA metabolic process|cell cycle|mitosis|mitotic chromosome condensation|chromosome organization and biogenesis|cell division</t>
  </si>
  <si>
    <t>nucleotide binding|protein binding|ATP binding|protein heterodimerization activity</t>
  </si>
  <si>
    <t>electron transport|RNA catabolic process|protein folding|response to virus</t>
  </si>
  <si>
    <t>regulation of transcription from RNA polymerase II promoter|protein amino acid phosphorylation|multicellular organismal development|myoblast cell fate determination|striated muscle development|cell differentiation|myoblast differentiation</t>
  </si>
  <si>
    <t>RNA polymerase II transcription factor activity, enhancer binding|transcription coactivator activity|protein binding</t>
  </si>
  <si>
    <t>MYOGENIC FACTOR</t>
  </si>
  <si>
    <t>MYOGENIC DETERMINING FACTOR 1, MYOD1</t>
  </si>
  <si>
    <t>NUF2, NDC80 kinetochore complex component, homolog (S. cerevisiae)</t>
  </si>
  <si>
    <t>cell cycle|chromosome segregation|mitosis|cell division</t>
  </si>
  <si>
    <t>molecular_function|protein binding</t>
  </si>
  <si>
    <t>chromosome, pericentric region|chromosome, pericentric region</t>
  </si>
  <si>
    <t>nuclear chromosome|nucleus|transcription factor complex</t>
  </si>
  <si>
    <t>JUN TRANSCRIPTION FACTOR-RELATED</t>
  </si>
  <si>
    <t>TRANSCRIPTION FACTOR C-JUN</t>
  </si>
  <si>
    <t>GABA-A receptor activity|ion channel activity|extracellular ligand-gated ion channel activity|chloride channel activity|protein binding|benzodiazepine receptor activity|neurotransmitter receptor activity|chloride ion binding</t>
  </si>
  <si>
    <t>integral to plasma membrane|integral to membrane|cell junction|synapse|postsynaptic membrane</t>
  </si>
  <si>
    <t>GAMMA-AMINOBUTYRIC-ACID RECEPTOR A GAMMA SUBUNIT 1, 2, 3, 4</t>
  </si>
  <si>
    <t>dynein, cytoplasmic 1, heavy chain 1</t>
  </si>
  <si>
    <t>microtubule-based movement|microtubule-based movement|mitotic spindle organization and biogenesis</t>
  </si>
  <si>
    <t>magnesium ion binding|receptor activity|ionotropic glutamate receptor activity|N-methyl-D-aspartate selective glutamate receptor activity|ion channel activity|extracellular-glutamate-gated ion channel activity|calcium ion binding</t>
  </si>
  <si>
    <t>integral to plasma membrane|membrane|integral to membrane|cell junction|synapse</t>
  </si>
  <si>
    <t>GLUTAMATE RECEPTOR, IONOTROPIC, N-METHYL D-ASPARTATE EPSILON (NMDA EPSILON)</t>
  </si>
  <si>
    <t>jun oncogene</t>
  </si>
  <si>
    <t>nucleotide binding|ATP binding|ATPase activity, coupled|unfolded protein binding</t>
  </si>
  <si>
    <t>CHAPERONIN</t>
  </si>
  <si>
    <t>CHAPERONIN CONTAINING T-COMPLEX PROTEIN 1, THETA SUBUNIT, TCPQ</t>
  </si>
  <si>
    <t>nicotinic acetylcholine-activated cation-selective channel activity|muscarinic acetylcholine receptor activity|ion channel activity|extracellular ligand-gated ion channel activity|channel activity|neurotransmitter receptor activity</t>
  </si>
  <si>
    <t>regulation of progression through cell cycle|regulation of transcription, DNA-dependent|cellular process|leading edge cell differentiation|positive regulation of transcription from RNA polymerase II promoter</t>
  </si>
  <si>
    <t>transcription factor activity|RNA polymerase II transcription factor activity|sequence-specific DNA binding|protein dimerization activity</t>
  </si>
  <si>
    <t>thromboxane A2 receptor</t>
  </si>
  <si>
    <t>muscle contraction|signal transduction|G-protein coupled receptor protein signaling pathway|G-protein coupled receptor protein signaling pathway|respiratory gaseous exchange</t>
  </si>
  <si>
    <t>rhodopsin-like receptor activity|receptor activity|thromboxane receptor activity|thromboxane A2 receptor activity</t>
  </si>
  <si>
    <t>protein amino acid phosphorylation|cytoskeleton organization and biogenesis|protein kinase cascade</t>
  </si>
  <si>
    <t>cytoplasm|microtubule cytoskeleton</t>
  </si>
  <si>
    <t>MAP/MICROTUBULE AFFINITY-REGULATING KINASE 2,4</t>
  </si>
  <si>
    <t>TAF3 RNA polymerase II, TATA box binding protein (TBP)-associated factor, 140kDa</t>
  </si>
  <si>
    <t>transcription|regulation of transcription, DNA-dependent|maintenance of protein localization in nucleus</t>
  </si>
  <si>
    <t>splA/ryanodine receptor domain and SOCS box containing 1</t>
  </si>
  <si>
    <t>SPRY DOMAIN CONTAINING SOCS BOX PROTEIN</t>
  </si>
  <si>
    <t>deleted in colorectal carcinoma</t>
  </si>
  <si>
    <t>neuron migration|apoptosis|induction of apoptosis|cell cycle|multicellular organismal development|axonogenesis|negative regulation of progression through cell cycle</t>
  </si>
  <si>
    <t>transmembrane receptor activity|protein binding</t>
  </si>
  <si>
    <t>integral to plasma membrane|membrane|axon</t>
  </si>
  <si>
    <t>CELL ADHESION MOLECULE</t>
  </si>
  <si>
    <t>NEOGENIN</t>
  </si>
  <si>
    <t>similar to Cell division protein kinase 5 (Tau protein kinase II catalytic subunit) (TPKII catalytic subunit) (Serine/threonine-protein kinase PSSALRE)</t>
  </si>
  <si>
    <t>ATP-binding cassette, sub-family E (OABP), member 1</t>
  </si>
  <si>
    <t>nucleotide binding|ATP binding|ribonuclease inhibitor activity|electron carrier activity|ATPase activity|iron-sulfur cluster binding</t>
  </si>
  <si>
    <t>ATP-BINDING TRANSPORT PROTEIN-RELATED</t>
  </si>
  <si>
    <t>ATP-BINDING CASSETTE, SUB-FAMILY E (OABP), MEMBER 1</t>
  </si>
  <si>
    <t>kinesin family member 18A</t>
  </si>
  <si>
    <t>microtubule-based movement|protein transport</t>
  </si>
  <si>
    <t>microtubule|microtubule associated complex</t>
  </si>
  <si>
    <t>KINESIN-LIKE PROTEIN 5, 6</t>
  </si>
  <si>
    <t>gamma-aminobutyric acid (GABA) A receptor, gamma 2</t>
  </si>
  <si>
    <t>ion transport|chloride transport|gamma-aminobutyric acid signaling pathway|gamma-aminobutyric acid signaling pathway|synaptic transmission</t>
  </si>
  <si>
    <t>DNA binding|amidase activity|acrosin activity|copper ion binding|protein binding|protein binding|mannose binding|drug binding|peptidase activity|zinc ion binding|fucose binding</t>
  </si>
  <si>
    <t>acrosomal matrix|protein complex</t>
  </si>
  <si>
    <t>ACROSIN</t>
  </si>
  <si>
    <t>protein tyrosine phosphatase, non-receptor type 4 (megakaryocyte)</t>
  </si>
  <si>
    <t>protein amino acid dephosphorylation</t>
  </si>
  <si>
    <t>transforming growth factor beta receptor binding|protein binding|growth factor activity|transcription activator activity</t>
  </si>
  <si>
    <t>non-membrane spanning protein tyrosine phosphatase activity|structural molecule activity|cytoskeletal protein binding|hydrolase activity</t>
  </si>
  <si>
    <t>TRANSFORMING GROWTH FACTOR BETA 1, TGFB1</t>
  </si>
  <si>
    <t>diaphanous homolog 2 (Drosophila)</t>
  </si>
  <si>
    <t>nucleotide binding|microtubule motor activity|microtubule motor activity|protein binding|ATP binding|ATPase activity, coupled</t>
  </si>
  <si>
    <t>CYTOPLASMIC DYNEIN HEAVY CHAIN</t>
  </si>
  <si>
    <t>integral membrane protein 2B</t>
  </si>
  <si>
    <t>nervous system development|sensory perception of sound</t>
  </si>
  <si>
    <t>cytoplasm|cytoskeleton|extrinsic to membrane</t>
  </si>
  <si>
    <t>PROTEIN-TYROSINE PHOSPHATASE</t>
  </si>
  <si>
    <t>gb def: Mus musculus 4 days neonate male adipose cDNA, RIKEN full-length enriched librar</t>
  </si>
  <si>
    <t>cholinergic receptor, nicotinic, gamma</t>
  </si>
  <si>
    <t>ion transport|muscle contraction|signal transduction</t>
  </si>
  <si>
    <t>Golgi apparatus|plasma membrane|integral to plasma membrane|integral to membrane|cell junction|synapse|postsynaptic membrane</t>
  </si>
  <si>
    <t>ACETYLCHOLINE RECEPTOR PROTEIN, GAMMA CHAIN</t>
  </si>
  <si>
    <t>succinate dehydrogenase complex, subunit A, flavoprotein (Fp)</t>
  </si>
  <si>
    <t>tricarboxylic acid cycle|tricarboxylic acid cycle|electron transport|electron transport|transport|DNA integration</t>
  </si>
  <si>
    <t>succinate dehydrogenase activity|DNA binding|ribonuclease H activity|succinate dehydrogenase (ubiquinone) activity|zinc ion binding|integrase activity|oxidoreductase activity, acting on the CH-CH group of donors|FAD binding</t>
  </si>
  <si>
    <t>mitochondrion|mitochondrial respiratory chain complex II|membrane</t>
  </si>
  <si>
    <t>SUCCINATE DEHYDROGENASE 2 FLAVOPROTEIN SUBUNIT</t>
  </si>
  <si>
    <t>MAP/microtubule affinity-regulating kinase 1</t>
  </si>
  <si>
    <t>HYPOXIA-INDUCIBLE FACTOR 3 ALPHA, HIF-3 ALPHA</t>
  </si>
  <si>
    <t>guanine nucleotide binding protein (G protein), beta polypeptide 2-like 1</t>
  </si>
  <si>
    <t>receptor binding</t>
  </si>
  <si>
    <t>cytoplasm|cell soma</t>
  </si>
  <si>
    <t>RECEPTOR FOR ACTIVATED PROTEIN KINASE C (RACK1)</t>
  </si>
  <si>
    <t>aurora kinase B</t>
  </si>
  <si>
    <t>protein amino acid phosphorylation|cell cycle|mitosis|cell division</t>
  </si>
  <si>
    <t>nucleotide binding|protein serine/threonine kinase activity|protein binding|ATP binding|transferase activity</t>
  </si>
  <si>
    <t>chromosome, pericentric region|chromosome</t>
  </si>
  <si>
    <t>AURORA KINASE-RELATED</t>
  </si>
  <si>
    <t>gamma-aminobutyric acid (GABA) A receptor, delta</t>
  </si>
  <si>
    <t>ion transport|signal transduction</t>
  </si>
  <si>
    <t>integral to plasma membrane|cell junction|synapse|postsynaptic membrane</t>
  </si>
  <si>
    <t>GAMMA-AMINOBUTYRIC-ACID RECEPTOR A DELTA SUBUNIT (GABA A DELTA)</t>
  </si>
  <si>
    <t>potassium voltage-gated channel, subfamily G, member 4</t>
  </si>
  <si>
    <t>voltage-gated ion channel activity|voltage-gated potassium channel activity|protein binding|potassium ion binding</t>
  </si>
  <si>
    <t>VOLTAGE-GATED POTASSIUM CHANNEL</t>
  </si>
  <si>
    <t>VOLTAGE-GATED POTASSIUM CHANNEL PROTEIN KV6</t>
  </si>
  <si>
    <t>cyclin A2</t>
  </si>
  <si>
    <t>regulation of cyclin-dependent protein kinase activity|cell cycle|mitosis|mitotic cell cycle G2/M transition DNA damage checkpoint|positive regulation of transcription|cell division</t>
  </si>
  <si>
    <t>GABA-A receptor activity|ion channel activity|extracellular ligand-gated ion channel activity|chloride channel activity|neurotransmitter receptor activity|chloride ion binding</t>
  </si>
  <si>
    <t>monooxygenase activity|iron ion binding|cholesterol monooxygenase (side-chain-cleaving) activity|oxygen binding|heme binding|metal ion binding</t>
  </si>
  <si>
    <t>mitochondrion|membrane</t>
  </si>
  <si>
    <t>CYTOCHROME P450, SUBFAMILY 11A1</t>
  </si>
  <si>
    <t>G protein-coupled receptor 39</t>
  </si>
  <si>
    <t>rhodopsin-like receptor activity|receptor activity</t>
  </si>
  <si>
    <t>G-PROTEIN RECEPTOR GPR39</t>
  </si>
  <si>
    <t>PHD finger protein 21A</t>
  </si>
  <si>
    <t>RING FINGER-CONTAINING PROTEIN-RELATED</t>
  </si>
  <si>
    <t>RING FINGER-CONTAINING</t>
  </si>
  <si>
    <t>hypothetical gene LOC92755</t>
  </si>
  <si>
    <t>5,10-methylenetetrahydrofolate reductase (NADPH)</t>
  </si>
  <si>
    <t>female pronucleus|male pronucleus|nucleus|cytoplasm</t>
  </si>
  <si>
    <t>CYCLINS</t>
  </si>
  <si>
    <t>CYCLIN A</t>
  </si>
  <si>
    <t>RAB28, member RAS oncogene family</t>
  </si>
  <si>
    <t>small GTPase mediated signal transduction</t>
  </si>
  <si>
    <t>RAS-RELATED PROTEIN RAB-28</t>
  </si>
  <si>
    <t>sodium channel, nonvoltage-gated 1, beta (Liddle syndrome)</t>
  </si>
  <si>
    <t>ion transport|sodium ion transport|excretion|response to stimulus</t>
  </si>
  <si>
    <t>ion channel activity|protein binding|amiloride-sensitive sodium channel activity|sodium ion binding</t>
  </si>
  <si>
    <t>membrane fraction|integral to plasma membrane|membrane</t>
  </si>
  <si>
    <t>AMILORIDE-SENSITIVE SODIUM CHANNEL-RELATED</t>
  </si>
  <si>
    <t>AMILORIDE-SENSITIVE SODIUM CHANNEL BETA-SUBUNIT</t>
  </si>
  <si>
    <t>tubulin, gamma 1</t>
  </si>
  <si>
    <t>acrosin</t>
  </si>
  <si>
    <t>acrosome matrix dispersal|adenylate cyclase activation|penetration of zona pellucida</t>
  </si>
  <si>
    <t>cytokinesis|multicellular organismal development|cellular component organization and biogenesis|actin cytoskeleton organization and biogenesis|cell differentiation|oogenesis</t>
  </si>
  <si>
    <t>actin binding|receptor binding|Rho GTPase binding</t>
  </si>
  <si>
    <t>cytoplasm|endosome</t>
  </si>
  <si>
    <t>FORMIN-RELATED</t>
  </si>
  <si>
    <t>DIAPHANOUS HOMOLOG 2</t>
  </si>
  <si>
    <t>meiotic spindle organization and biogenesis|microtubule cytoskeleton organization and biogenesis|protein polymerization</t>
  </si>
  <si>
    <t>nucleotide binding|GTPase activity|structural constituent of cytoskeleton|protein binding|GTP binding</t>
  </si>
  <si>
    <t>skeletal development|epithelial to mesenchymal transition|protein amino acid phosphorylation|inflammatory response|transforming growth factor beta receptor signaling pathway|cell death|positive regulation of cell proliferation|negative regulation of cell proliferation|germ cell migration|organ morphogenesis|cell growth|regulation of striated muscle development|negative regulation of transcription|negative regulation of ossification|regulation of protein import into nucleus|regulatory T cell differentiation|negative regulation of progression through cell cycle|positive regulation of transcription, DNA-dependent|negative regulation of hormone secretion|positive regulation of isotype switching to IgA isotypes|lymph node development|regulation of DNA binding</t>
  </si>
  <si>
    <t>proteinaceous extracellular matrix|extracellular space</t>
  </si>
  <si>
    <t>signal transduction|neuropeptide signaling pathway|synaptic transmission|multicellular organismal development|spermatogenesis|feeding behavior|cell differentiation</t>
  </si>
  <si>
    <t>melanin-concentrating hormone activity</t>
  </si>
  <si>
    <t>extracellular region</t>
  </si>
  <si>
    <t>MELANIN-CONCENTRATING HORMONE</t>
  </si>
  <si>
    <t>gap junction protein, alpha 3, 46kDa</t>
  </si>
  <si>
    <t>transport|cell-cell signaling|visual perception</t>
  </si>
  <si>
    <t>integral to plasma membrane|connexon complex|membrane|cell junction</t>
  </si>
  <si>
    <t>CONNEXIN</t>
  </si>
  <si>
    <t>GAP JUNCTION ALPHA-3 PROTEIN (CONNEXIN 46)</t>
  </si>
  <si>
    <t>ring finger protein 144A</t>
  </si>
  <si>
    <t>Golgi apparatus</t>
  </si>
  <si>
    <t>pericentriolar material|condensed nuclear chromosome|gamma-tubulin complex|cytoplasm|cytoplasm|spindle pole body|polar microtubule|cytoplasmic microtubule</t>
  </si>
  <si>
    <t>TUBULIN</t>
  </si>
  <si>
    <t>TUBULIN GAMMA CHAIN</t>
  </si>
  <si>
    <t>syntaxin 11</t>
  </si>
  <si>
    <t>intracellular protein transport|membrane fusion|vesicle-mediated transport</t>
  </si>
  <si>
    <t>SNAP receptor activity|protein transporter activity</t>
  </si>
  <si>
    <t>SYNTAXIN 11</t>
  </si>
  <si>
    <t>hypoxia inducible factor 3, alpha subunit</t>
  </si>
  <si>
    <t>regulation of transcription, DNA-dependent|signal transduction</t>
  </si>
  <si>
    <t>DNA binding|signal transducer activity|transcription regulator activity</t>
  </si>
  <si>
    <t>nucleus|cytoplasm</t>
  </si>
  <si>
    <t>HYPOXIA-INDUCIBLE FACTOR 1 ALPHA</t>
  </si>
  <si>
    <t>DNA fragmentation during apoptosis|lipid metabolic process|apoptosis|DNA damage response, signal transduction resulting in induction of apoptosis</t>
  </si>
  <si>
    <t>intracellular|mitochondrion|mitochondrial envelope</t>
  </si>
  <si>
    <t>CELL DEATH ACTIVATOR CIDE</t>
  </si>
  <si>
    <t>CELL DEATH ACTIVATOR CIDE-A</t>
  </si>
  <si>
    <t>ATP-BINDING CASSETTE, SUB-FAMILY G, MEMBER 8 (STEROLIN-2) (ABCG8)</t>
  </si>
  <si>
    <t>transcription factor AP-4 (activating enhancer binding protein 4)</t>
  </si>
  <si>
    <t>regulation of transcription from RNA polymerase II promoter|multicellular organismal development|regulation of transcription</t>
  </si>
  <si>
    <t>anaphase promoting complex subunit 5</t>
  </si>
  <si>
    <t>amino acid metabolic process|methionine metabolic process|circulation|methionine biosynthetic process</t>
  </si>
  <si>
    <t>methylenetetrahydrofolate reductase (NADPH) activity|methylenetetrahydrofolate reductase (NADPH) activity|protein binding|oxidoreductase activity</t>
  </si>
  <si>
    <t>METHYLTETRAHYDROFOLATE:HOMOCYSTEINE METHYLTRANSFERASE RELATED</t>
  </si>
  <si>
    <t>METHYLENETETRAHYDROFOLATE REDUCTASE</t>
  </si>
  <si>
    <t>serpin peptidase inhibitor, clade A (alpha-1 antiproteinase, antitrypsin), member 7</t>
  </si>
  <si>
    <t>serine-type endopeptidase inhibitor activity|binding</t>
  </si>
  <si>
    <t>SERINE PROTEASE INHIBITOR, SERPIN</t>
  </si>
  <si>
    <t>THYROXINE-BINDING GLOBULIN</t>
  </si>
  <si>
    <t>transforming growth factor, beta 1</t>
  </si>
  <si>
    <t>MIXED LINEAGE PROTEIN KINASE</t>
  </si>
  <si>
    <t>TOUSLED-LIKE KINASE</t>
  </si>
  <si>
    <t>pro-melanin-concentrating hormone</t>
  </si>
  <si>
    <t>SODIUM/HYDROGEN EXCHANGER 5, 6, 8 (NHE5, NHE6, NHE8)</t>
  </si>
  <si>
    <t xml:space="preserve">Transporter &gt;Cation transporter. </t>
  </si>
  <si>
    <t>tenascin N</t>
  </si>
  <si>
    <t>cell-matrix adhesion|signal transduction|axonogenesis|cell growth|cell migration</t>
  </si>
  <si>
    <t>TIGHT JUNCTION PROTEIN ZO-1</t>
  </si>
  <si>
    <t xml:space="preserve">Cell junction protein &gt;Tight junction. </t>
  </si>
  <si>
    <t>thyrotropin-releasing hormone</t>
  </si>
  <si>
    <t>neuropeptide hormone activity|protein binding|thyrotropin-releasing hormone activity</t>
  </si>
  <si>
    <t>receptor activity|hematopoietin/interferon-class (D200-domain) cytokine receptor activity|interleukin-9 receptor activity</t>
  </si>
  <si>
    <t>ARIADNE RING ZINC FINGER</t>
  </si>
  <si>
    <t>UBIQUITIN CONJUGATING ENZYME 7 INTERACTING PROTEIN 4</t>
  </si>
  <si>
    <t>paired-like homeodomain 3</t>
  </si>
  <si>
    <t>regulation of transcription, DNA-dependent|multicellular organismal development|organ morphogenesis|midbrain development|neuron development</t>
  </si>
  <si>
    <t>transcription factor activity|sequence-specific DNA binding</t>
  </si>
  <si>
    <t>HOMEOBOX PROTEIN</t>
  </si>
  <si>
    <t>PITUITARY HOMEOBOX PROTEIN 1, 2, 3</t>
  </si>
  <si>
    <t>cholinergic receptor, nicotinic, alpha 7</t>
  </si>
  <si>
    <t>activation of MAPK activity|ion transport|signal transduction|synaptic transmission|negative regulation of tumor necrosis factor production</t>
  </si>
  <si>
    <t>nicotinic acetylcholine-activated cation-selective channel activity|ion channel activity|extracellular ligand-gated ion channel activity|protein binding|acetylcholine receptor activity|neurotransmitter receptor activity</t>
  </si>
  <si>
    <t>HLA-B associated transcript 3</t>
  </si>
  <si>
    <t>SCYTHE/BAT3</t>
  </si>
  <si>
    <t>plasma membrane|nicotinic acetylcholine-gated receptor-channel complex|integral to membrane|cell junction|synapse|postsynaptic membrane</t>
  </si>
  <si>
    <t>NEUROTRANSMITTER GATED ION CHANNEL</t>
  </si>
  <si>
    <t xml:space="preserve">Ligase &gt;Ubiquitin-protein ligase. Miscellaneous function &gt;Other miscellaneous function protein. </t>
  </si>
  <si>
    <t>RAB11B, member RAS oncogene family</t>
  </si>
  <si>
    <t>RAS-RELATED PROTEIN RAB-11</t>
  </si>
  <si>
    <t>cell death-inducing DFFA-like effector a</t>
  </si>
  <si>
    <t>DESMIN</t>
  </si>
  <si>
    <t xml:space="preserve">Cytoskeletal protein &gt;Intermediate filament. Miscellaneous function &gt;Structural protein. </t>
  </si>
  <si>
    <t>chromosome 14 open reading frame 169</t>
  </si>
  <si>
    <t>chromosome 17 open reading frame 60</t>
  </si>
  <si>
    <t>IMMUNOGLOBULIN FC RECEPTOR</t>
  </si>
  <si>
    <t>IMMUNOGLOBULIN FC RECEPTOR RELATED</t>
  </si>
  <si>
    <t>NICOTINIC ACETYLCHOLINE RECEPTOR ALPHA 7</t>
  </si>
  <si>
    <t>cytochrome P450, family 11, subfamily A, polypeptide 1</t>
  </si>
  <si>
    <t>electron transport|lipid metabolic process|C21-steroid hormone biosynthetic process|androgen biosynthetic process|steroid metabolic process|cholesterol metabolic process</t>
  </si>
  <si>
    <t>protein folding|apoptosis|anti-apoptosis</t>
  </si>
  <si>
    <t>receptor signaling protein activity|protein binding</t>
  </si>
  <si>
    <t>BCL2-ASSOCIATED ATHANOGENE</t>
  </si>
  <si>
    <t>regulation of progression through cell cycle|G2/M transition of mitotic cell cycle|mitotic anaphase|ubiquitin-dependent protein catabolic process|ubiquitin cycle|cell cycle|cell division</t>
  </si>
  <si>
    <t>ubiquitin-protein ligase activity|binding</t>
  </si>
  <si>
    <t>anaphase-promoting complex</t>
  </si>
  <si>
    <t>zinc finger protein 606</t>
  </si>
  <si>
    <t>transcription|regulation of transcription, DNA-dependent</t>
  </si>
  <si>
    <t>DNA binding|zinc ion binding|metal ion binding</t>
  </si>
  <si>
    <t>ZINC FINGER PROTEINS</t>
  </si>
  <si>
    <t>KRUEPPEL C2H2-TYPE ZINC FINGER</t>
  </si>
  <si>
    <t>tousled-like kinase 1</t>
  </si>
  <si>
    <t>regulation of chromatin assembly or disassembly|protein amino acid phosphorylation|protein amino acid phosphorylation|intracellular protein transport|response to DNA damage stimulus|cell cycle|intracellular signaling cascade|chromatin modification</t>
  </si>
  <si>
    <t>nucleotide binding|protein serine/threonine kinase activity|protein serine/threonine kinase activity|protein serine/threonine kinase activity|protein binding|ATP binding|ATP binding|transferase activity</t>
  </si>
  <si>
    <t>cellular_component|nucleus|nucleus</t>
  </si>
  <si>
    <t>transcription|regulation of transcription from RNA polymerase II promoter|protein complex assembly|protein amino acid phosphorylation|immune response</t>
  </si>
  <si>
    <t>signal transduction|cell-cell signaling|adult walking behavior|hormone-mediated signaling</t>
  </si>
  <si>
    <t>signal transducer activity|protein binding|phosphorylase kinase regulator activity|kinase activity</t>
  </si>
  <si>
    <t>cytoplasm|transcription elongation factor complex</t>
  </si>
  <si>
    <t>IKAPPAB KINASE COMPLEX-ASSOCIATED PROTEIN</t>
  </si>
  <si>
    <t>extracellular region|soluble fraction</t>
  </si>
  <si>
    <t>solute carrier family 9 (sodium/hydrogen exchanger), member 8</t>
  </si>
  <si>
    <t>ion transport|sodium ion transport|regulation of pH</t>
  </si>
  <si>
    <t>antiporter activity|solute:hydrogen antiporter activity|sodium:hydrogen antiporter activity</t>
  </si>
  <si>
    <t>integral to membrane</t>
  </si>
  <si>
    <t>SODIUM/HYDROGEN EXCHANGER</t>
  </si>
  <si>
    <t xml:space="preserve">Select regulatory molecule &gt;Kinase modulator &gt;Kinase activator. </t>
  </si>
  <si>
    <t>DnaJ (Hsp40) homolog, subfamily C, member 16</t>
  </si>
  <si>
    <t>protein folding</t>
  </si>
  <si>
    <t>heat shock protein binding|unfolded protein binding</t>
  </si>
  <si>
    <t>DNAJ/HSP40</t>
  </si>
  <si>
    <t>DNAJ-RELATED</t>
  </si>
  <si>
    <t xml:space="preserve">Chaperone &gt;Other chaperones. </t>
  </si>
  <si>
    <t>interleukin 9 receptor</t>
  </si>
  <si>
    <t>signal transduction|cell proliferation</t>
  </si>
  <si>
    <t>MULTIDRUG RESISTANCE PROTEIN 2 (ATP-BINDING CASSETTE PROTEIN C)</t>
  </si>
  <si>
    <t xml:space="preserve">Transporter &gt;ATP-binding cassette (ABC) transporter. </t>
  </si>
  <si>
    <t>extracellular space|integral to plasma membrane|membrane</t>
  </si>
  <si>
    <t>INTERLEUKIN-9 RECEPTOR</t>
  </si>
  <si>
    <t>protein serine kinase H2</t>
  </si>
  <si>
    <t>molecular_function|integrin binding|identical protein binding</t>
  </si>
  <si>
    <t>cellular_component|proteinaceous extracellular matrix|cell surface</t>
  </si>
  <si>
    <t>FIBRINOGEN AND FIBRONECTIN</t>
  </si>
  <si>
    <t>TENASCIN N, W</t>
  </si>
  <si>
    <t xml:space="preserve">Cell adhesion molecule. Extracellular matrix &gt;Extracellular matrix glycoprotein. </t>
  </si>
  <si>
    <t>protein-L-isoaspartate (D-aspartate) O-methyltransferase domain containing 2</t>
  </si>
  <si>
    <t>protein modification process</t>
  </si>
  <si>
    <t>protein-L-isoaspartate (D-aspartate) O-methyltransferase activity</t>
  </si>
  <si>
    <t>PROTEIN-L-ISOASPARTATE O-METHYLTRANSFERASE</t>
  </si>
  <si>
    <t>feline leukemia virus subgroup C cellular receptor 1</t>
  </si>
  <si>
    <t>transport|multicellular organismal development</t>
  </si>
  <si>
    <t>receptor activity|transporter activity</t>
  </si>
  <si>
    <t>FELINE LEUKEMIA VIRUS SUBGROUP C RECEPTOR-RELATED</t>
  </si>
  <si>
    <t xml:space="preserve">Transporter &gt;Other transporter. </t>
  </si>
  <si>
    <t>F-box and WD repeat domain containing 7</t>
  </si>
  <si>
    <t>protein ubiquitination</t>
  </si>
  <si>
    <t>F-BOX AND WD40 DOMAIN PROTEIN 7 (FBW7)</t>
  </si>
  <si>
    <t>transcription|regulation of transcription, DNA-dependent|chromatin modification</t>
  </si>
  <si>
    <t>MINA53 (MYC INDUCED NUCLEAR ANTIGEN)</t>
  </si>
  <si>
    <t xml:space="preserve">Receptor &gt;Immunoglobulin receptor family member. Defense/immunity protein &gt;Immunoglobulin receptor family member. </t>
  </si>
  <si>
    <t>ATP-binding cassette, sub-family G (WHITE), member 8 (sterolin 2)</t>
  </si>
  <si>
    <t>ATP binding|ATPase activity</t>
  </si>
  <si>
    <t>transcription factor activity|protein binding</t>
  </si>
  <si>
    <t>nucleus|transcription factor complex|cytoplasm</t>
  </si>
  <si>
    <t>E2F4</t>
  </si>
  <si>
    <t>BCL2-associated athanogene 4</t>
  </si>
  <si>
    <t>skeletal development|regulation of action potential|protein amino acid ADP-ribosylation|signal transduction|G-protein coupled receptor protein signaling pathway|G-protein signaling, adenylate cyclase activating pathway|phospholipase C activation|glutamate signaling pathway|heart development|blood coagulation|neuron remodeling|embryonic digit morphogenesis|regulation of melanocyte differentiation|pigmentation during development</t>
  </si>
  <si>
    <t>nucleotide binding|GTPase activity|signal transducer activity|GTP binding</t>
  </si>
  <si>
    <t>cytoplasm|heterotrimeric G-protein complex|plasma membrane</t>
  </si>
  <si>
    <t>GTP-BINDING PROTEIN ALPHA SUBUNIT</t>
  </si>
  <si>
    <t>GUANINE NUCLEOTIDE-BINDING PROTEIN G(Q), ALPHA SUBUNIT</t>
  </si>
  <si>
    <t>RNA polymerase II transcription factor activity, enhancer binding|transcription coactivator activity|transcription regulator activity</t>
  </si>
  <si>
    <t>BASIC HELIX-LOOP-HELIX ZIP TRANSCRIPTION FACTOR</t>
  </si>
  <si>
    <t>ACTIVATOR PROTEIN 4 (AP4)</t>
  </si>
  <si>
    <t>phosphoinositide-3-kinase, catalytic, alpha polypeptide</t>
  </si>
  <si>
    <t>glucose metabolic process|protein amino acid phosphorylation|anti-apoptosis|signal transduction|regulation of body size|protein kinase B signaling cascade</t>
  </si>
  <si>
    <t>inositol or phosphatidylinositol kinase activity|1-phosphatidylinositol-3-kinase activity|transferase activity|insulin receptor substrate binding|phosphatidylinositol-4,5-bisphosphate 3-kinase activity</t>
  </si>
  <si>
    <t>phosphoinositide 3-kinase complex|lamellipodium</t>
  </si>
  <si>
    <t>PHOSPHATIDYLINOSITOL KINASE</t>
  </si>
  <si>
    <t>PHOSPHATIDYLINOSITOL-4,5-BISPHOSPHATE 3-KINASE CATALYTIC SUBUNIT</t>
  </si>
  <si>
    <t>tight junction protein 1 (zona occludens 1)</t>
  </si>
  <si>
    <t>intercellular junction assembly</t>
  </si>
  <si>
    <t>protein binding|protein binding</t>
  </si>
  <si>
    <t>membrane fraction|septate junction|tight junction|tight junction|membrane|basolateral plasma membrane|cell junction</t>
  </si>
  <si>
    <t>TIGHT JUNCTION PROTEIN</t>
  </si>
  <si>
    <t>2'-5'-oligoadenylate synthetase activity|RNA binding|ATP binding|transferase activity</t>
  </si>
  <si>
    <t>mitochondrion|endoplasmic reticulum|microsome|membrane</t>
  </si>
  <si>
    <t>(2-5)OLIGOADENYLATE SYNTHETASE</t>
  </si>
  <si>
    <t>(2-5)OLIGOADENYLATE SYNTHETASE 2</t>
  </si>
  <si>
    <t>huntingtin (Huntington disease)</t>
  </si>
  <si>
    <t>apoptosis|anti-apoptosis|induction of apoptosis|behavior|pathogenesis|organ morphogenesis|anterior/posterior pattern formation|vesicle transport along microtubule|paraxial mesoderm formation</t>
  </si>
  <si>
    <t>transcription corepressor activity|transporter activity|protein binding|microtubule binding</t>
  </si>
  <si>
    <t>soluble fraction|nucleus|cytoplasm|Golgi apparatus|cytoplasmic membrane-bound vesicle|inclusion body</t>
  </si>
  <si>
    <t>HUNTINGTIN</t>
  </si>
  <si>
    <t>ATP-binding cassette, sub-family C (CFTR/MRP), member 10</t>
  </si>
  <si>
    <t>nucleotide binding|protein serine/threonine kinase activity|ATP binding|transferase activity</t>
  </si>
  <si>
    <t>SERINE/THREONINE KINASE PSKH</t>
  </si>
  <si>
    <t>Cas-Br-M (murine) ecotropic retroviral transforming sequence-like 1</t>
  </si>
  <si>
    <t>ubiquitin cycle|negative regulation of cell adhesion|positive regulation of cell migration|positive regulation of endocytosis</t>
  </si>
  <si>
    <t>ubiquitin-protein ligase activity|protein binding|zinc ion binding|ligase activity|metal ion binding</t>
  </si>
  <si>
    <t>E-CADHERIN BINDING PROTEIN E7-RELATED</t>
  </si>
  <si>
    <t>polymerase (DNA directed) iota</t>
  </si>
  <si>
    <t>DNA replication|DNA repair</t>
  </si>
  <si>
    <t>magnesium ion binding|DNA binding|iota DNA polymerase activity|transferase activity</t>
  </si>
  <si>
    <t>intracellular|nucleus|nucleoplasm</t>
  </si>
  <si>
    <t>DNA REPAIR POLYMERASE UMUC / TRANSFERASE FAMILY MEMBER</t>
  </si>
  <si>
    <t>DNA POLYMERASE IOTA</t>
  </si>
  <si>
    <t xml:space="preserve">Nucleic acid binding. </t>
  </si>
  <si>
    <t>desmin</t>
  </si>
  <si>
    <t>muscle contraction|cytoskeleton organization and biogenesis|regulation of heart contraction</t>
  </si>
  <si>
    <t>structural constituent of cytoskeleton|protein binding</t>
  </si>
  <si>
    <t>insoluble fraction|cytoplasm|cytoskeleton|intermediate filament|Z disc|sarcolemma|contractile fiber|synapse</t>
  </si>
  <si>
    <t>INTERMEDIATE FILAMENT</t>
  </si>
  <si>
    <t>RNA-BINDING PROTEIN</t>
  </si>
  <si>
    <t>HETEROGENEOUS NUCLEAR RIBONUCLEOPROTEIN</t>
  </si>
  <si>
    <t xml:space="preserve">Nucleic acid binding &gt;Ribonucleoprotein. </t>
  </si>
  <si>
    <t>chemokine (C-X-C motif) ligand 14</t>
  </si>
  <si>
    <t>chemotaxis|inflammatory response|immune response|signal transduction|cell-cell signaling</t>
  </si>
  <si>
    <t>regulation of transcription, DNA-dependent|signal transduction|androgen receptor signaling pathway|positive regulation of transcription, DNA-dependent</t>
  </si>
  <si>
    <t>transcription coactivator activity|transcription coactivator activity|histone acetyltransferase activity|signal transducer activity|receptor activity|acyltransferase activity|transferase activity|transcription regulator activity|nuclear hormone receptor binding|androgen receptor binding</t>
  </si>
  <si>
    <t>E2F transcription factor 5, p130-binding</t>
  </si>
  <si>
    <t>regulation of progression through cell cycle|transcription|regulation of transcription, DNA-dependent|organ morphogenesis</t>
  </si>
  <si>
    <t>BCL2-ASSOCIATED ATHANOGENE 4</t>
  </si>
  <si>
    <t xml:space="preserve">Chaperone. </t>
  </si>
  <si>
    <t>kinesin family member 25</t>
  </si>
  <si>
    <t>mitotic sister chromatid segregation|organelle organization and biogenesis|microtubule-based movement</t>
  </si>
  <si>
    <t>nucleotide binding|microtubule motor activity|ATP binding</t>
  </si>
  <si>
    <t>kinesin complex|microtubule</t>
  </si>
  <si>
    <t>KINESIN HEAVY CHAIN</t>
  </si>
  <si>
    <t>KINESIN-LIKE PROTEIN KIF25</t>
  </si>
  <si>
    <t xml:space="preserve">Cytoskeletal protein &gt;Microtubule family cytoskeletal protein &gt;Microtubule binding motor protein. </t>
  </si>
  <si>
    <t>cytochrome P450, family 1, subfamily B, polypeptide 1</t>
  </si>
  <si>
    <t>electron transport|electron transport|visual perception</t>
  </si>
  <si>
    <t>monooxygenase activity|monooxygenase activity|iron ion binding|protein binding|oxygen binding|heme binding|heme binding|metal ion binding|unspecific monooxygenase activity</t>
  </si>
  <si>
    <t>CYTOCHROME P450, SUBFAMILY 1B1</t>
  </si>
  <si>
    <t>F-box protein 16</t>
  </si>
  <si>
    <t>ubiquitin cycle</t>
  </si>
  <si>
    <t>F-BOX AND WD40 DOMAIN PROTEIN</t>
  </si>
  <si>
    <t>SULFUR METABOLITE REPRESSION CONTROL PROTEIN</t>
  </si>
  <si>
    <t>inhibitor of kappa light polypeptide gene enhancer in B-cells, kinase complex-associated protein</t>
  </si>
  <si>
    <t>nucleobase, nucleoside, nucleotide and nucleic acid metabolic process|RNA catabolic process|immune response</t>
  </si>
  <si>
    <t>THYROID HORMONE RECEPTOR-ASSOCIATED PROTEIN COMPLEX 100 KDA COMPONENT (TRAP100) (THYROID HORMONE RECEPTOR ASSOCIATED PROTEIN 4)</t>
  </si>
  <si>
    <t xml:space="preserve">Nucleic acid binding. Synthase and synthetase &gt;Synthetase. Transferase &gt;Nucleotidyltransferase. Defense/immunity protein. </t>
  </si>
  <si>
    <t>GTPase inhibitor activity|binding|protein binding|nuclear localization sequence binding|Ran GTPase binding|protein transporter activity</t>
  </si>
  <si>
    <t>nucleus|nuclear pore|cytoplasm</t>
  </si>
  <si>
    <t>IMPORTIN BETA</t>
  </si>
  <si>
    <t>IMPORTIN BETA-3</t>
  </si>
  <si>
    <t xml:space="preserve">Transporter &gt;Other transporter. Select regulatory molecule &gt;G-protein modulator &gt;Other G-protein modulator. </t>
  </si>
  <si>
    <t>acetyl-Coenzyme A carboxylase alpha</t>
  </si>
  <si>
    <t>fatty acid biosynthetic process|metabolic process</t>
  </si>
  <si>
    <t>ATP-binding cassette, sub-family C (CFTR/MRP), member 2</t>
  </si>
  <si>
    <t>nucleotide binding|transporter activity|ATP binding|organic anion transmembrane transporter activity|ATPase activity|ATPase activity, coupled to transmembrane movement of substances</t>
  </si>
  <si>
    <t>nucleotide binding|ATP binding|ATPase activity|ATPase activity, coupled to transmembrane movement of substances</t>
  </si>
  <si>
    <t>MULTIDRUG RESISTANCE-ASSOCIATED PROTEIN 7</t>
  </si>
  <si>
    <t>sorcin</t>
  </si>
  <si>
    <t>regulation of action potential|transport|intracellular sequestering of iron ion|regulation of striated muscle contraction|signal transduction|heart development|muscle development|regulation of heart contraction</t>
  </si>
  <si>
    <t>receptor binding|calcium channel regulator activity|calcium ion binding</t>
  </si>
  <si>
    <t>CALPAIN</t>
  </si>
  <si>
    <t>SORCIN</t>
  </si>
  <si>
    <t xml:space="preserve">Miscellaneous function &gt;Transmembrane receptor regulatory/adaptor protein. </t>
  </si>
  <si>
    <t>potassium voltage-gated channel, Isk-related family, member 3</t>
  </si>
  <si>
    <t>voltage-gated ion channel activity|voltage-gated potassium channel activity|potassium ion binding</t>
  </si>
  <si>
    <t>MINIMUM POTASSIUM ION CHANNEL-RELATED PEPTIDE 2</t>
  </si>
  <si>
    <t>MINIMUM POTASSIUM ION CHANNEL-RELATED PEPTIDE 2 (MIRP2)</t>
  </si>
  <si>
    <t>guanine nucleotide binding protein (G protein), q polypeptide</t>
  </si>
  <si>
    <t>nucleotide binding|nucleic acid binding|DNA binding|RNA binding|mRNA binding|protein binding|transcription activator activity</t>
  </si>
  <si>
    <t>chromosome, telomeric region|nucleus|chromosome|cytoplasm|ribonucleoprotein complex</t>
  </si>
  <si>
    <t>chemokine activity</t>
  </si>
  <si>
    <t>extracellular region|extracellular space|Golgi apparatus</t>
  </si>
  <si>
    <t>nuclear receptor coactivator 1</t>
  </si>
  <si>
    <t>transcription|regulation of transcription, DNA-dependent|cell cycle|multicellular organismal development|chromatin modification|histone deacetylation</t>
  </si>
  <si>
    <t>actin binding|zinc ion binding|specific transcriptional repressor activity|hydrolase activity|histone deacetylase binding|tubulin deacetylase activity|metal ion binding</t>
  </si>
  <si>
    <t>histone deacetylase complex|nucleus|cytoplasm|microtubule</t>
  </si>
  <si>
    <t>HISTONE DEACETYLASE 6</t>
  </si>
  <si>
    <t>granzyme A (granzyme 1, cytotoxic T-lymphocyte-associated serine esterase 3)</t>
  </si>
  <si>
    <t>nucleus|nucleus</t>
  </si>
  <si>
    <t>NUCLEAR RECEPTOR COACTIVATOR</t>
  </si>
  <si>
    <t>NUCLEAR RECEPTOR COACTIVATOR 1</t>
  </si>
  <si>
    <t xml:space="preserve">Transcription factor. Transferase &gt;Acetyltransferase. </t>
  </si>
  <si>
    <t>polycystic kidney disease 2 (autosomal dominant)</t>
  </si>
  <si>
    <t>cation transport|calcium ion transport|cellular calcium ion homeostasis|cell cycle arrest|cell-matrix adhesion|JAK-STAT cascade|determination of left/right symmetry|organ morphogenesis|detection of mechanical stimulus during sensory perception</t>
  </si>
  <si>
    <t>ion channel activity|voltage-gated chloride channel activity|voltage-gated sodium channel activity|calcium ion binding|protein C-terminus binding|cytoskeletal protein binding</t>
  </si>
  <si>
    <t>plasma membrane|cilium|basal body|actin cytoskeleton|integral to membrane</t>
  </si>
  <si>
    <t>POLYCYSTIN-RELATED</t>
  </si>
  <si>
    <t>POLYCYSTIN 2 (PKD2)</t>
  </si>
  <si>
    <t>interleukin 21</t>
  </si>
  <si>
    <t>signal transduction|positive regulation of T cell proliferation|positive regulation of interferon-gamma biosynthetic process|cell maturation</t>
  </si>
  <si>
    <t>interleukin-2 receptor binding</t>
  </si>
  <si>
    <t>2'-5'-oligoadenylate synthetase 2, 69/71kDa</t>
  </si>
  <si>
    <t>potassium inwardly-rectifying channel, subfamily J, member 3</t>
  </si>
  <si>
    <t>ion transport|potassium ion transport</t>
  </si>
  <si>
    <t>voltage-gated ion channel activity|G-protein activated inward rectifier potassium channel activity|potassium ion binding</t>
  </si>
  <si>
    <t>G PROTEIN-ACTIVATED INWARD RECTIFIER POTASSIUM CHANNEL 1 (KIR3.1)(GIRK1)</t>
  </si>
  <si>
    <t>RAN binding protein 5</t>
  </si>
  <si>
    <t>protein import into nucleus, docking|NLS-bearing substrate import into nucleus|intracellular protein transport</t>
  </si>
  <si>
    <t>mitochondrion|mitochondrial inner membrane|membrane|integral to membrane</t>
  </si>
  <si>
    <t>MITOCHONDRIAL CARRIER PROTEIN RELATED</t>
  </si>
  <si>
    <t>MITOCHONDRIAL CARRIER PROTEIN-RELATED</t>
  </si>
  <si>
    <t xml:space="preserve">Transfer/carrier protein &gt;Mitochondrial carrier protein. </t>
  </si>
  <si>
    <t>latrophilin 3</t>
  </si>
  <si>
    <t>signal transduction|neuropeptide signaling pathway</t>
  </si>
  <si>
    <t xml:space="preserve">Protease &gt;Other proteases. </t>
  </si>
  <si>
    <t>nucleotide binding|acetyl-CoA carboxylase activity|biotin carboxylase activity|protein binding|ATP binding|biotin binding|ligase activity|manganese ion binding|metal ion binding</t>
  </si>
  <si>
    <t>CARBOXYLASE:PYRUVATE/ACETYL-COA/PROPIONYL-COA CARBOXYLASE</t>
  </si>
  <si>
    <t>ACETYL-COA CARBOXYLASE</t>
  </si>
  <si>
    <t xml:space="preserve">Ligase &gt;Other ligase. </t>
  </si>
  <si>
    <t>aldehyde oxidase 1</t>
  </si>
  <si>
    <t>ATP-BINDING CASSETTE TRANSPORTER</t>
  </si>
  <si>
    <t>electron transport|oxygen and reactive oxygen species metabolic process|inflammatory response</t>
  </si>
  <si>
    <t>aldehyde oxidase activity|xanthine dehydrogenase activity|iron ion binding|electron carrier activity|oxidoreductase activity|molybdenum ion binding|metal ion binding|NAD binding|2 iron, 2 sulfur cluster binding</t>
  </si>
  <si>
    <t>XANTHINE DEHYDROGENASE</t>
  </si>
  <si>
    <t>ALDEHYDE OXIDASE 2</t>
  </si>
  <si>
    <t>LIM domain only 2 (rhombotin-like 1)</t>
  </si>
  <si>
    <t>multicellular organismal development</t>
  </si>
  <si>
    <t>LIM-ONLY PROTEIN 2 (RHOMBOTIN-2)</t>
  </si>
  <si>
    <t>heterogeneous nuclear ribonucleoprotein D (AU-rich element RNA binding protein 1, 37kDa)</t>
  </si>
  <si>
    <t>transcription|regulation of transcription, DNA-dependent|RNA processing|RNA catabolic process|mRNA catabolic process</t>
  </si>
  <si>
    <t>G-PROTEIN COUPLED RECEPTOR</t>
  </si>
  <si>
    <t>ENDOTHELIAL DIFFERENTIATION, SPHINGOLIPID G-PROTEIN-COUPLED RECEPTOR, 1</t>
  </si>
  <si>
    <t xml:space="preserve">Receptor &gt;G-protein coupled receptor. </t>
  </si>
  <si>
    <t>splicing factor, arginine/serine-rich 9</t>
  </si>
  <si>
    <t xml:space="preserve">Transcription factor &gt;Zinc finger transcription factor &gt;Other zinc finger transcription factor. </t>
  </si>
  <si>
    <t>ARGININE/SERINE-RICH SPLICING FACTOR</t>
  </si>
  <si>
    <t>transcription coactivator activity|zinc ion binding|metal ion binding</t>
  </si>
  <si>
    <t>LIM DOMAIN CONTAINING PROTEIN</t>
  </si>
  <si>
    <t>FOUR AND A HALF LIM DOMAINS</t>
  </si>
  <si>
    <t>histone deacetylase 6</t>
  </si>
  <si>
    <t>serine-type endopeptidase activity|calcium ion binding|protein binding|growth factor activity</t>
  </si>
  <si>
    <t>HEPATOCYTE GROWTH FACTOR</t>
  </si>
  <si>
    <t>RHO GUANINE NUCLEOTIDE EXCHANGE FACTOR</t>
  </si>
  <si>
    <t>RHO GUANINE NUCLEOTIDE EXCHANGE FACTOR 10</t>
  </si>
  <si>
    <t xml:space="preserve">Protease &gt;Cysteine protease. </t>
  </si>
  <si>
    <t>interleukin 6 receptor</t>
  </si>
  <si>
    <t>proteolysis|apoptosis|cleavage of lamin|immune response|cytolysis</t>
  </si>
  <si>
    <t>granzyme A activity|peptidase activity|protein homodimerization activity</t>
  </si>
  <si>
    <t>immunological synapse|nucleus</t>
  </si>
  <si>
    <t>GRANZYME A</t>
  </si>
  <si>
    <t>PYD and CARD domain containing</t>
  </si>
  <si>
    <t>proteolysis|induction of apoptosis|caspase activation|cell cycle|signal transduction|regulation of apoptosis|negative regulation of progression through cell cycle|positive regulation of interleukin-1 beta secretion</t>
  </si>
  <si>
    <t>protein binding|caspase activator activity|caspase activity|Pyrin domain binding|protein homodimerization activity</t>
  </si>
  <si>
    <t>CASPASE RELATED</t>
  </si>
  <si>
    <t>CARD DOMAIN CONTAINING</t>
  </si>
  <si>
    <t>mediator complex subunit 24</t>
  </si>
  <si>
    <t>transcription|regulation of transcription, DNA-dependent|transcription initiation from RNA polymerase II promoter|androgen receptor signaling pathway</t>
  </si>
  <si>
    <t>nucleotide binding|transcription cofactor activity|receptor activity|ATP binding|zinc ion binding|RNA polymerase II transcription mediator activity|transcription activator activity|ligand-dependent nuclear receptor transcription coactivator activity|vitamin D receptor binding|metal ion binding|thyroid hormone receptor binding</t>
  </si>
  <si>
    <t>protein binding|insulin-like growth factor binding|growth factor activity</t>
  </si>
  <si>
    <t>extracellular region|extracellular region</t>
  </si>
  <si>
    <t>ENDOTHELIAL CELL-SPECIFIC MOLECULE 1 (ESM-1)</t>
  </si>
  <si>
    <t>alpha-fetoprotein</t>
  </si>
  <si>
    <t>ovulation (sensu Mammalia)|transport|immune response|sexual reproduction|progesterone metabolic process</t>
  </si>
  <si>
    <t>solute carrier family 25 (mitochondrial thiamine pyrophosphate carrier), member 19</t>
  </si>
  <si>
    <t>transport|deoxynucleotide transport</t>
  </si>
  <si>
    <t>transporter activity|binding|deoxynucleotide transmembrane transporter activity</t>
  </si>
  <si>
    <t>INWARD RECTIFIER POTASSIUM CHANNEL</t>
  </si>
  <si>
    <t xml:space="preserve">Transfer/carrier protein &gt;Other transfer/carrier protein. </t>
  </si>
  <si>
    <t>proteasome (prosome, macropain) subunit, alpha type, 3</t>
  </si>
  <si>
    <t>ubiquitin-dependent protein catabolic process</t>
  </si>
  <si>
    <t>threonine endopeptidase activity|protein binding</t>
  </si>
  <si>
    <t>nucleus|cytoplasm|cytosol|proteasome core complex (sensu Eukaryota)</t>
  </si>
  <si>
    <t>PROTEASOME SUBUNIT ALPHA/BETA</t>
  </si>
  <si>
    <t>PROTEASOME SUBUNIT ALPHA TYPE 3</t>
  </si>
  <si>
    <t>L-lactate dehydrogenase activity|protein binding|oxidoreductase activity</t>
  </si>
  <si>
    <t>MALATE AND LACTATE DEHYDROGENASE</t>
  </si>
  <si>
    <t>L-LACTATE DEHYDROGENASE</t>
  </si>
  <si>
    <t>receptor activity|G-protein coupled receptor activity|G-protein coupled receptor activity|sugar binding|latrotoxin receptor activity</t>
  </si>
  <si>
    <t>LATROPHILIN 3</t>
  </si>
  <si>
    <t>transmembrane protease, serine 11E</t>
  </si>
  <si>
    <t>serine-type endopeptidase activity</t>
  </si>
  <si>
    <t>integral to plasma membrane|membrane</t>
  </si>
  <si>
    <t>SERINE PROTEASE DESC1</t>
  </si>
  <si>
    <t>CD2 molecule</t>
  </si>
  <si>
    <t>lipid raft polarization|induction of apoptosis|cell surface receptor linked signal transduction|cell-cell adhesion|natural killer cell activation|positive regulation of myeloid dendritic cell activation|T cell activation|regulation of T cell differentiation</t>
  </si>
  <si>
    <t>receptor activity|protein binding|protein binding</t>
  </si>
  <si>
    <t>SIGNALING LYMPHOCYTIC ACTIVATION MOLECULE</t>
  </si>
  <si>
    <t>T-CELL SURFACE ANTIGEN CD2 PRECURSOR</t>
  </si>
  <si>
    <t xml:space="preserve">Receptor &gt;Immunoglobulin receptor family member. Signaling molecule. Cell adhesion molecule. Kinase &gt;Protein kinase. Defense/immunity protein &gt;Immunoglobulin receptor family member. </t>
  </si>
  <si>
    <t>four and a half LIM domains 5</t>
  </si>
  <si>
    <t>lysosphingolipid and lysophosphatidic acid receptor activity|receptor activity|lipid binding</t>
  </si>
  <si>
    <t>CHOLINE/ETHANOLAMINE KINASE</t>
  </si>
  <si>
    <t xml:space="preserve">Kinase &gt;Other kinase. </t>
  </si>
  <si>
    <t>fructose-1,6-bisphosphatase 1</t>
  </si>
  <si>
    <t>carbohydrate metabolic process|fructose metabolic process|gluconeogenesis</t>
  </si>
  <si>
    <t xml:space="preserve">Nucleic acid binding &gt;mRNA processing factor &gt;mRNA splicing factor. </t>
  </si>
  <si>
    <t>hepatocyte growth factor (hepapoietin A  scatter factor)</t>
  </si>
  <si>
    <t>epithelial to mesenchymal transition|proteolysis|mitosis|blood coagulation</t>
  </si>
  <si>
    <t>fructose-2,6-bisphosphate 2-phosphatase activity|zinc ion binding|hydrolase activity|fructose-bisphosphatase activity|phosphoric ester hydrolase activity|identical protein binding</t>
  </si>
  <si>
    <t>mRNA splice site selection|mRNA processing|RNA splicing</t>
  </si>
  <si>
    <t>nucleotide binding|RNA binding</t>
  </si>
  <si>
    <t xml:space="preserve">Phosphatase &gt;Carbohydrate phosphatase. </t>
  </si>
  <si>
    <t>receptor (G protein-coupled) activity modifying protein 1</t>
  </si>
  <si>
    <t>transport|intracellular protein transport|regulation of G-protein coupled receptor protein signaling pathway</t>
  </si>
  <si>
    <t>receptor activity|protein transporter activity</t>
  </si>
  <si>
    <t>RECEPTOR ACTIVITY MODIFYING PROTEIN (RAMP)</t>
  </si>
  <si>
    <t>RECEPTOR ACTIVITY MODIFYING PROTEIN 1, RAMP1</t>
  </si>
  <si>
    <t>Rho guanine nucleotide exchange factor (GEF) 10</t>
  </si>
  <si>
    <t>regulation of Rho protein signal transduction</t>
  </si>
  <si>
    <t xml:space="preserve">Signaling molecule &gt;Growth factor. Signaling molecule &gt;Peptide hormone. Select regulatory molecule &gt;Protease inhibitor &gt;Other protease inhibitor. Select regulatory molecule &gt;Other enzyme regulator &gt;Other enzyme inhibitor. Hydrolase. Protease &gt;Serine protease. Defense/immunity protein. Select calcium binding protein &gt;Calmodulin related protein. Select calcium binding protein &gt;Annexin. </t>
  </si>
  <si>
    <t>benzodiazapine receptor (peripheral) associated protein 1</t>
  </si>
  <si>
    <t>benzodiazepine receptor binding</t>
  </si>
  <si>
    <t>cytoplasm|mitochondrion</t>
  </si>
  <si>
    <t>RIM BINDING PROTEIN-RELATED</t>
  </si>
  <si>
    <t>BENZODIAZAPINE RECEPTOR ASSOCIATED PROTEIN 1</t>
  </si>
  <si>
    <t>phosphatidylinositol binding clathrin assembly protein</t>
  </si>
  <si>
    <t>protein complex assembly|receptor-mediated endocytosis|clathrin cage assembly</t>
  </si>
  <si>
    <t>phospholipid binding|phosphatidylinositol binding|clathrin binding</t>
  </si>
  <si>
    <t>coated pit|membrane|clathrin coat|cytoplasmic vesicle</t>
  </si>
  <si>
    <t>CLATHRIN ASSEMBLY PROTEIN</t>
  </si>
  <si>
    <t>PHOSPHATIDYLINOSITOL-BINDING CLATHRIN ASSEMBLY PROTEIN</t>
  </si>
  <si>
    <t xml:space="preserve">Membrane traffic protein &gt;Vesicle coat protein. </t>
  </si>
  <si>
    <t>carbohydrate metabolic process</t>
  </si>
  <si>
    <t>RIBITOL KINASE</t>
  </si>
  <si>
    <t>endothelial cell-specific molecule 1</t>
  </si>
  <si>
    <t>regulation of cell growth|biological_process</t>
  </si>
  <si>
    <t>voltage-gated potassium channel complex|membrane|integral to membrane</t>
  </si>
  <si>
    <t>INOSINE-5-MONOPHOSPHATE DEHYDROGENASE RELATED</t>
  </si>
  <si>
    <t>INOSINE-5-MONOPHOSPHATE DEHYDROGENASE</t>
  </si>
  <si>
    <t>lymphatic vessel endothelial hyaluronan receptor 1</t>
  </si>
  <si>
    <t>copper ion binding|nickel ion binding|metal ion binding</t>
  </si>
  <si>
    <t>SERUM ALBUMIN-RELATED</t>
  </si>
  <si>
    <t>ALPHA-FETOPROTEIN</t>
  </si>
  <si>
    <t>glycosaminoglycan catabolic process|transport|cell motility|cell adhesion|cell-matrix adhesion|response to wounding|anatomical structure morphogenesis</t>
  </si>
  <si>
    <t>transmembrane receptor activity|hyaluronic acid binding</t>
  </si>
  <si>
    <t>membrane fraction|plasma membrane|integral to plasma membrane</t>
  </si>
  <si>
    <t>HYALURONAN  RECEPTOR</t>
  </si>
  <si>
    <t>LYMPHATIC ENDOTHELIAL HYALURONAN RECEPTOR, LYVE-1</t>
  </si>
  <si>
    <t>protein kinase, AMP-activated, alpha 2 catalytic subunit</t>
  </si>
  <si>
    <t>acetylserotonin O-methyltransferase</t>
  </si>
  <si>
    <t>translation|melatonin biosynthetic process|rhythmic process</t>
  </si>
  <si>
    <t>neuropeptide hormone activity|transferase activity|acetylserotonin O-methyltransferase activity</t>
  </si>
  <si>
    <t>O-METHYLTRANSFERASE</t>
  </si>
  <si>
    <t xml:space="preserve">Transferase &gt;Methyltransferase. </t>
  </si>
  <si>
    <t>acyl-Coenzyme A dehydrogenase, C-4 to C-12 straight chain</t>
  </si>
  <si>
    <t>electron transport|lipid metabolic process|fatty acid metabolic process|fatty acid beta-oxidation|metabolic process</t>
  </si>
  <si>
    <t>acyl-CoA dehydrogenase activity|acyl-CoA dehydrogenase activity|FAD binding</t>
  </si>
  <si>
    <t>mitochondrion|mitochondrial matrix</t>
  </si>
  <si>
    <t>ELECTRON TRANSPORT OXIDOREDUCTASE</t>
  </si>
  <si>
    <t>ACYL-COA DEHYDROGENASE</t>
  </si>
  <si>
    <t>endothelial differentiation, sphingolipid G-protein-coupled receptor, 3</t>
  </si>
  <si>
    <t>inflammatory response|signal transduction|G-protein coupled receptor protein signaling pathway|G-protein signaling, adenylate cyclase inhibiting pathway|elevation of cytosolic calcium ion concentration|positive regulation of cell proliferation|anatomical structure morphogenesis</t>
  </si>
  <si>
    <t>cilium|membrane|integral to membrane|flagellum</t>
  </si>
  <si>
    <t>SPERM-ASSOCIATED CATION CHANNEL 4-RELATED</t>
  </si>
  <si>
    <t>ethanolamine kinase 2</t>
  </si>
  <si>
    <t>biological_process</t>
  </si>
  <si>
    <t>CHOLINE/ETHANOALAMINE KINASE</t>
  </si>
  <si>
    <t>XYLULOSE KINASE</t>
  </si>
  <si>
    <t>GLYCEROL KINASE</t>
  </si>
  <si>
    <t xml:space="preserve">Kinase &gt;Carbohydrate kinase. </t>
  </si>
  <si>
    <t>phosphatidylinositol glycan anchor biosynthesis, class K</t>
  </si>
  <si>
    <t>protein thiol-disulfide exchange|proteolysis|attachment of GPI anchor to protein</t>
  </si>
  <si>
    <t>FRUCTOSE-1,6-BISPHOSPHATASE-RELATED</t>
  </si>
  <si>
    <t>glycerol kinase activity|transferase activity</t>
  </si>
  <si>
    <t>legumain activity|GPI-anchor transamidase activity|protein binding|GPI anchor binding</t>
  </si>
  <si>
    <t>endoplasmic reticulum|membrane|integral to membrane|GPI-anchor transamidase complex</t>
  </si>
  <si>
    <t>HEMOGLOBINASE FAMILY MEMBER</t>
  </si>
  <si>
    <t>GPI-ANCHOR TRANSAMIDASE</t>
  </si>
  <si>
    <t xml:space="preserve">Transferase. </t>
  </si>
  <si>
    <t>H2A histone family, member V</t>
  </si>
  <si>
    <t>nucleosome assembly|chromosome organization and biogenesis (sensu Eukaryota)</t>
  </si>
  <si>
    <t>DNA binding</t>
  </si>
  <si>
    <t>guanyl-nucleotide exchange factor activity|Rho guanyl-nucleotide exchange factor activity</t>
  </si>
  <si>
    <t>immune response|cell surface receptor linked signal transduction|multicellular organismal development|cell proliferation</t>
  </si>
  <si>
    <t>receptor activity|hematopoietin/interferon-class (D200-domain) cytokine receptor activity|interleukin-6 receptor activity|enzyme binding</t>
  </si>
  <si>
    <t>extracellular region|interleukin-6 receptor complex|membrane</t>
  </si>
  <si>
    <t>CYTOKINE RECEPTOR</t>
  </si>
  <si>
    <t>INTERLEUKIN-6 RECEPTOR ALPHA</t>
  </si>
  <si>
    <t xml:space="preserve">Receptor &gt;Cytokine receptor &gt;Interleukin receptor. </t>
  </si>
  <si>
    <t>wingless-type MMTV integration site family, member 3</t>
  </si>
  <si>
    <t>Wnt receptor signaling pathway, calcium modulating pathway|cell-cell signaling|multicellular organismal development|anatomical structure morphogenesis</t>
  </si>
  <si>
    <t>signal transducer activity|extracellular matrix structural constituent|protein binding</t>
  </si>
  <si>
    <t>extracellular region|proteinaceous extracellular matrix</t>
  </si>
  <si>
    <t>WNT RELATED</t>
  </si>
  <si>
    <t>WNT-3</t>
  </si>
  <si>
    <t>hypothetical protein FLJ10986</t>
  </si>
  <si>
    <t>RACGTPASE-ACTIVATING PROTEIN</t>
  </si>
  <si>
    <t xml:space="preserve">Transfer/carrier protein. Select regulatory molecule &gt;G-protein modulator. </t>
  </si>
  <si>
    <t>catalytic activity|IMP dehydrogenase activity|IMP dehydrogenase activity|oxidoreductase activity|potassium ion binding|metal ion binding</t>
  </si>
  <si>
    <t>IMP (inosine monophosphate) dehydrogenase 1</t>
  </si>
  <si>
    <t>purine nucleotide biosynthetic process|GMP biosynthetic process|GTP biosynthetic process|visual perception|metabolic process|lymphocyte proliferation|response to stimulus</t>
  </si>
  <si>
    <t>E2F transcription factor 8</t>
  </si>
  <si>
    <t>regulation of progression through cell cycle|transcription|regulation of transcription, DNA-dependent</t>
  </si>
  <si>
    <t>transcription factor activity</t>
  </si>
  <si>
    <t>transcription factor complex</t>
  </si>
  <si>
    <t>E2F</t>
  </si>
  <si>
    <t>E2F RELATED</t>
  </si>
  <si>
    <t>membrane|Golgi transport complex</t>
  </si>
  <si>
    <t>CONSERVED OLIGOMERIC GOLGI COMPLEX COMPONENT 8</t>
  </si>
  <si>
    <t>prolyl endopeptidase-like</t>
  </si>
  <si>
    <t>proteolysis</t>
  </si>
  <si>
    <t>prolyl oligopeptidase activity</t>
  </si>
  <si>
    <t>PROTEASE FAMILY S9A OLIGOPEPTIDASE</t>
  </si>
  <si>
    <t>OLIGOPEPTIDASE B (LYSYL AND ARGININYL OLIGOPEPTIDASE)</t>
  </si>
  <si>
    <t xml:space="preserve">Transcription factor &gt;Other transcription factor. Nucleic acid binding. </t>
  </si>
  <si>
    <t>tensin 1</t>
  </si>
  <si>
    <t>intracellular signaling cascade</t>
  </si>
  <si>
    <t>actin binding</t>
  </si>
  <si>
    <t>protein amino acid phosphorylation|fatty acid biosynthetic process|cholesterol biosynthetic process|signal transduction</t>
  </si>
  <si>
    <t>nucleotide binding|magnesium ion binding|protein serine/threonine kinase activity|ATP binding|transferase activity</t>
  </si>
  <si>
    <t>5-AMP-ACTIVATED PROTEIN KINASE (AMPK) (SNF1-RELATED)</t>
  </si>
  <si>
    <t>lactate dehydrogenase A</t>
  </si>
  <si>
    <t>tricarboxylic acid cycle intermediate metabolic process|anaerobic glycolysis</t>
  </si>
  <si>
    <t>leucine-rich repeat-containing G protein-coupled receptor 6</t>
  </si>
  <si>
    <t>signal transduction|G-protein coupled receptor protein signaling pathway</t>
  </si>
  <si>
    <t>receptor activity|protein binding|protein-hormone receptor activity</t>
  </si>
  <si>
    <t>LEUCINE-RICH REPEAT-CONTAINING G-PROTEIN COUPLED RECEPTOR 6, LGR6, GONADOTROPIN RECEPTOR</t>
  </si>
  <si>
    <t>cation channel, sperm associated 3</t>
  </si>
  <si>
    <t>ion transport|calcium ion transport|multicellular organismal development|spermatogenesis|cell differentiation</t>
  </si>
  <si>
    <t>voltage-gated ion channel activity|calcium channel activity|calcium ion binding</t>
  </si>
  <si>
    <t>casein kinase 1, alpha 1</t>
  </si>
  <si>
    <t>choline kinase activity|ethanolamine kinase activity|kinase activity|transferase activity</t>
  </si>
  <si>
    <t>cellular_component</t>
  </si>
  <si>
    <t xml:space="preserve">Receptor &gt;Ligand-gated ion channel &gt;Cyclic nucleotide-gated ion channel. Ion channel &gt;Ligand-gated ion channel &gt;Cyclic nucleotide-gated ion channel. </t>
  </si>
  <si>
    <t>ATP-binding cassette, sub-family D (ALD), member 4</t>
  </si>
  <si>
    <t>transport|transport</t>
  </si>
  <si>
    <t>nucleotide binding|transporter activity|ATP binding|ATPase activity|ATPase activity, coupled to transmembrane movement of substances</t>
  </si>
  <si>
    <t>peroxisome|peroxisomal membrane|membrane|integral to membrane|ATP-binding cassette (ABC) transporter complex</t>
  </si>
  <si>
    <t>ATP-BINDING CASSETTE, SUB-FAMILY D MEMBER</t>
  </si>
  <si>
    <t>ATP-BINDING CASSETTE, SUB-FAMILY D, MEMBER 4 (PEROXISOMAL MEMBRANE PROTEIN 69)</t>
  </si>
  <si>
    <t xml:space="preserve">Transporter. </t>
  </si>
  <si>
    <t>glycerol kinase 5 (putative)</t>
  </si>
  <si>
    <t>carbohydrate metabolic process|glycerol-3-phosphate metabolic process</t>
  </si>
  <si>
    <t>cytochrome P450, family 2, subfamily F, polypeptide 1</t>
  </si>
  <si>
    <t>monooxygenase activity|iron ion binding|oxygen binding|heme binding|metal ion binding|unspecific monooxygenase activity</t>
  </si>
  <si>
    <t>CYTOCHROME P450, SUBFAMILY 2F</t>
  </si>
  <si>
    <t>activin A receptor, type IIA</t>
  </si>
  <si>
    <t>nucleosome|nucleus|chromosome</t>
  </si>
  <si>
    <t>HISTONE H2A</t>
  </si>
  <si>
    <t xml:space="preserve">Nucleic acid binding &gt;Histone. </t>
  </si>
  <si>
    <t>asialoglycoprotein receptor 2</t>
  </si>
  <si>
    <t>endocytosis|cell surface receptor linked signal transduction</t>
  </si>
  <si>
    <t>receptor activity|asialoglycoprotein receptor activity|calcium ion binding|protein binding|sugar binding</t>
  </si>
  <si>
    <t>cellular_component|membrane|integral to membrane</t>
  </si>
  <si>
    <t>C-TYPE LECTIN SUPERFAMILY MEMBER</t>
  </si>
  <si>
    <t>ASIALOGLYCOPROTEIN RECEPTOR</t>
  </si>
  <si>
    <t xml:space="preserve">Receptor &gt;Other receptor. </t>
  </si>
  <si>
    <t>Rac GTPase activating protein 1</t>
  </si>
  <si>
    <t>cytokinesis|cytokinesis, contractile ring formation|cell cycle|cytokinesis, initiation of separation|signal transduction|intracellular signaling cascade|spermatogenesis|neuroblast proliferation|embryonic development</t>
  </si>
  <si>
    <t>GTPase activator activity|protein binding|zinc ion binding|diacylglycerol binding|alpha-tubulin binding|gamma-tubulin binding|metal ion binding|beta-tubulin binding</t>
  </si>
  <si>
    <t>intracellular|nucleus|cytoplasm|microtubule</t>
  </si>
  <si>
    <t>RAC GTPASE ACTIVATING PROTEIN</t>
  </si>
  <si>
    <t>nucleotide binding|magnesium ion binding|receptor activity|ATP binding|transferase activity|activin receptor activity|growth factor binding|manganese ion binding|protein self-association|inhibin beta-A binding</t>
  </si>
  <si>
    <t>cytoplasm|integral to plasma membrane|membrane</t>
  </si>
  <si>
    <t>TRANSFORMING GROWTH FACTOR-BETA RECEPTOR TYPE I AND II</t>
  </si>
  <si>
    <t>ACTIVIN RECEPTOR TYPE II</t>
  </si>
  <si>
    <t xml:space="preserve">Receptor &gt;Cytokine receptor &gt;TGF-beta receptor. Receptor &gt;Protein kinase receptor &gt;Serine/threonine protein kinase receptor. Kinase &gt;Protein kinase &gt;Serine/threonine protein kinase receptor. </t>
  </si>
  <si>
    <t>mediator complex subunit 13</t>
  </si>
  <si>
    <t xml:space="preserve">Kinase &gt;Protein kinase &gt;Non-receptor serine/threonine protein kinase. </t>
  </si>
  <si>
    <t>golgi SNAP receptor complex member 1</t>
  </si>
  <si>
    <t>transcription|regulation of transcription, DNA-dependent|transcription initiation from RNA polymerase II promoter|androgen receptor signaling pathway|positive regulation of transcription from RNA polymerase II promoter</t>
  </si>
  <si>
    <t>receptor activity|RNA polymerase II transcription mediator activity|ligand-dependent nuclear receptor transcription coactivator activity|vitamin D receptor binding|thyroid hormone receptor binding</t>
  </si>
  <si>
    <t>mediator complex|nucleus</t>
  </si>
  <si>
    <t>component of oligomeric golgi complex 8</t>
  </si>
  <si>
    <t>protein transport</t>
  </si>
  <si>
    <t>cytoplasm|cytoskeleton|cell junction</t>
  </si>
  <si>
    <t>PHOSPHATASE WITH HOMOLOGY TO TENSIN</t>
  </si>
  <si>
    <t>TENS</t>
  </si>
  <si>
    <t xml:space="preserve">Phosphatase &gt;Protein phosphatase. Phosphatase &gt;Other phosphatase. </t>
  </si>
  <si>
    <t>leucine rich repeat and Ig domain containing 4</t>
  </si>
  <si>
    <t>LEUCINE-RICH TRANSMEMBRANE PROTEIN</t>
  </si>
  <si>
    <t>cyclic nucleotide gated channel alpha 1</t>
  </si>
  <si>
    <t>ion transport|potassium ion transport|visual perception|response to stimulus</t>
  </si>
  <si>
    <t>nucleotide binding|voltage-gated potassium channel activity|ligand-gated ion channel activity|cGMP binding</t>
  </si>
  <si>
    <t>photoreceptor outer segment|membrane fraction|integral to plasma membrane|membrane</t>
  </si>
  <si>
    <t>VOLTAGE AND LIGAND GATED POTASSIUM CHANNEL</t>
  </si>
  <si>
    <t>CYCLIC-NUCLEOTIDE-GATED CHANNEL ALPHA SUBUNIT</t>
  </si>
  <si>
    <t>soluble fraction|microsome|membrane|integral to membrane</t>
  </si>
  <si>
    <t>SYNTAXIN</t>
  </si>
  <si>
    <t>SYNTAXIN 2</t>
  </si>
  <si>
    <t>nucleotide binding|protein serine/threonine kinase activity|protein serine/threonine kinase activity|protein-tyrosine kinase activity|protein phosphatase inhibitor activity|protein phosphatase inhibitor activity|protein binding|protein binding|ATP binding|transferase activity</t>
  </si>
  <si>
    <t>membrane|integral to membrane|integral to membrane</t>
  </si>
  <si>
    <t>TYROSINE PROTEIN KINASE</t>
  </si>
  <si>
    <t>BRAIN APOPTOSIS-ASSOCIATED TYROSINE KINASE</t>
  </si>
  <si>
    <t xml:space="preserve">Receptor &gt;Protein kinase receptor &gt;Tyrosine protein kinase receptor. Kinase &gt;Protein kinase &gt;Tyrosine protein kinase receptor. </t>
  </si>
  <si>
    <t>SEC11 homolog B (S. cerevisiae)</t>
  </si>
  <si>
    <t>PROTEASE FAMILY S26 MICROSOMAL SIGNAL PEPTIDASE SUBUNIT SPC18,21/SEC11(YEAST)</t>
  </si>
  <si>
    <t>syntaxin 2</t>
  </si>
  <si>
    <t>intracellular protein transport|signal transduction|ectoderm development|organ morphogenesis|vesicle-mediated transport</t>
  </si>
  <si>
    <t>protein binding|protein transporter activity</t>
  </si>
  <si>
    <t>O-SIALOGLYCOPROTEIN ENDOPEPTIDASE</t>
  </si>
  <si>
    <t xml:space="preserve">Protease &gt;Metalloprotease. </t>
  </si>
  <si>
    <t>TM2 domain containing 2</t>
  </si>
  <si>
    <t>protein amino acid phosphorylation|protein amino acid phosphorylation|Wnt receptor signaling pathway</t>
  </si>
  <si>
    <t>nucleotide binding|protein serine/threonine kinase activity|casein kinase I activity|ATP binding|transferase activity</t>
  </si>
  <si>
    <t>CASEIN KINASE-RELATED</t>
  </si>
  <si>
    <t>CASEIN KINASE</t>
  </si>
  <si>
    <t>RAB31, member RAS oncogene family</t>
  </si>
  <si>
    <t>small GTPase mediated signal transduction|protein transport</t>
  </si>
  <si>
    <t>nucleotide binding|GTPase activity|GTP binding</t>
  </si>
  <si>
    <t>membrane</t>
  </si>
  <si>
    <t>RAS-RELATED PROTEIN RAB-22</t>
  </si>
  <si>
    <t>protein amino acid phosphorylation|transmembrane receptor protein serine/threonine kinase signaling pathway|spermatogenesis|determination of left/right symmetry|mesoderm development|anterior/posterior pattern formation|positive regulation of activin receptor signaling pathway|sperm ejaculation|penile erection|positive regulation of erythrocyte differentiation|gastrulation (sensu Vertebrata)|embryonic skeletal development|regulation of nitric-oxide synthase activity|Sertoli cell proliferation</t>
  </si>
  <si>
    <t>nucleic acid binding|endonuclease activity|hydrolase activity</t>
  </si>
  <si>
    <t xml:space="preserve">Miscellaneous function &gt;Other miscellaneous function protein. Membrane traffic protein &gt;Other membrane traffic protein. </t>
  </si>
  <si>
    <t>NUAK family, SNF1-like kinase, 1</t>
  </si>
  <si>
    <t>nucleotide binding|magnesium ion binding|protein serine/threonine kinase activity|protein binding|ATP binding|transferase activity</t>
  </si>
  <si>
    <t>CALCIUM/CALMODULIN-DEPENDENT PROTEIN KINASE-RELATED</t>
  </si>
  <si>
    <t>AMPK-RELATED PROTEIN KINASE 5</t>
  </si>
  <si>
    <t>receptor activity|ion channel activity|extracellular-glutamate-gated ion channel activity|kainate selective glutamate receptor activity</t>
  </si>
  <si>
    <t>intracellular protein transport|ER to Golgi vesicle-mediated transport|intra-Golgi vesicle-mediated transport</t>
  </si>
  <si>
    <t>GOS-28 SNARE- RELATED</t>
  </si>
  <si>
    <t xml:space="preserve">Membrane traffic protein &gt;SNARE protein. </t>
  </si>
  <si>
    <t>Niemann-Pick disease, type C2</t>
  </si>
  <si>
    <t>regulation of isoprenoid metabolic process|cholesterol homeostasis</t>
  </si>
  <si>
    <t>enzyme binding</t>
  </si>
  <si>
    <t>NIEMANN PICK TYPE C2 PROTEIN NPC2-RELATED</t>
  </si>
  <si>
    <t>cytochrome P450, family 2, subfamily C, polypeptide 19</t>
  </si>
  <si>
    <t>electron transport</t>
  </si>
  <si>
    <t xml:space="preserve">Defense/immunity protein. </t>
  </si>
  <si>
    <t>protein kinase, cAMP-dependent, regulatory, type II, alpha</t>
  </si>
  <si>
    <t>protein amino acid phosphorylation|signal transduction|intracellular signaling cascade</t>
  </si>
  <si>
    <t>NETRIN RECEPTOR UNC5</t>
  </si>
  <si>
    <t>NETRIN RECEPTOR UNC5B</t>
  </si>
  <si>
    <t>monooxygenase activity|iron ion binding|oxidoreductase activity, acting on paired donors, with incorporation or reduction of molecular oxygen, reduced flavin or flavoprotein as one donor, and incorporation of one atom of oxygen|(S)-limonene 6-monooxygenase activity|(S)-limonene 7-monooxygenase activity|oxygen binding|heme binding|metal ion binding</t>
  </si>
  <si>
    <t>endoplasmic reticulum|microsome|membrane</t>
  </si>
  <si>
    <t>CYTOCHROME P450</t>
  </si>
  <si>
    <t>CYTOCHROME P450, SUBFAMILY 2C</t>
  </si>
  <si>
    <t>lemur tyrosine kinase 2</t>
  </si>
  <si>
    <t>protein amino acid autophosphorylation|protein amino acid autophosphorylation</t>
  </si>
  <si>
    <t xml:space="preserve">Cytoskeletal protein &gt;Microtubule family cytoskeletal protein. Select regulatory molecule. </t>
  </si>
  <si>
    <t>TP53 regulating kinase</t>
  </si>
  <si>
    <t>protein amino acid phosphorylation</t>
  </si>
  <si>
    <t>nucleotide binding|protein serine/threonine kinase activity|protein-tyrosine kinase activity|protein binding|ATP binding|transferase activity</t>
  </si>
  <si>
    <t>adenylate cyclase 1 (brain)</t>
  </si>
  <si>
    <t>cAMP biosynthetic process|intracellular signaling cascade</t>
  </si>
  <si>
    <t>BETA-AMYLOID BINDING PROTEIN-RELATED</t>
  </si>
  <si>
    <t xml:space="preserve">Miscellaneous function &gt;Other miscellaneous function protein. </t>
  </si>
  <si>
    <t>potassium channel, subfamily K, member 1</t>
  </si>
  <si>
    <t>ion transport|potassium ion transport|potassium ion transport</t>
  </si>
  <si>
    <t>ion channel activity|inward rectifier potassium channel activity|voltage-gated ion channel activity|potassium channel activity|potassium ion binding</t>
  </si>
  <si>
    <t>membrane fraction|voltage-gated potassium channel complex|membrane|integral to membrane</t>
  </si>
  <si>
    <t>POTASSIUM CHANNEL, SUBFAMILY K</t>
  </si>
  <si>
    <t>POTASSIUM CHANNEL SUBFAMILY K MEMBER 1 (INWARD RECTIFYING POTASSIUM CHANNEL PROTEIN TWIK-1)</t>
  </si>
  <si>
    <t xml:space="preserve">Ion channel &gt;Voltage-gated ion channel &gt;Voltage-gated potassium channel. </t>
  </si>
  <si>
    <t>TARTRATE-RESISTANT ACID PHOSPHATASE</t>
  </si>
  <si>
    <t>TARTRATE-RESISTANT ACID PHOSPHATASE TYPE 5</t>
  </si>
  <si>
    <t xml:space="preserve">Phosphatase &gt;Other phosphatase. </t>
  </si>
  <si>
    <t>heart and neural crest derivatives expressed 2</t>
  </si>
  <si>
    <t>RAS</t>
  </si>
  <si>
    <t xml:space="preserve">Select regulatory molecule &gt;G-protein &gt;Small GTPase. </t>
  </si>
  <si>
    <t>peptidylglycine alpha-amidating monooxygenase</t>
  </si>
  <si>
    <t>peptide amidation|protein modification process|peptide metabolic process|mitotic chromosome condensation</t>
  </si>
  <si>
    <t>chromatin binding|monooxygenase activity|peptidylglycine monooxygenase activity|peptidylglycine monooxygenase activity|peptidylamidoglycolate lyase activity|copper ion binding|protein binding|zinc ion binding|lyase activity|L-ascorbic acid binding|metal ion binding</t>
  </si>
  <si>
    <t>nuclear chromatin|condensed chromosome|membrane|integral to membrane|secretory granule|secretory granule</t>
  </si>
  <si>
    <t>PEPTIDYL-GLYCINE ALPHA-AMIDATING MONOOXYGENASE</t>
  </si>
  <si>
    <t xml:space="preserve">Oxidoreductase &gt;Oxygenase. </t>
  </si>
  <si>
    <t>endonuclease domain containing 1</t>
  </si>
  <si>
    <t>K123 PROTEIN</t>
  </si>
  <si>
    <t>copine IV</t>
  </si>
  <si>
    <t>COPINE</t>
  </si>
  <si>
    <t>ion transport|glutamate signaling pathway|induction of programmed cell death in response to chemical stimulus|regulation of short-term neuronal synaptic plasticity|positive regulation of synaptic transmission|neuron apoptosis</t>
  </si>
  <si>
    <t>protein folding|response to unfolded protein|chaperone cofactor-dependent protein folding</t>
  </si>
  <si>
    <t>integral to plasma membrane|membrane|cell junction|synapse</t>
  </si>
  <si>
    <t>IONOTROPIC GLUTAMATE RECEPTOR-RELATED</t>
  </si>
  <si>
    <t>GLUTAMATE RECEPTOR, IONOTROPIC KAINATE 2</t>
  </si>
  <si>
    <t xml:space="preserve">Receptor &gt;Ligand-gated ion channel &gt;Glutamate receptor. Ion channel &gt;Ligand-gated ion channel &gt;Glutamate receptor. </t>
  </si>
  <si>
    <t>SKI-like oncogene</t>
  </si>
  <si>
    <t>transcription from RNA polymerase II promoter|signal transduction|multicellular organismal development</t>
  </si>
  <si>
    <t>nucleotide binding|transcription corepressor activity|transforming growth factor beta receptor, cytoplasmic mediator activity|protein binding</t>
  </si>
  <si>
    <t>SNO AND SKI ONCOGENE FAMILY</t>
  </si>
  <si>
    <t>SKI-RELATED ONCOGENE SNO</t>
  </si>
  <si>
    <t xml:space="preserve">Transcription factor &gt;Other transcription factor. </t>
  </si>
  <si>
    <t>CD96 molecule</t>
  </si>
  <si>
    <t>immune response|cell adhesion</t>
  </si>
  <si>
    <t>protein binding</t>
  </si>
  <si>
    <t>No PANTHER hit</t>
  </si>
  <si>
    <t>guanine nucleotide binding protein (G protein), gamma 2</t>
  </si>
  <si>
    <t>signal transduction|G-protein coupled receptor protein signaling pathway|cell proliferation</t>
  </si>
  <si>
    <t>signal transducer activity</t>
  </si>
  <si>
    <t xml:space="preserve">Receptor. </t>
  </si>
  <si>
    <t>phospholipase C, delta 3</t>
  </si>
  <si>
    <t>nucleotide binding|cAMP-dependent protein kinase regulator activity|cAMP-dependent protein kinase regulator activity|kinase activity|cAMP binding</t>
  </si>
  <si>
    <t>membrane fraction|cytoplasm|plasma membrane|cAMP-dependent protein kinase complex</t>
  </si>
  <si>
    <t>CAMP-DEPENDENT PROTEIN KINASE REGULATORY CHAIN</t>
  </si>
  <si>
    <t>CAMP-DEPENDENT PROTEIN KINASE TYPE II-ALPHA REGULATORY SUBUNIT</t>
  </si>
  <si>
    <t xml:space="preserve">Select regulatory molecule &gt;Kinase modulator. </t>
  </si>
  <si>
    <t>dynein, cytoplasmic 1, light intermediate chain 2</t>
  </si>
  <si>
    <t>nucleotide binding|motor activity|ATP binding</t>
  </si>
  <si>
    <t>cytoplasmic dynein complex|microtubule</t>
  </si>
  <si>
    <t>DYNEIN LIGHT INTERMEDIATE CHAIN</t>
  </si>
  <si>
    <t xml:space="preserve">Ion channel. Transporter &gt;Cation transporter. Hydrolase &gt;Other hydrolase. </t>
  </si>
  <si>
    <t>magnesium ion binding|calmodulin binding|calcium- and calmodulin-responsive adenylate cyclase activity</t>
  </si>
  <si>
    <t>ADENYLATE AND GUANYLATE CYCLASES</t>
  </si>
  <si>
    <t>ADENYLATE CYCLASE TYPE 1</t>
  </si>
  <si>
    <t xml:space="preserve">Lyase &gt;Cyclase &gt;Adenylate cyclase. </t>
  </si>
  <si>
    <t>RAB, member of RAS oncogene family-like 3</t>
  </si>
  <si>
    <t>regulation of transcription, DNA-dependent|small GTPase mediated signal transduction</t>
  </si>
  <si>
    <t>nucleotide binding|ATP binding|GTP binding|transcription factor binding</t>
  </si>
  <si>
    <t>intracellular</t>
  </si>
  <si>
    <t>RAB, MEMBER OF RAS ONCOGENE FAMILY</t>
  </si>
  <si>
    <t>chloride channel, calcium activated, family member 2</t>
  </si>
  <si>
    <t>transport</t>
  </si>
  <si>
    <t>chloride channel activity</t>
  </si>
  <si>
    <t>integral to plasma membrane</t>
  </si>
  <si>
    <t>CA-ACTIVATED CL CHANNEL PROTEIN 2</t>
  </si>
  <si>
    <t xml:space="preserve">Ion channel. </t>
  </si>
  <si>
    <t>acid phosphatase 5, tartrate resistant</t>
  </si>
  <si>
    <t>acid phosphatase activity|iron ion binding|hydrolase activity|metal ion binding</t>
  </si>
  <si>
    <t>lysosome|integral to membrane</t>
  </si>
  <si>
    <t>alcohol metabolic process|aldehyde metabolic process|lipid metabolic process|metabolic process</t>
  </si>
  <si>
    <t>3-chloroallyl aldehyde dehydrogenase activity|aldehyde dehydrogenase [NAD(P)+] activity|oxidoreductase activity</t>
  </si>
  <si>
    <t>ras homolog gene family, member B</t>
  </si>
  <si>
    <t>angiogenesis|in utero embryonic development|heart looping|regulation of transcription, DNA-dependent|transcription from RNA polymerase II promoter|multicellular organismal development|adult heart development|neural crest cell development|cell differentiation|regulation of transcription|positive regulation of transcription from RNA polymerase II promoter</t>
  </si>
  <si>
    <t>transcription factor activity|transcription regulator activity|identical protein binding|protein heterodimerization activity</t>
  </si>
  <si>
    <t>nucleus|transcription factor complex</t>
  </si>
  <si>
    <t>BASIC HELIX-LOOP-HELIX TRANSCRIPTION FACTOR, TWIST</t>
  </si>
  <si>
    <t>DHAND</t>
  </si>
  <si>
    <t>glutamate receptor, ionotropic, kainate 2</t>
  </si>
  <si>
    <t>nucleotide binding|GTPase activity|protein binding|GTP binding</t>
  </si>
  <si>
    <t>intracellular|nucleus|endosome|plasma membrane|endosome membrane</t>
  </si>
  <si>
    <t>GTPASE_RHO</t>
  </si>
  <si>
    <t>torsin family 1, member A (torsin A)</t>
  </si>
  <si>
    <t>BONE MORPHOGENETIC PROTEIN 5/7, BMP5/7</t>
  </si>
  <si>
    <t>nucleotide binding|ATP binding|endopeptidase Clp activity|unfolded protein binding</t>
  </si>
  <si>
    <t>cytoplasm|endoplasmic reticulum|membrane</t>
  </si>
  <si>
    <t>TORSIN</t>
  </si>
  <si>
    <t>tumor protein p53 binding protein, 2</t>
  </si>
  <si>
    <t>apoptosis|induction of apoptosis|cell cycle|signal transduction|central nervous system development|heart development|embryonic development ending in birth or egg hatching|response to ionizing radiation|negative regulation of progression through cell cycle</t>
  </si>
  <si>
    <t>SH3/SH2 adaptor activity|protein binding|NF-kappaB binding</t>
  </si>
  <si>
    <t>ANKYRIN REPEAT-CONTAINING</t>
  </si>
  <si>
    <t>APOPTOSIS STIMULATING OF P53</t>
  </si>
  <si>
    <t xml:space="preserve">Select regulatory molecule. </t>
  </si>
  <si>
    <t>interleukin-1 receptor-associated kinase 1 binding protein 1</t>
  </si>
  <si>
    <t>I-kappaB kinase/NF-kappaB cascade</t>
  </si>
  <si>
    <t>receptor activity|protein binding|kinase activity</t>
  </si>
  <si>
    <t>ubiquitin-dependent protein catabolic process|protein ubiquitination</t>
  </si>
  <si>
    <t>ubiquitin-protein ligase activity|protein binding</t>
  </si>
  <si>
    <t>ubiquitin ligase complex</t>
  </si>
  <si>
    <t>UBIQUITINATION FACTOR E4</t>
  </si>
  <si>
    <t>UBIQUITINATION FACTOR E4A</t>
  </si>
  <si>
    <t>heterotrimeric G-protein complex|membrane</t>
  </si>
  <si>
    <t>GUANINE NUCLEOTIDE-BINDING PROTEIN GAMMA SUBUNIT</t>
  </si>
  <si>
    <t>GUANINE NUCLEOTIDE-BINDING PROTEIN G(I)/G(S)/G(O) GAMMA-2</t>
  </si>
  <si>
    <t>unc-5 homolog B (C. elegans)</t>
  </si>
  <si>
    <t>apoptosis|signal transduction|multicellular organismal development</t>
  </si>
  <si>
    <t>receptor activity|protein binding</t>
  </si>
  <si>
    <t>lipid metabolic process|intracellular signaling cascade</t>
  </si>
  <si>
    <t>phosphoinositide phospholipase C activity|calcium ion binding</t>
  </si>
  <si>
    <t>PHOSPHOLIPASE C</t>
  </si>
  <si>
    <t>PHOSPHOLIPASE C DELTA 3</t>
  </si>
  <si>
    <t xml:space="preserve">Hydrolase &gt;Lipase &gt;Phospholipase. Select calcium binding protein. </t>
  </si>
  <si>
    <t>regulator of G-protein signaling 8</t>
  </si>
  <si>
    <t>negative regulation of signal transduction</t>
  </si>
  <si>
    <t>REGULATOR OF G PROTEIN SIGNALING, RGS</t>
  </si>
  <si>
    <t>REGULATOR OF G PROTEIN SIGNALING 8, RGS8</t>
  </si>
  <si>
    <t xml:space="preserve">Select regulatory molecule &gt;G-protein modulator &gt;Other G-protein modulator. </t>
  </si>
  <si>
    <t>endoplasmic reticulum|Golgi apparatus|plasma membrane|sodium:potassium-exchanging ATPase complex|membrane|integral to membrane|integral to membrane</t>
  </si>
  <si>
    <t>CATION-TRANSPORTING ATPASE</t>
  </si>
  <si>
    <t>NA+/K+ ATPASE ALPHA SUBUNIT</t>
  </si>
  <si>
    <t>cytoplasm|cytosol</t>
  </si>
  <si>
    <t>MALATE DEHYDROGENASE</t>
  </si>
  <si>
    <t xml:space="preserve">Oxidoreductase &gt;Dehydrogenase. </t>
  </si>
  <si>
    <t>toll-like receptor 6</t>
  </si>
  <si>
    <t>inflammatory response|signal transduction|activation of NF-kappaB-inducing kinase|T-helper 1 type immune response|defense response to bacterium|positive regulation of I-kappaB kinase/NF-kappaB cascade|positive regulation of JNK activity|innate immune response|positive regulation of interleukin-6 biosynthetic process</t>
  </si>
  <si>
    <t>transmembrane receptor activity|protein binding|lipoprotein binding</t>
  </si>
  <si>
    <t>integral to plasma membrane|membrane|cytoplasmic vesicle</t>
  </si>
  <si>
    <t>LEUCINE-RICH TRANSMEMBRANE PROTEINS</t>
  </si>
  <si>
    <t>TOLL-LIKE RECEPTOR-1, 6 AND 10</t>
  </si>
  <si>
    <t xml:space="preserve">Receptor. Extracellular matrix. </t>
  </si>
  <si>
    <t>aldehyde dehydrogenase 3 family, member B1</t>
  </si>
  <si>
    <t>transcription|regulation of transcription, DNA-dependent|chromatin modification|histone deacetylation</t>
  </si>
  <si>
    <t>histone deacetylase activity|transcription factor binding|hydrolase activity</t>
  </si>
  <si>
    <t>histone deacetylase complex|nucleus|plasma membrane</t>
  </si>
  <si>
    <t>ALDEHYDE DEHYDROGENASE-RELATED</t>
  </si>
  <si>
    <t>ALDEHYDE DEHYDROGENASE</t>
  </si>
  <si>
    <t>v-Ha-ras Harvey rat sarcoma viral oncogene homolog</t>
  </si>
  <si>
    <t>regulation of progression through cell cycle|chemotaxis|cell surface receptor linked signal transduction|small GTPase mediated signal transduction|organ morphogenesis</t>
  </si>
  <si>
    <t>nucleotide binding|GTP binding|protein C-terminus binding</t>
  </si>
  <si>
    <t>intracellular|cytoplasm|plasma membrane</t>
  </si>
  <si>
    <t>RAS-RELATED GTPASE</t>
  </si>
  <si>
    <t>angiogenesis|transformed cell apoptosis|cell cycle|cell adhesion|small GTPase mediated signal transduction|Rho protein signal transduction|multicellular organismal development|endosome to lysosome transport|protein transport|cell differentiation|positive regulation of angiogenesis|negative regulation of progression through cell cycle</t>
  </si>
  <si>
    <t>glutathione peroxidase 7</t>
  </si>
  <si>
    <t>SRP-dependent cotranslational protein targeting to membrane|negative regulation of translational elongation</t>
  </si>
  <si>
    <t>signal recognition particle binding|protein binding|7S RNA binding</t>
  </si>
  <si>
    <t>cytoplasm|signal recognition particle receptor complex|signal recognition particle, endoplasmic reticulum targeting|signal recognition particle</t>
  </si>
  <si>
    <t>SIGNAL RECOGNITION PARTICLE 9 KDA PROTEIN</t>
  </si>
  <si>
    <t>adenylosuccinate lyase</t>
  </si>
  <si>
    <t>purine ribonucleotide biosynthetic process</t>
  </si>
  <si>
    <t>adenylosuccinate lyase activity|lyase activity</t>
  </si>
  <si>
    <t>ASPARTATEAMMONIA/ARGININOSUCCINATE/ADENYLOSUCCINATE LYASE</t>
  </si>
  <si>
    <t>ADENYLOSUCCINATE LYASE</t>
  </si>
  <si>
    <t xml:space="preserve">Lyase &gt;Other lyase. </t>
  </si>
  <si>
    <t>ubiquitination factor E4A (UFD2 homolog, yeast)</t>
  </si>
  <si>
    <t>protein binding|insulin-like growth factor binding</t>
  </si>
  <si>
    <t>extracellular region|soluble fraction|plasma membrane</t>
  </si>
  <si>
    <t>CONNECTIVE TISSUE GROWTH FACTOR-RELATED</t>
  </si>
  <si>
    <t>CONNECTIVE TISSUE GROWTH FACOTR WISP2/CCN5</t>
  </si>
  <si>
    <t xml:space="preserve">Signaling molecule &gt;Growth factor. </t>
  </si>
  <si>
    <t>MYC associated factor X</t>
  </si>
  <si>
    <t xml:space="preserve">Select regulatory molecule &gt;Other enzyme regulator. </t>
  </si>
  <si>
    <t>ATPase, Na+/K+ transporting, alpha 3 polypeptide</t>
  </si>
  <si>
    <t>potassium ion transport|sodium ion transport|metabolic process|monovalent inorganic cation transport|sperm motility|cellular hydrogen ion homeostasis</t>
  </si>
  <si>
    <t>regulation of transcription, DNA-dependent|transcription from RNA polymerase II promoter|regulation of transcription</t>
  </si>
  <si>
    <t>nucleotide binding|magnesium ion binding|sodium:potassium-exchanging ATPase activity|ATP binding|ATP binding|monovalent inorganic cation transmembrane transporter activity|ATPase activity, coupled to transmembrane movement of ions, phosphorylative mechanism|hydrolase activity|hydrolase activity, acting on acid anhydrides, catalyzing transmembrane movement of substances|potassium ion binding|sodium ion binding</t>
  </si>
  <si>
    <t>ion channel activity|calcium ion binding|protein binding|store-operated calcium channel activity</t>
  </si>
  <si>
    <t>TRANSIENT RECEPTOR POTENTIAL CHANNEL 1</t>
  </si>
  <si>
    <t xml:space="preserve">Ion channel &gt;Other ion channel. </t>
  </si>
  <si>
    <t>calcium channel, voltage-dependent, R type, alpha 1E subunit</t>
  </si>
  <si>
    <t>ion transport|calcium ion transport|synaptic transmission</t>
  </si>
  <si>
    <t>voltage-gated ion channel activity|voltage-gated calcium channel activity|calcium ion binding</t>
  </si>
  <si>
    <t>voltage-gated calcium channel complex|membrane|integral to membrane</t>
  </si>
  <si>
    <t>VOLTAGE-GATED CATION CHANNEL (CALCIUM AND SODIUM)</t>
  </si>
  <si>
    <t>VOLTAGE-DEPENDENT R-TYPE CALCIUM CHANNEL ALPHA-1E SUBUNIT</t>
  </si>
  <si>
    <t xml:space="preserve">Ion channel &gt;Voltage-gated ion channel &gt;Voltage-gated calcium channel. </t>
  </si>
  <si>
    <t>histone deacetylase 11</t>
  </si>
  <si>
    <t>nucleic acid binding|chromatin binding|transcription factor activity|protein binding|zinc ion binding|sequence-specific DNA binding|metal ion binding</t>
  </si>
  <si>
    <t>intracellular|nucleus|cytoplasm|transcriptional repressor complex</t>
  </si>
  <si>
    <t>ZINC FINGER PROTEIN ZIC AND GLI</t>
  </si>
  <si>
    <t>ZINC FINGER PROTEIN GLI3</t>
  </si>
  <si>
    <t>HISTONE DEACETYLASE</t>
  </si>
  <si>
    <t>HISTONE DEACETYLASE 11</t>
  </si>
  <si>
    <t xml:space="preserve">Nucleic acid binding. Hydrolase &gt;Deacetylase. </t>
  </si>
  <si>
    <t>bone morphogenetic protein 7 (osteogenic protein 1)</t>
  </si>
  <si>
    <t>translation|response to extracellular stimulus|gas transport|erythrocyte differentiation|anatomical structure development|positive regulation of cell motility</t>
  </si>
  <si>
    <t>ossification|mesoderm formation|kidney development|epithelial to mesenchymal transition|pattern specification process|axon guidance|salivary gland morphogenesis|organ morphogenesis|BMP signaling pathway|growth|odontogenesis (sensu Vertebrata)|positive regulation of cell differentiation|negative regulation of progression through cell cycle|positive regulation of transcription|cell development|branching morphogenesis of a tube|cartilage development</t>
  </si>
  <si>
    <t>cytokine activity|protein binding|growth factor activity</t>
  </si>
  <si>
    <t>extracellular space</t>
  </si>
  <si>
    <t>TGF-BETA FAMILY</t>
  </si>
  <si>
    <t>cell adhesion|organ morphogenesis</t>
  </si>
  <si>
    <t>receptor activity|protein binding|sugar binding</t>
  </si>
  <si>
    <t>response to oxidative stress</t>
  </si>
  <si>
    <t xml:space="preserve">Signaling molecule &gt;Other signaling molecule. </t>
  </si>
  <si>
    <t>signal recognition particle 9kDa</t>
  </si>
  <si>
    <t>membrane|integral to membrane</t>
  </si>
  <si>
    <t>FAMILY NOT NAMED</t>
  </si>
  <si>
    <t>SUBFAMILY NOT NAMED</t>
  </si>
  <si>
    <t>kallikrein-related peptidase 8</t>
  </si>
  <si>
    <t>proteolysis|nervous system development</t>
  </si>
  <si>
    <t>serine-type endopeptidase activity|peptidase activity</t>
  </si>
  <si>
    <t>SERINE PROTEASE-RELATED</t>
  </si>
  <si>
    <t>NEUROPSIN (KALLIKREIN 8) (BRAIN SERINE PROTEASE 1)</t>
  </si>
  <si>
    <t xml:space="preserve">Protease &gt;Serine protease. </t>
  </si>
  <si>
    <t>thioredoxin-like 1</t>
  </si>
  <si>
    <t>electron transport|transport|apoptosis|signal transduction|cell redox homeostasis</t>
  </si>
  <si>
    <t>thiol-disulfide exchange intermediate activity</t>
  </si>
  <si>
    <t>cytoplasm</t>
  </si>
  <si>
    <t>THIOREDOXIN-RELATED</t>
  </si>
  <si>
    <t>THIOREDOXIN WITH DUF1000 DOMAIN</t>
  </si>
  <si>
    <t xml:space="preserve">Oxidoreductase &gt;Other oxidoreductase. </t>
  </si>
  <si>
    <t>WNT1 inducible signaling pathway protein 2</t>
  </si>
  <si>
    <t>regulation of cell growth|cell adhesion|signal transduction|cell-cell signaling</t>
  </si>
  <si>
    <t>Golgi trans cisterna|extracellular region|cytoplasm|heterotrimeric G-protein complex|plasma membrane|plasma membrane|membrane|cell projection</t>
  </si>
  <si>
    <t>NEUROENDOCRINE SECRETORY PROTEIN NESP55</t>
  </si>
  <si>
    <t xml:space="preserve"> </t>
  </si>
  <si>
    <t xml:space="preserve">Select regulatory molecule &gt;G-protein &gt;Large G-protein. </t>
  </si>
  <si>
    <t xml:space="preserve">Select regulatory molecule &gt;Protease inhibitor. </t>
  </si>
  <si>
    <t>interferon, alpha 16</t>
  </si>
  <si>
    <t>defense response|response to virus</t>
  </si>
  <si>
    <t>interferon-alpha/beta receptor binding</t>
  </si>
  <si>
    <t>extracellular region|extracellular space</t>
  </si>
  <si>
    <t>TYPE I INTERFERON</t>
  </si>
  <si>
    <t>INTERFERON ALPHA</t>
  </si>
  <si>
    <t>transcription factor activity|transcription factor activity|transcription coactivator activity|protein binding|transcription regulator activity</t>
  </si>
  <si>
    <t>nucleus</t>
  </si>
  <si>
    <t>BHLHZIP TRANSCRIPTION FACTOR MAX/BIGMAX</t>
  </si>
  <si>
    <t xml:space="preserve">Transcription factor &gt;Basic helix-loop-helix transcription factor. Nucleic acid binding. </t>
  </si>
  <si>
    <t>malate dehydrogenase 1, NAD (soluble)</t>
  </si>
  <si>
    <t>glycolysis|tricarboxylic acid cycle|malate metabolic process</t>
  </si>
  <si>
    <t>malic enzyme activity|oxidoreductase activity|L-malate dehydrogenase activity</t>
  </si>
  <si>
    <t>transient receptor potential cation channel, subfamily C, member 1</t>
  </si>
  <si>
    <t>ion transport|calcium ion transport</t>
  </si>
  <si>
    <t>plasma membrane|integral to plasma membrane</t>
  </si>
  <si>
    <t>TRANSIENT RECEPTOR POTENTIAL CHANNEL</t>
  </si>
  <si>
    <t>protein import into nucleus, translocation|metanephros development|ureteric bud branching|transcription|regulation of transcription, DNA-dependent|transcription from RNA polymerase II promoter|signal transduction|smoothened signaling pathway|pattern specification process|hindgut morphogenesis|heart development|negative regulation of cell proliferation|anterior/posterior pattern formation|proximal/distal pattern formation|negative regulation of transcription|spinal cord dorsal-ventral patterning|optic nerve morphogenesis|smoothened signaling pathway involved in ventral spinal cord interneuron specification|smoothened signaling pathway involved in spinal cord motor neuron cell fate specification|neural tube development|lung development|embryonic limb morphogenesis|mammary gland development|forebrain development|tube development|odontogenesis (sensu Vertebrata)|negative regulation of cell differentiation|embryonic gut morphogenesis|developmental growth|embryonic morphogenesis|anatomical structure formation|neuron fate commitment</t>
  </si>
  <si>
    <t>Protein metabolism and modification &gt;Protein modification &gt;Protein phosphorylation. Cell cycle &gt;Mitosis &gt;Cytokinesis.</t>
  </si>
  <si>
    <t xml:space="preserve">Transcription factor &gt;Zinc finger transcription factor. </t>
  </si>
  <si>
    <t>ribosomal protein S19</t>
  </si>
  <si>
    <t>Protein metabolism and modification &gt;Proteolysis.</t>
  </si>
  <si>
    <t>Nucleoside, nucleotide and nucleic acid metabolism &gt;mRNA transcription &gt;mRNA transcription regulation.</t>
  </si>
  <si>
    <t>RNA binding|structural constituent of ribosome|protein binding</t>
  </si>
  <si>
    <t>intracellular|nucleolus|ribosome|cytosolic small ribosomal subunit (sensu Eukaryota)</t>
  </si>
  <si>
    <t>40S RIBOSOMAL PROTEIN S19</t>
  </si>
  <si>
    <t xml:space="preserve">Nucleic acid binding &gt;Ribosomal protein. </t>
  </si>
  <si>
    <t>chromosome 1 open reading frame 164</t>
  </si>
  <si>
    <t>protein binding|zinc ion binding|metal ion binding</t>
  </si>
  <si>
    <t>UNCHARACTERIZED</t>
  </si>
  <si>
    <t xml:space="preserve">Molecular function unclassified. </t>
  </si>
  <si>
    <t>Entrez_Gene_Id</t>
  </si>
  <si>
    <t>glutathione peroxidase activity|oxidoreductase activity</t>
  </si>
  <si>
    <t>GLUTATHIONE PEROXIDASE</t>
  </si>
  <si>
    <t xml:space="preserve">Oxidoreductase &gt;Peroxidase. </t>
  </si>
  <si>
    <t>DiGeorge syndrome critical region gene 2</t>
  </si>
  <si>
    <t>GO_Process</t>
  </si>
  <si>
    <t>GO_Function</t>
  </si>
  <si>
    <t>GO_Component</t>
  </si>
  <si>
    <t>Panther_Family</t>
  </si>
  <si>
    <t>Panther_Sub_Family</t>
  </si>
  <si>
    <t>Panther_Molecular_Function_1</t>
  </si>
  <si>
    <t>GNAS complex locus</t>
  </si>
  <si>
    <t>protein targeting|Golgi to secretory vesicle transport|signal transduction|signal transduction|G-protein coupled receptor protein signaling pathway|adenylate cyclase activation|female pregnancy|sensory perception of smell|protein secretion</t>
  </si>
  <si>
    <t>nucleotide binding|molecular_function|GTPase activity|signal transducer activity|protein binding|GTP binding|GTP binding|guanyl nucleotide binding</t>
  </si>
  <si>
    <t>Protein metabolism and modification &gt;Proteolysis. Developmental processes &gt;Fertilization.</t>
  </si>
  <si>
    <t>baculoviral IAP repeat-containing 2</t>
  </si>
  <si>
    <t>placenta development|anti-apoptosis|cell surface receptor linked signal transduction|regulation of apoptosis|positive regulation of I-kappaB kinase/NF-kappaB cascade</t>
  </si>
  <si>
    <t>signal transducer activity|protein binding|zinc ion binding|metal ion binding</t>
  </si>
  <si>
    <t>intracellular|cytoplasm</t>
  </si>
  <si>
    <t>INHIBITOR OF APOPTOSIS</t>
  </si>
  <si>
    <t>INHIBITOR OF APOPTOSIS PROTEIN 1 AND 2, IAP1, IAP2</t>
  </si>
  <si>
    <t>Intracellular protein traffic &gt;General vesicle transport. Protein targeting and localization.</t>
  </si>
  <si>
    <t>Signal transduction. Protein targeting and localization &gt;Protein targeting.</t>
  </si>
  <si>
    <t xml:space="preserve">Signaling molecule &gt;Cytokine &gt;Interferon. </t>
  </si>
  <si>
    <t>GLI-Kruppel family member GLI3 (Greig cephalopolysyndactyly syndrome)</t>
  </si>
  <si>
    <t>Signal transduction &gt;Cell surface receptor mediated signal transduction &gt;G-protein mediated signaling.</t>
  </si>
  <si>
    <t>Coenzyme and prosthetic group metabolism.</t>
  </si>
  <si>
    <t>Signal transduction &gt;Cell surface receptor mediated signal transduction &gt;Other receptor mediated signaling pathway. Developmental processes. Cell proliferation and differentiation.</t>
  </si>
  <si>
    <t>Cell structure and motility &gt;Cell motility.</t>
  </si>
  <si>
    <t>Signal transduction &gt;Cell surface receptor mediated signal transduction &gt;Other receptor mediated signaling pathway. Signal transduction &gt;Cell communication. Transport &gt;Ion transport &gt;Cation transport. Neuronal activities &gt;Synaptic transmission &gt;Nerve-nerve synaptic transmission.</t>
  </si>
  <si>
    <t>Intracellular protein traffic &gt;Peroxisome transport.</t>
  </si>
  <si>
    <t>Cell adhesion. Developmental processes &gt;Fertilization.</t>
  </si>
  <si>
    <t>Cell cycle &gt;Mitosis.</t>
  </si>
  <si>
    <t>Signal transduction &gt;Intracellular signaling cascade. Intracellular protein traffic &gt;Endocytosis &gt;Receptor mediated endocytosis. Intracellular protein traffic &gt;General vesicle transport.</t>
  </si>
  <si>
    <t>Apoptosis &gt;Induction of apoptosis.</t>
  </si>
  <si>
    <t>Apoptosis &gt;Apoptotic processes.</t>
  </si>
  <si>
    <t>Biological process unclassified.</t>
  </si>
  <si>
    <t>Nucleoside, nucleotide and nucleic acid metabolism &gt;mRNA transcription &gt;mRNA transcription regulation. Cell proliferation and differentiation.</t>
  </si>
  <si>
    <t>Nucleoside, nucleotide and nucleic acid metabolism &gt;DNA metabolism &gt;DNA replication. Nucleoside, nucleotide and nucleic acid metabolism &gt;DNA metabolism &gt;DNA repair. Protein metabolism and modification &gt;Protein modification &gt;Protein phosphorylation. Signal transduction &gt;Intracellular signaling cascade &gt;Other intracellular signaling cascade. Cell cycle &gt;DNA replication.</t>
  </si>
  <si>
    <t>Signal transduction &gt;Cell communication &gt;Ligand-mediated signaling.</t>
  </si>
  <si>
    <t>Signal transduction.</t>
  </si>
  <si>
    <t>Carbohydrate metabolism. Electron transport &gt;Oxidative phosphorylation.</t>
  </si>
  <si>
    <t>Miscellaneous.</t>
  </si>
  <si>
    <t>Protein metabolism and modification &gt;Protein modification &gt;Protein phosphorylation.</t>
  </si>
  <si>
    <t>Nucleoside, nucleotide and nucleic acid metabolism &gt;mRNA transcription &gt;mRNA transcription regulation. Signal transduction &gt;Intracellular signaling cascade &gt;JNK cascade. Cell cycle &gt;Cell cycle control. Cell proliferation and differentiation. Oncogenesis &gt;Oncogene.</t>
  </si>
  <si>
    <t>Transport &gt;Ion transport &gt;Cation transport.</t>
  </si>
  <si>
    <t>Gene_Symbol</t>
  </si>
  <si>
    <t>Gene_Name</t>
  </si>
  <si>
    <t>Developmental processes &gt;Gametogenesis &gt;Spermatogenesis and motility. Cell cycle &gt;Cell cycle control. Oncogenesis.</t>
  </si>
  <si>
    <t>Transport &gt;Ion transport &gt;Cation transport. Sensory perception &gt;Chemosensory perception &gt;Taste. Blood circulation and gas exchange &gt;Regulation of vasoconstriction, dilation.</t>
  </si>
  <si>
    <t>Signal transduction &gt;Cell communication. Transport &gt;Ion transport &gt;Cation transport. Neuronal activities &gt;Synaptic transmission &gt;Neuromuscular synaptic transmission. Muscle contraction.</t>
  </si>
  <si>
    <t>Cell cycle &gt;Mitosis &gt;Chromosome segregation.</t>
  </si>
  <si>
    <t>Signal transduction &gt;Cell surface receptor mediated signal transduction &gt;G-protein mediated signaling. Muscle contraction. Apoptosis. Developmental processes. Cell proliferation and differentiation. Cell structure and motility &gt;Cell motility.</t>
  </si>
  <si>
    <t>Protein metabolism and modification &gt;Protein modification &gt;Protein phosphorylation. Cell structure and motility &gt;Cell structure.</t>
  </si>
  <si>
    <t>Signal transduction &gt;Cell surface receptor mediated signal transduction. Signal transduction &gt;Intracellular signaling cascade. Homeostasis.</t>
  </si>
  <si>
    <t>Lipid, fatty acid and steroid metabolism &gt;Steroid metabolism &gt;Cholesterol metabolism. Lipid, fatty acid and steroid metabolism &gt;Steroid metabolism &gt;Steroid hormone metabolism. Electron transport.</t>
  </si>
  <si>
    <t>Signal transduction &gt;Cell surface receptor mediated signal transduction &gt;G-protein mediated signaling. Immunity and defense &gt;Blood clotting. Blood circulation and gas exchange &gt;Regulation of vasoconstriction, dilation. Cell structure and motility &gt;Cell motility.</t>
  </si>
  <si>
    <t>Signal transduction &gt;Cell communication. Transport &gt;Ion transport &gt;Cation transport. Neuronal activities &gt;Synaptic transmission &gt;Nerve-nerve synaptic transmission.</t>
  </si>
  <si>
    <t>Intracellular protein traffic. Cell cycle &gt;Mitosis &gt;Chromosome segregation. Cell structure and motility &gt;Cell structure. Cell structure and motility &gt;Cell motility.</t>
  </si>
  <si>
    <t>Lipid, fatty acid and steroid metabolism &gt;Lipid and fatty acid transport. Lipid, fatty acid and steroid metabolism &gt;Phospholipid metabolism. Lipid, fatty acid and steroid metabolism &gt;Steroid metabolism &gt;Cholesterol metabolism. Transport &gt;Lipid and fatty acid transport.</t>
  </si>
  <si>
    <t>Nucleoside, nucleotide and nucleic acid metabolism. Developmental processes &gt;Mesoderm development &gt;Muscle development. Cell proliferation and differentiation.</t>
  </si>
  <si>
    <t>Intracellular protein traffic &gt;General vesicle transport.</t>
  </si>
  <si>
    <t>Signal transduction &gt;Cell communication &gt;Ligand-mediated signaling. Cell adhesion. Apoptosis &gt;Induction of apoptosis. Developmental processes &gt;Ectoderm development &gt;Neurogenesis. Cell cycle &gt;Cell cycle control. Cell proliferation and differentiation. Oncogenesis &gt;Tumor suppressor. Cell structure and motility &gt;Cell motility.</t>
  </si>
  <si>
    <t>Intracellular protein traffic. Protein targeting and localization.</t>
  </si>
  <si>
    <t>Intracellular protein traffic &gt;General vesicle transport. Developmental processes &gt;Gametogenesis. Developmental processes &gt;Fertilization. Cell cycle &gt;Mitosis &gt;Chromosome segregation. Cell proliferation and differentiation. Cell structure and motility &gt;Cell structure.</t>
  </si>
  <si>
    <t>Sensory perception &gt;Hearing. Developmental processes &gt;Ectoderm development &gt;Neurogenesis.</t>
  </si>
  <si>
    <t>Nucleoside, nucleotide and nucleic acid metabolism &gt;Other nucleoside, nucleotide and nucleic acid metabolism.</t>
  </si>
  <si>
    <t xml:space="preserve">Select calcium binding protein &gt;Calmodulin related protein. </t>
  </si>
  <si>
    <t>Signal transduction &gt;Cell communication &gt;Ligand-mediated signaling. Transport &gt;Ion transport &gt;Anion transport. Neuronal activities &gt;Synaptic transmission &gt;Nerve-nerve synaptic transmission.</t>
  </si>
  <si>
    <t>Transport &gt;Ion transport &gt;Cation transport. Blood circulation and gas exchange.</t>
  </si>
  <si>
    <t>Developmental processes &gt;Gametogenesis &gt;Oogenesis.</t>
  </si>
  <si>
    <t>Immunity and defense &gt;Detoxification. Immunity and defense &gt;Antioxidation and free radical removal.</t>
  </si>
  <si>
    <t>Signal transduction &gt;Intracellular signaling cascade.</t>
  </si>
  <si>
    <t>Signal transduction &gt;Intracellular signaling cascade &gt;Calcium mediated signaling. Cell cycle. Cell proliferation and differentiation.</t>
  </si>
  <si>
    <t>Transport &gt;Ion transport &gt;Cation transport. Sensory perception &gt;Pain sensation. Sensory perception &gt;Other sensory perception.</t>
  </si>
  <si>
    <t>Signal transduction &gt;Cell surface receptor mediated signal transduction.</t>
  </si>
  <si>
    <t>Nucleoside, nucleotide and nucleic acid metabolism &gt;DNA metabolism. Nucleoside, nucleotide and nucleic acid metabolism &gt;Chromatin packaging and remodeling. Cell cycle &gt;Mitosis &gt;Chromosome segregation.</t>
  </si>
  <si>
    <t>Cell cycle &gt;Mitosis &gt;Cytokinesis. Cell cycle &gt;Mitosis &gt;Chromosome segregation.</t>
  </si>
  <si>
    <t>Intracellular protein traffic. Protein targeting and localization. Developmental processes &gt;Meiosis. Cell cycle &gt;Mitosis &gt;Cytokinesis. Cell cycle &gt;Mitosis &gt;Chromosome segregation. Cell proliferation and differentiation. Cell structure and motility &gt;Cell structure.</t>
  </si>
  <si>
    <t>Other metabolism &gt;Other carbon metabolism.</t>
  </si>
  <si>
    <t>Transport &gt;Ion transport &gt;Cation transport. Homeostasis.</t>
  </si>
  <si>
    <t>Protein metabolism and modification &gt;Protein folding. Protein metabolism and modification &gt;Protein complex assembly.</t>
  </si>
  <si>
    <t xml:space="preserve">Kinase &gt;Protein kinase &gt;Non-receptor tyrosine protein kinase. </t>
  </si>
  <si>
    <t xml:space="preserve">Cytoskeletal protein &gt;Actin binding cytoskeletal protein &gt;Non-motor actin binding protein. </t>
  </si>
  <si>
    <t>Protein metabolism and modification &gt;Protein modification &gt;Protein phosphorylation. Signal transduction &gt;Intracellular signaling cascade &gt;Other intracellular signaling cascade.</t>
  </si>
  <si>
    <t>Protein metabolism and modification &gt;Proteolysis. Cell cycle &gt;Cell cycle control.</t>
  </si>
  <si>
    <t>insulin receptor substrate 1</t>
  </si>
  <si>
    <t>signal transduction|insulin receptor signaling pathway|insulin-like growth factor receptor signaling pathway</t>
  </si>
  <si>
    <t>phosphoinositide-3-kinase, catalytic, beta polypeptide</t>
  </si>
  <si>
    <t>regulation of progression through cell cycle|activation of MAPK activity|regulation of cell-matrix adhesion|cellular calcium ion homeostasis|chemotaxis|homophilic cell adhesion|signal transduction|G-protein coupled receptor protein signaling pathway|platelet activation|embryonic cleavage</t>
  </si>
  <si>
    <t>phosphoinositide 3-kinase complex</t>
  </si>
  <si>
    <t xml:space="preserve">Receptor &gt;Nuclear hormone receptor. Transcription factor &gt;Nuclear hormone receptor. Nucleic acid binding. </t>
  </si>
  <si>
    <t>lymphocyte-specific protein tyrosine kinase</t>
  </si>
  <si>
    <t>signal transducer activity|transmembrane receptor protein tyrosine kinase docking protein activity|insulin receptor binding|insulin-like growth factor receptor binding|protein binding|protein kinase binding|SH2 domain binding|phosphoinositide 3-kinase binding|phosphoinositide 3-kinase binding</t>
  </si>
  <si>
    <t>nucleus|cytoplasm|microsome</t>
  </si>
  <si>
    <t>INSULIN RECEPTOR SUBSTRATE</t>
  </si>
  <si>
    <t>INSULIN RECEPTOR SUBSTRATE-1</t>
  </si>
  <si>
    <t>regulation of progression through cell cycle|protein amino acid phosphorylation|protein amino acid phosphorylation|cellular zinc ion homeostasis|induction of apoptosis|caspase activation|intracellular signaling cascade|intracellular signaling cascade|Ras protein signal transduction|hemopoiesis|T cell differentiation|response to drug|positive regulation of T cell receptor signaling pathway|positive regulation of T cell activation|release of sequestered calcium ion into cytosol|regulation of lymphocyte activation</t>
  </si>
  <si>
    <t>nucleotide binding|glycoprotein binding|protein-tyrosine kinase activity|protein-tyrosine kinase activity|protein serine/threonine phosphatase activity|ATP binding|protein C-terminus binding|transferase activity|protein kinase binding|SH2 domain binding|CD4 receptor binding|CD8 receptor binding|phosphoinositide 3-kinase binding|ATPase binding</t>
  </si>
  <si>
    <t>pericentriolar material|cytoplasm|plasma membrane|lipid raft</t>
  </si>
  <si>
    <t>PROTO-ONCOGENE TYROSINE-PROTEIN KINASE LCK</t>
  </si>
  <si>
    <t>cellular_component|cytoplasm</t>
  </si>
  <si>
    <t>nucleotide binding|molecular_function|ATP binding|ATP binding|nitric-oxide synthase regulator activity|TPR domain binding|TPR domain binding|protein homodimerization activity|unfolded protein binding</t>
  </si>
  <si>
    <t>cellular_component|cytoplasm|cytosol</t>
  </si>
  <si>
    <t>HEAT SHOCK PROTEIN 90</t>
  </si>
  <si>
    <t xml:space="preserve">Chaperone &gt;Hsp 90 family chaperone. </t>
  </si>
  <si>
    <t>BCL2-associated athanogene 3</t>
  </si>
  <si>
    <t>protein binding|Hsp70/Hsc70 protein regulator activity</t>
  </si>
  <si>
    <t>cellular_component|cytosol</t>
  </si>
  <si>
    <t>BCL2-ASSOCIATED ATHANOGENE 3</t>
  </si>
  <si>
    <t>kinesin family member 11</t>
  </si>
  <si>
    <t>glomulin, FKBP associated protein</t>
  </si>
  <si>
    <t>vasculogenesis|regulation of gene expression, epigenetic|negative regulation of T cell proliferation|positive regulation of phosphorylation|muscle cell differentiation|positive regulation of interleukin-2 biosynthetic process|positive regulation of cytokine secretion</t>
  </si>
  <si>
    <t>hepatocyte growth factor receptor binding|protein binding|protein binding</t>
  </si>
  <si>
    <t>FKBP-ASSOCIATED PROTEIN</t>
  </si>
  <si>
    <t xml:space="preserve">Signaling molecule. Miscellaneous function &gt;Structural protein. Miscellaneous function &gt;Other miscellaneous function protein. </t>
  </si>
  <si>
    <t>heat shock protein 90kDa alpha (cytosolic), class A member 1</t>
  </si>
  <si>
    <t>protein folding|mitochondrial transport|response to unfolded protein|signal transduction|biological_process|protein refolding|positive regulation of nitric oxide biosynthetic process</t>
  </si>
  <si>
    <t>microtubule-based movement|cell cycle|mitotic spindle organization and biogenesis|mitosis|mitotic centrosome separation|spindle pole body organization and biogenesis|cell division</t>
  </si>
  <si>
    <t>spindle pole|kinesin complex|spindle microtubule</t>
  </si>
  <si>
    <t>KINESIN EG-5</t>
  </si>
  <si>
    <t>RAB6C, member RAS oncogene family</t>
  </si>
  <si>
    <t>small GTPase mediated signal transduction|protein transport|response to drug</t>
  </si>
  <si>
    <t>RAS-RELATED PROTEIN RAB-6</t>
  </si>
  <si>
    <t>RAB2A, member RAS oncogene family</t>
  </si>
  <si>
    <t xml:space="preserve">Receptor &gt;Ligand-gated ion channel &gt;Other ligand-gated ion channel. Ion channel &gt;Ligand-gated ion channel &gt;Other ligand-gated ion channel. </t>
  </si>
  <si>
    <t>ubiquitin protein ligase E3 component n-recognin 5</t>
  </si>
  <si>
    <t>protein modification process|ubiquitin-dependent protein catabolic process|ubiquitin cycle|response to DNA damage stimulus|cell proliferation|progesterone receptor signaling pathway</t>
  </si>
  <si>
    <t>ubiquitin-protein ligase activity|ubiquitin-protein ligase activity|protein binding|zinc ion binding|ligase activity|metal ion binding</t>
  </si>
  <si>
    <t>intracellular|soluble fraction|nucleus</t>
  </si>
  <si>
    <t>HECT DOMAIN UBIQUITIN-PROTEIN LIGASE</t>
  </si>
  <si>
    <t>UBIQUITIN--PROTEIN LIGASE EDD/HYD</t>
  </si>
  <si>
    <t xml:space="preserve">Ligase &gt;Ubiquitin-protein ligase. </t>
  </si>
  <si>
    <t>ATP-binding cassette, sub-family C (CFTR/MRP), member 1</t>
  </si>
  <si>
    <t>transport|transport|response to drug</t>
  </si>
  <si>
    <t>nebulin</t>
  </si>
  <si>
    <t>G1/S transition of mitotic cell cycle|skeletal development|ovarian follicle development|induction of apoptosis|defense response|cell cycle arrest|cell surface receptor linked signal transduction|cell-cell signaling|nervous system development|response to external stimulus|cell differentiation|erythrocyte differentiation|negative regulation of cell growth|regulation of activin receptor signaling pathway|growth|negative regulation of phosphorylation|hemoglobin biosynthetic process|negative regulation of interferon-gamma biosynthetic process|negative regulation of B cell differentiation|positive regulation of erythrocyte differentiation|negative regulation of macrophage differentiation|positive regulation of transcription from RNA polymerase II promoter|positive regulation of follicle-stimulating hormone secretion|negative regulation of follicle-stimulating hormone secretion</t>
  </si>
  <si>
    <t>ER to Golgi vesicle-mediated transport|small GTPase mediated signal transduction|protein transport</t>
  </si>
  <si>
    <t>endoplasmic reticulum|Golgi apparatus|membrane</t>
  </si>
  <si>
    <t>RAS-RELATED PROTEIN RAB-2</t>
  </si>
  <si>
    <t xml:space="preserve">Receptor &gt;Ligand-gated ion channel &gt;Acetylcholine receptor. Ion channel &gt;Ligand-gated ion channel &gt;Acetylcholine receptor. </t>
  </si>
  <si>
    <t xml:space="preserve">Oxidoreductase &gt;Reductase. </t>
  </si>
  <si>
    <t xml:space="preserve">Select regulatory molecule &gt;Protease inhibitor &gt;Serine protease inhibitor. </t>
  </si>
  <si>
    <t xml:space="preserve">Cytoskeletal protein &gt;Microtubule family cytoskeletal protein &gt;Tubulin. </t>
  </si>
  <si>
    <t>nucleotide binding|transporter activity|transporter activity|ATP binding|ATP binding|ATPase activity|ATPase activity|ATPase activity, coupled to transmembrane movement of substances|ATPase activity, coupled to transmembrane movement of substances</t>
  </si>
  <si>
    <t>membrane fraction|integral to plasma membrane|membrane|integral to membrane</t>
  </si>
  <si>
    <t>MULTIDRUG RESISTANCE PROTEIN 1 (ATP-BINDING CASSETTE C1)</t>
  </si>
  <si>
    <t>cullin 3</t>
  </si>
  <si>
    <t>somatic muscle development|regulation of actin filament length</t>
  </si>
  <si>
    <t>actin binding|protein binding|structural constituent of muscle</t>
  </si>
  <si>
    <t>cytoplasm|actin cytoskeleton|Z disc</t>
  </si>
  <si>
    <t>NEBULIN</t>
  </si>
  <si>
    <t>solute carrier family 38, member 2</t>
  </si>
  <si>
    <t>AMINO ACID TRANSPORTER</t>
  </si>
  <si>
    <t>potassium intermediate/small conductance calcium-activated channel, subfamily N, member 1</t>
  </si>
  <si>
    <t>ion transport|potassium ion transport|synaptic transmission</t>
  </si>
  <si>
    <t>cytokine activity|transforming growth factor beta receptor binding|hormone activity|growth factor activity|activin inhibitor activity|identical protein binding|follistatin binding</t>
  </si>
  <si>
    <t>extracellular region|activin A complex|inhibin A complex</t>
  </si>
  <si>
    <t>INHIBIN BETA A, INHBA</t>
  </si>
  <si>
    <t>attractin-like 1</t>
  </si>
  <si>
    <t>receptor activity|sugar binding</t>
  </si>
  <si>
    <t>LAMININ</t>
  </si>
  <si>
    <t>ATTRACTIN</t>
  </si>
  <si>
    <t>cholinergic receptor, muscarinic 4</t>
  </si>
  <si>
    <t>acetylcholine receptor signaling, muscarinic pathway|cell proliferation</t>
  </si>
  <si>
    <t>rhodopsin-like receptor activity|receptor activity|muscarinic acetylcholine receptor activity</t>
  </si>
  <si>
    <t>sialic acid binding Ig-like lectin 11</t>
  </si>
  <si>
    <t>cell adhesion</t>
  </si>
  <si>
    <t>protein binding|sugar binding</t>
  </si>
  <si>
    <t>SIALIC ACID BINDING IMMUNOGLOBULIN-LIKE LECTIN</t>
  </si>
  <si>
    <t>SIALIC ACID BINDING IG-LIKE LECTIN</t>
  </si>
  <si>
    <t xml:space="preserve">Receptor &gt;Immunoglobulin receptor family member. Signaling molecule &gt;Membrane-bound signaling molecule. Cell adhesion molecule &gt;Other cell adhesion molecule. Defense/immunity protein &gt;Immunoglobulin receptor family member. </t>
  </si>
  <si>
    <t>5-hydroxytryptamine (serotonin) receptor 3 family member D</t>
  </si>
  <si>
    <t>ion transport</t>
  </si>
  <si>
    <t>extracellular ligand-gated ion channel activity|neurotransmitter receptor activity</t>
  </si>
  <si>
    <t>integral to membrane|postsynaptic membrane</t>
  </si>
  <si>
    <t>5-HYDROXYTRYPTAMINE SEROTONIN RECEPTOR 3C, 3D, 3E</t>
  </si>
  <si>
    <t>SLINGSHOT DUAL SPECIFICITY PHOSPHATASE</t>
  </si>
  <si>
    <t>fumarate hydratase activity|lyase activity</t>
  </si>
  <si>
    <t>cytoplasm|mitochondrion|tricarboxylic acid cycle enzyme complex</t>
  </si>
  <si>
    <t>ASPARTATE AMMONIA LYASE</t>
  </si>
  <si>
    <t xml:space="preserve">Transcription factor &gt;Zinc finger transcription factor &gt;KRAB box transcription factor. </t>
  </si>
  <si>
    <t xml:space="preserve">Signaling molecule &gt;Peptide hormone &gt;Neuropeptide. </t>
  </si>
  <si>
    <t xml:space="preserve">Cell junction protein &gt;Gap junction. </t>
  </si>
  <si>
    <t>proteinaceous extracellular matrix</t>
  </si>
  <si>
    <t>INTERPHOTORECEPTOR MATRIX PROTEOGLYCAN</t>
  </si>
  <si>
    <t>INTERPHOTORECEPTOR MATRIX PROTEOGLYCAN 200</t>
  </si>
  <si>
    <t xml:space="preserve">Receptor &gt;Other receptor. Cell adhesion molecule &gt;CAM family adhesion molecule. </t>
  </si>
  <si>
    <t xml:space="preserve">Receptor &gt;Ligand-gated ion channel &gt;GABA receptor. Ion channel &gt;Ligand-gated ion channel &gt;GABA receptor. </t>
  </si>
  <si>
    <t xml:space="preserve">Receptor &gt;Ligand-gated ion channel &gt;Acetylcholine receptor. Ion channel &gt;Ligand-gated ion channel &gt;Acetylcholine receptor. Transporter &gt;Cation transporter. </t>
  </si>
  <si>
    <t xml:space="preserve">Cytoskeletal protein &gt;Microtubule family cytoskeletal protein &gt;Non-motor microtubule binding protein. Kinase &gt;Protein kinase &gt;Non-receptor serine/threonine protein kinase. </t>
  </si>
  <si>
    <t xml:space="preserve">Nucleic acid binding &gt;Chromatin/chromatin-binding protein. Hydrolase. </t>
  </si>
  <si>
    <t xml:space="preserve">Nucleic acid binding &gt;Centromere DNA-binding protein. </t>
  </si>
  <si>
    <t>G1/S transition of mitotic cell cycle|ubiquitin cycle|cell cycle|cell cycle arrest|positive regulation of cell proliferation|induction of apoptosis by intracellular signals</t>
  </si>
  <si>
    <t>CULLIN</t>
  </si>
  <si>
    <t>CULLIN 3</t>
  </si>
  <si>
    <t>paired box 8</t>
  </si>
  <si>
    <t>transcription|multicellular organismal development|anatomical structure morphogenesis|cell differentiation|positive regulation of transcription, DNA-dependent</t>
  </si>
  <si>
    <t>transcription factor activity|thyroid-stimulating hormone receptor activity|protein binding|transcription activator activity</t>
  </si>
  <si>
    <t>nucleus|nucleoplasm</t>
  </si>
  <si>
    <t>PAIRED BOX PROTEIN PAX-8</t>
  </si>
  <si>
    <t xml:space="preserve">Transcription factor &gt;Homeobox transcription factor. Nucleic acid binding &gt;Other DNA-binding protein. </t>
  </si>
  <si>
    <t>inhibin, beta A</t>
  </si>
  <si>
    <t>ubiquitin-dependent protein catabolic process|multicellular organismal development</t>
  </si>
  <si>
    <t>PHD finger protein 23</t>
  </si>
  <si>
    <t>WNT inhibitory factor 1</t>
  </si>
  <si>
    <t>signal transduction|cell-cell signaling|multicellular organismal development|Wnt receptor signaling pathway</t>
  </si>
  <si>
    <t>protein-tyrosine kinase activity</t>
  </si>
  <si>
    <t>EGF-LIKE DOMAIN PROTEIN</t>
  </si>
  <si>
    <t>WNT INHIBITORY FACTOR-1</t>
  </si>
  <si>
    <t>cholinergic receptor, nicotinic, alpha 2 (neuronal)</t>
  </si>
  <si>
    <t>ion transport|signal transduction|synaptic transmission</t>
  </si>
  <si>
    <t>amino acid transmembrane transporter activity</t>
  </si>
  <si>
    <t>AMINO ACID TRANSPORTER 1</t>
  </si>
  <si>
    <t xml:space="preserve">Transporter &gt;Amino acid transporter. </t>
  </si>
  <si>
    <t>tubulin, alpha 4b (pseudogene)</t>
  </si>
  <si>
    <t>microtubule-based movement|protein polymerization</t>
  </si>
  <si>
    <t>ion channel activity|calmodulin binding|small conductance calcium-activated potassium channel activity</t>
  </si>
  <si>
    <t>CALCIUM-ACTIVATED POTASSIUM CHANNEL</t>
  </si>
  <si>
    <t>CALCIUM-ACTIVATED POTASSIUM CHANNEL 1 (SK1)</t>
  </si>
  <si>
    <t>expressed in prostate and testis</t>
  </si>
  <si>
    <t>phospholipid metabolic process|lipid catabolic process</t>
  </si>
  <si>
    <t>phospholipase A2 activity</t>
  </si>
  <si>
    <t>URINARY PROTEIN (RUP)/ACROSOMAL PROTEIN SP-10</t>
  </si>
  <si>
    <t>signal-regulatory protein alpha</t>
  </si>
  <si>
    <t>TYROSINE PROTEIN PHOSPHATASE</t>
  </si>
  <si>
    <t>ZINC METALLOPROTEASE FAMILY M13 NEPRILYSIN-RELATED</t>
  </si>
  <si>
    <t>ENDOTHELIN-CONVERTING ENZYME-LIKE 1 (DAMAGE-INDUCED NEURONAL ENDOPEPTIDASE)</t>
  </si>
  <si>
    <t>plasma membrane|integral to plasma membrane|cell junction|synapse</t>
  </si>
  <si>
    <t>MUSCARINIC ACETYLCHOLINE RECEPTOR M4</t>
  </si>
  <si>
    <t>slingshot homolog 1 (Drosophila)</t>
  </si>
  <si>
    <t>cell morphogenesis|protein amino acid dephosphorylation|actin cytoskeleton organization and biogenesis</t>
  </si>
  <si>
    <t>actin binding|protein tyrosine phosphatase activity|protein binding|protein tyrosine/serine/threonine phosphatase activity|hydrolase activity</t>
  </si>
  <si>
    <t>cytoplasm|cytoskeleton|plasma membrane|cell projection</t>
  </si>
  <si>
    <t>DUAL SPECIFICITY PROTEIN PHOSPHATASE</t>
  </si>
  <si>
    <t xml:space="preserve">Signaling molecule &gt;Chemokine. </t>
  </si>
  <si>
    <t>fumarate hydratase</t>
  </si>
  <si>
    <t>tricarboxylic acid cycle|fumarate metabolic process|cell cycle|negative regulation of progression through cell cycle</t>
  </si>
  <si>
    <t>ADIPOR/PROGESTIN RECEPTOR-RELATED</t>
  </si>
  <si>
    <t>PROGESTIN AND ADIPOQ RECEPTOR FAMILY MEMBER IV</t>
  </si>
  <si>
    <t>potassium inwardly-rectifying channel, subfamily J, member 2</t>
  </si>
  <si>
    <t>inward rectifier potassium channel activity|voltage-gated ion channel activity|protein binding|potassium ion binding</t>
  </si>
  <si>
    <t>INWARD RECTIFIER POTASSIUM CHANNEL 2 (KIR2.1)(IRK1)</t>
  </si>
  <si>
    <t>interphotoreceptor matrix proteoglycan 2</t>
  </si>
  <si>
    <t>visual perception</t>
  </si>
  <si>
    <t>extracellular matrix structural constituent|hyaluronic acid binding</t>
  </si>
  <si>
    <t>sucrase-isomaltase (alpha-glucosidase)</t>
  </si>
  <si>
    <t>carbohydrate metabolic process|metabolic process</t>
  </si>
  <si>
    <t>hydrolase activity, hydrolyzing O-glycosyl compounds|oligo-1,6-glucosidase activity|sucrose alpha-glucosidase activity</t>
  </si>
  <si>
    <t>Golgi apparatus|brush border|membrane|integral to membrane</t>
  </si>
  <si>
    <t>ALPHA-GLUCOSIDASE</t>
  </si>
  <si>
    <t>SUCRASE-ISOMALTASE</t>
  </si>
  <si>
    <t xml:space="preserve">Hydrolase &gt;Glucosidase. </t>
  </si>
  <si>
    <t xml:space="preserve">Cytoskeletal protein &gt;Microtubule family cytoskeletal protein &gt;Microtubule binding motor protein. Hydrolase. </t>
  </si>
  <si>
    <t xml:space="preserve">Chaperone &gt;Chaperonin. </t>
  </si>
  <si>
    <t xml:space="preserve">Miscellaneous function &gt;Structural protein. </t>
  </si>
  <si>
    <t xml:space="preserve">Cell adhesion molecule &gt;Other cell adhesion molecule. </t>
  </si>
  <si>
    <t xml:space="preserve">Nucleic acid binding &gt;Other nucleic acid binding. </t>
  </si>
  <si>
    <t xml:space="preserve">Hydrolase &gt;Other hydrolase. </t>
  </si>
  <si>
    <t xml:space="preserve">Phosphatase &gt;Protein phosphatase. Select calcium binding protein &gt;Calmodulin related protein. </t>
  </si>
  <si>
    <t xml:space="preserve">Nucleic acid binding &gt;Other RNA-binding protein. </t>
  </si>
  <si>
    <t xml:space="preserve">Lyase &gt;Dehydratase. </t>
  </si>
  <si>
    <t xml:space="preserve">Cytoskeletal protein &gt;Microtubule family cytoskeletal protein &gt;Non-motor microtubule binding protein. </t>
  </si>
  <si>
    <t>H2A histone family, member Z</t>
  </si>
  <si>
    <t>oral-facial-digital syndrome 1</t>
  </si>
  <si>
    <t>molecular_function</t>
  </si>
  <si>
    <t>granzyme K (granzyme 3  tryptase II)</t>
  </si>
  <si>
    <t>GRANZYME K</t>
  </si>
  <si>
    <t>retinal pigment epithelium-specific protein 65kDa</t>
  </si>
  <si>
    <t>regulation of rhodopsin gene activity|visual perception|retinal metabolic process|response to stimulus</t>
  </si>
  <si>
    <t>cytoplasm|membrane</t>
  </si>
  <si>
    <t>CARTENOID OXYGENASE</t>
  </si>
  <si>
    <t>RETINAL PIGMENT EPITHELIUM</t>
  </si>
  <si>
    <t>kallikrein-related peptidase 11</t>
  </si>
  <si>
    <t>KALLIKREIN 11</t>
  </si>
  <si>
    <t>seven in absentia homolog 1 (Drosophila) pseudogene</t>
  </si>
  <si>
    <t>progesterone receptor membrane component 1</t>
  </si>
  <si>
    <t>receptor activity|steroid binding|protein binding|lipid binding|heme binding|transition metal ion binding</t>
  </si>
  <si>
    <t>endoplasmic reticulum|microsome|integral to plasma membrane|cell surface|membrane</t>
  </si>
  <si>
    <t>MEMBRANE ASSOCIATED PROGESTERONE RECEPTOR-RELATED</t>
  </si>
  <si>
    <t>MEMBRANE ASSOCIATED PROGESTERONE RECEPTOR</t>
  </si>
  <si>
    <t>solute carrier family 7, (cationic amino acid transporter, y+ system) member 13</t>
  </si>
  <si>
    <t>transport|amino acid transport</t>
  </si>
  <si>
    <t>transcription factor activity|steroid hormone receptor activity|steroid hormone receptor activity|protein binding|zinc ion binding|transcription repressor activity|protein homodimerization activity|histone deacetylase binding|sequence-specific DNA binding|metal ion binding</t>
  </si>
  <si>
    <t>DEVELOPMENTAL ORPHAN RECEPTOR 2 (DOR2)</t>
  </si>
  <si>
    <t>arginine vasopressin receptor 1A</t>
  </si>
  <si>
    <t>nicotinic acetylcholine-activated cation-selective channel activity|ion channel activity|extracellular ligand-gated ion channel activity|acetylcholine receptor activity</t>
  </si>
  <si>
    <t>nicotinic acetylcholine-gated receptor-channel complex|integral to membrane|cell junction|synapse|postsynaptic membrane</t>
  </si>
  <si>
    <t>NEURONAL ACETYLCHOLINE RECEPTOR PROTEIN ALPHA 2 MAMMAL</t>
  </si>
  <si>
    <t>endothelin converting enzyme-like 1</t>
  </si>
  <si>
    <t>proteolysis|neuropeptide signaling pathway</t>
  </si>
  <si>
    <t>neprilysin activity|metallopeptidase activity|zinc ion binding|metal ion binding</t>
  </si>
  <si>
    <t>ATPase, Ca++ transporting, plasma membrane 4</t>
  </si>
  <si>
    <t>cation transport|calcium ion transport|metabolic process</t>
  </si>
  <si>
    <t>nucleotide binding|magnesium ion binding|calcium-transporting ATPase activity|calcium ion binding|calmodulin binding|ATP binding|hydrolase activity|hydrolase activity, acting on acid anhydrides, catalyzing transmembrane movement of substances</t>
  </si>
  <si>
    <t>PLASMA MEMBRANE CALCIUM-TRANSPORTING ATPASE 4 (PMCA4) (PLASMA MEMBRANE CALCIUM PUMP ISOFORM 4)</t>
  </si>
  <si>
    <t>methylmalonic aciduria (cobalamin deficiency) cblA type</t>
  </si>
  <si>
    <t>nucleotide binding|ATP binding|nucleoside-triphosphatase activity</t>
  </si>
  <si>
    <t>mitochondrion</t>
  </si>
  <si>
    <t>METHYLMALONYL-COA MUTASE</t>
  </si>
  <si>
    <t>progestin and adipoQ receptor family member IV</t>
  </si>
  <si>
    <t>receptor activity</t>
  </si>
  <si>
    <t>nucleotide binding|deoxycytidine kinase activity|ATP binding|kinase activity|transferase activity|phosphotransferase activity, alcohol group as acceptor</t>
  </si>
  <si>
    <t>DEOXYNUCLEOSIDE KINASE FAMILY PROTEIN</t>
  </si>
  <si>
    <t>DEOXYCYTIDINE KINASE</t>
  </si>
  <si>
    <t>butyrophilin-like 8</t>
  </si>
  <si>
    <t>BUTYROPHILIN-LIKE PROTEIN 3,8</t>
  </si>
  <si>
    <t>kinase D-interacting substrate of 220 kDa</t>
  </si>
  <si>
    <t>ANKYRIN REPEAT-RICH MEMBRANE-SPANNING PROTEIN</t>
  </si>
  <si>
    <t>double-stranded RNA binding|adenosine deaminase activity|zinc ion binding|hydrolase activity|metal ion binding</t>
  </si>
  <si>
    <t>EUKARYOTE SPECIFIC DSRNA BINDING PROTEIN</t>
  </si>
  <si>
    <t>ADENOSINE DEAMINASE ACTING ON RNA (ADAR)-2</t>
  </si>
  <si>
    <t xml:space="preserve">Nucleic acid binding. Hydrolase &gt;Deaminase. </t>
  </si>
  <si>
    <t>praja 2, RING-H2 motif containing</t>
  </si>
  <si>
    <t>protein binding|zinc ion binding|ligase activity|metal ion binding</t>
  </si>
  <si>
    <t>cytoplasm|endoplasmic reticulum|membrane|cell junction|synapse</t>
  </si>
  <si>
    <t>matrix metallopeptidase 12 (macrophage elastase)</t>
  </si>
  <si>
    <t xml:space="preserve">Receptor. Extracellular matrix &gt;Extracellular matrix glycoprotein. </t>
  </si>
  <si>
    <t>retinitis pigmentosa 2 (X-linked recessive)</t>
  </si>
  <si>
    <t>GTP biosynthetic process|UTP biosynthetic process|CTP biosynthetic process|beta-tubulin folding|visual perception|response to stimulus</t>
  </si>
  <si>
    <t>nucleoside diphosphate kinase activity|ATP binding|unfolded protein binding</t>
  </si>
  <si>
    <t>XRP2 PROTEIN</t>
  </si>
  <si>
    <t xml:space="preserve">Kinase &gt;Nucleotide kinase. </t>
  </si>
  <si>
    <t>cellular defense response|cell adhesion|homophilic cell adhesion|cell-matrix adhesion|integrin-mediated signaling pathway|multicellular organismal development|cell migration</t>
  </si>
  <si>
    <t>receptor activity|binding|protein binding|identical protein binding|protein heterodimerization activity</t>
  </si>
  <si>
    <t>ruffle|endoplasmic reticulum|integrin complex|integrin complex|membrane|integral to membrane</t>
  </si>
  <si>
    <t>INTEGRIN BETA SUBUNIT</t>
  </si>
  <si>
    <t>INTEGRIN BETA 1</t>
  </si>
  <si>
    <t xml:space="preserve">Receptor &gt;Other receptor. Cell adhesion molecule. </t>
  </si>
  <si>
    <t>cyclin E2</t>
  </si>
  <si>
    <t>regulation of progression through cell cycle|cell cycle checkpoint|regulation of cyclin-dependent protein kinase activity|DNA replication initiation|cell cycle|cell division</t>
  </si>
  <si>
    <t>protein binding|cyclin-dependent protein kinase regulator activity</t>
  </si>
  <si>
    <t>CYCLIN E</t>
  </si>
  <si>
    <t>intracellular|cytoplasm|membrane</t>
  </si>
  <si>
    <t>RAS GTPASE-ACTIVATING PROTEINS</t>
  </si>
  <si>
    <t>RAS GTPASE ACTIVATING PROTEIN 4</t>
  </si>
  <si>
    <t>nuclear receptor subfamily 2, group C, member 1</t>
  </si>
  <si>
    <t>negative regulation of transcription from RNA polymerase II promoter|transcription|regulation of transcription, DNA-dependent</t>
  </si>
  <si>
    <t>transcription|regulation of transcription, DNA-dependent|positive regulation of transcription from RNA polymerase II promoter</t>
  </si>
  <si>
    <t>transcription factor activity|transcription factor activity|protein binding|sequence-specific DNA binding</t>
  </si>
  <si>
    <t>ETS</t>
  </si>
  <si>
    <t>ELK1</t>
  </si>
  <si>
    <t xml:space="preserve">Signaling molecule &gt;Other signaling molecule. Transcription factor &gt;Other transcription factor. </t>
  </si>
  <si>
    <t>toll-like receptor 3</t>
  </si>
  <si>
    <t>generation of precursor metabolites and energy|signal transduction|G-protein coupled receptor protein signaling pathway|phospholipase C activation|elevation of cytosolic calcium ion concentration|circulation</t>
  </si>
  <si>
    <t>nucleotide binding|GTPase activity|structural molecule activity|GTP binding</t>
  </si>
  <si>
    <t>microtubule|protein complex</t>
  </si>
  <si>
    <t>ring finger protein 113A</t>
  </si>
  <si>
    <t>nucleic acid binding|protein binding|zinc ion binding|metal ion binding</t>
  </si>
  <si>
    <t>signal transducer activity|chemokine receptor activity|chemokine activity</t>
  </si>
  <si>
    <t>extracellular region|extracellular space|membrane</t>
  </si>
  <si>
    <t>SMALL INDUCIBLE CYTOKINE A</t>
  </si>
  <si>
    <t>asparagine-linked glycosylation 6 homolog (S. cerevisiae, alpha-1,3-glucosyltransferase)</t>
  </si>
  <si>
    <t>protein amino acid N-linked glycosylation</t>
  </si>
  <si>
    <t>oligosaccharyl transferase activity|transferase activity, transferring glycosyl groups|glucosyltransferase activity</t>
  </si>
  <si>
    <t>endoplasmic reticulum|membrane|integral to membrane</t>
  </si>
  <si>
    <t>DOLICHYL GLYCOSYLTRANSFERASE</t>
  </si>
  <si>
    <t xml:space="preserve">Transferase &gt;Glycosyltransferase. </t>
  </si>
  <si>
    <t>deoxycytidine kinase</t>
  </si>
  <si>
    <t>nucleobase, nucleoside, nucleotide and nucleic acid metabolic process|pyrimidine nucleotide metabolic process</t>
  </si>
  <si>
    <t>regulation of cell growth|signal transduction|cell-cell signaling</t>
  </si>
  <si>
    <t>insulin-like growth factor binding|growth factor activity</t>
  </si>
  <si>
    <t>CONNECTIVE TISSUE GROWTH FACTOR WISP3/CCN6</t>
  </si>
  <si>
    <t>family with sequence similarity 89, member B</t>
  </si>
  <si>
    <t>MAMMARY TURMOR VIRUS RECEPTOR HOMOLOG 1, 2 (MTVR1, 2)</t>
  </si>
  <si>
    <t>adenosine deaminase, RNA-specific, B1 (RED1 homolog rat)</t>
  </si>
  <si>
    <t>mRNA processing</t>
  </si>
  <si>
    <t>transport|positive regulation of I-kappaB kinase/NF-kappaB cascade</t>
  </si>
  <si>
    <t>signal transducer activity|transmembrane receptor activity|protein binding</t>
  </si>
  <si>
    <t>COPII-COATED VESICLE MEMBRANE PROTEIN</t>
  </si>
  <si>
    <t>TIR DOMAIN CONTAINING ADAPTOR INDUCING INTERFERON-BETA</t>
  </si>
  <si>
    <t xml:space="preserve">Transfer/carrier protein. Membrane traffic protein &gt;Vesicle coat protein. </t>
  </si>
  <si>
    <t>chromosome 17 open reading frame 75</t>
  </si>
  <si>
    <t>spermatogenesis</t>
  </si>
  <si>
    <t>interleukin-1 receptor-associated kinase 4</t>
  </si>
  <si>
    <t>nucleotide binding|magnesium ion binding|protein serine/threonine kinase activity|protein-tyrosine kinase activity|receptor activity|protein binding|protein binding|ATP binding|kinase activity|transferase activity</t>
  </si>
  <si>
    <t>SERINE-THREONINE PROTEIN KINASE, PLANT-TYPE</t>
  </si>
  <si>
    <t>INTERLEUKIN-1 RECEPTOR-ASSOCIATED KINASE-4</t>
  </si>
  <si>
    <t>integrin, beta 1 (fibronectin receptor, beta polypeptide, antigen CD29 includes MDF2, MSK12)</t>
  </si>
  <si>
    <t>cAMP biosynthetic process|progesterone biosynthetic process|signal transduction|cell-cell signaling|heart development|female pregnancy|excretion|circulation|positive regulation of cell proliferation|response to wounding</t>
  </si>
  <si>
    <t>hormone activity</t>
  </si>
  <si>
    <t>extracellular region|extracellular space|soluble fraction</t>
  </si>
  <si>
    <t>ADRENOMEDULLIN, ADM</t>
  </si>
  <si>
    <t xml:space="preserve">Signaling molecule &gt;Peptide hormone. Miscellaneous function &gt;Other miscellaneous function protein. </t>
  </si>
  <si>
    <t>RAS p21 protein activator 4</t>
  </si>
  <si>
    <t>intracellular signaling cascade|regulation of small GTPase mediated signal transduction</t>
  </si>
  <si>
    <t>GTPase activator activity|zinc ion binding|metal ion binding</t>
  </si>
  <si>
    <t>SODIUM- AND CHLORIDE-DEPENDENT BETAINE TRANSPORTER</t>
  </si>
  <si>
    <t>integrin, alpha E (antigen CD103, human mucosal lymphocyte antigen 1  alpha polypeptide)</t>
  </si>
  <si>
    <t>cell adhesion|leukocyte adhesion|integrin-mediated signaling pathway</t>
  </si>
  <si>
    <t>magnesium ion binding|receptor activity|calcium ion binding|protein binding</t>
  </si>
  <si>
    <t>integrin complex|membrane|integral to membrane</t>
  </si>
  <si>
    <t>INTEGRIN ALPHA</t>
  </si>
  <si>
    <t>INTEGRIN ALPHA-E</t>
  </si>
  <si>
    <t>ELK1, member of ETS oncogene family</t>
  </si>
  <si>
    <t>neurotransmitter:sodium symporter activity|gamma-aminobutyric acid:sodium symporter activity|symporter activity</t>
  </si>
  <si>
    <t>metabolic process|retinol metabolic process|photoreceptor cell maintenance|response to stimulus</t>
  </si>
  <si>
    <t>retinol dehydrogenase activity|oxidoreductase activity</t>
  </si>
  <si>
    <t>SHORT-CHAIN DEHYDROGENASES/REDUCTASE FAMILY MEMBER</t>
  </si>
  <si>
    <t>RETINOL DEHYDROGENASE</t>
  </si>
  <si>
    <t xml:space="preserve">Oxidoreductase &gt;Dehydrogenase. Oxidoreductase &gt;Reductase. </t>
  </si>
  <si>
    <t>inositol polyphosphate-5-phosphatase, 75kDa</t>
  </si>
  <si>
    <t>signal transduction|biological_process</t>
  </si>
  <si>
    <t>phosphoinositide 5-phosphatase activity|inositol-polyphosphate 5-phosphatase activity|hydrolase activity</t>
  </si>
  <si>
    <t>intracellular|integral to membrane</t>
  </si>
  <si>
    <t>INOSITOL 5-PHOSPHATASE</t>
  </si>
  <si>
    <t>OCRL  TYPE II INOSITOL 5-PHOSPHATASE</t>
  </si>
  <si>
    <t>survival of motor neuron 1, telomeric</t>
  </si>
  <si>
    <t>ZINC FINGER PROTEIN 183</t>
  </si>
  <si>
    <t xml:space="preserve">Nucleic acid binding. Ligase &gt;Ubiquitin-protein ligase. </t>
  </si>
  <si>
    <t>chemokine (C-C motif) ligand 13</t>
  </si>
  <si>
    <t>cellular calcium ion homeostasis|chemotaxis|inflammatory response|immune response|signal transduction|cell-cell signaling</t>
  </si>
  <si>
    <t>cytochrome P450, family 3, subfamily A, polypeptide 5</t>
  </si>
  <si>
    <t>electron transport|steroid metabolic process</t>
  </si>
  <si>
    <t>CYTOCHROME P450, SUBFAMILY 3A</t>
  </si>
  <si>
    <t>chromosome 15 open reading frame 17</t>
  </si>
  <si>
    <t>signal sequence receptor, delta (translocon-associated protein delta)</t>
  </si>
  <si>
    <t>intracellular protein transport</t>
  </si>
  <si>
    <t>endoplasmic reticulum|translocon complex|membrane|integral to membrane</t>
  </si>
  <si>
    <t>TRANSLOCON-ASSOCIATED PROTEIN, DELTA SUBUNIT</t>
  </si>
  <si>
    <t>WNT1 inducible signaling pathway protein 3</t>
  </si>
  <si>
    <t>rhodopsin-like receptor activity|receptor activity|vasopressin receptor activity|protein kinase C binding</t>
  </si>
  <si>
    <t>endosome|plasma membrane|integral to plasma membrane</t>
  </si>
  <si>
    <t>VASOPRESSIN V1A RECPETOR</t>
  </si>
  <si>
    <t>chromosome X open reading frame 34</t>
  </si>
  <si>
    <t>methyltransferase activity</t>
  </si>
  <si>
    <t>RNA M5U METHYLTRANSFERASE FAMILY</t>
  </si>
  <si>
    <t>RNA M5U METHYLTRANSFERASE</t>
  </si>
  <si>
    <t xml:space="preserve">Nucleic acid binding &gt;RNA methyltransferase. Transferase &gt;Methyltransferase &gt;RNA methyltransferase. </t>
  </si>
  <si>
    <t>carbohydrate metabolic process|mannose metabolic process|metabolic process</t>
  </si>
  <si>
    <t>alpha-mannosidase activity|hydrolase activity, acting on glycosyl bonds</t>
  </si>
  <si>
    <t>ALPHA-MANNOSIDASE</t>
  </si>
  <si>
    <t>ALPHA-MANNOSIDASE 2C1 (ALPHA-D-MANNOSIDE MANNOHYDROLASE)</t>
  </si>
  <si>
    <t xml:space="preserve">Hydrolase &gt;Glycosidase. </t>
  </si>
  <si>
    <t>TOLL-LIKE RECEPTOR-3</t>
  </si>
  <si>
    <t>baculoviral IAP repeat-containing 3</t>
  </si>
  <si>
    <t>anti-apoptosis|cell surface receptor linked signal transduction|regulation of apoptosis</t>
  </si>
  <si>
    <t>ubiquitin-protein ligase activity|protein binding|zinc ion binding|metal ion binding</t>
  </si>
  <si>
    <t>intracellular|nucleus|cytoplasm</t>
  </si>
  <si>
    <t>interferon, alpha 21</t>
  </si>
  <si>
    <t>hematopoietin/interferon-class (D200-domain) cytokine receptor binding</t>
  </si>
  <si>
    <t>toll-like receptor adaptor molecule 2</t>
  </si>
  <si>
    <t>UBIQUITIN PROTEIN LIGASE PRAJA1 (EC 6.3.2.-) (RING FINGER PROTEIN 70)-RELATED</t>
  </si>
  <si>
    <t>RING FINGER PROTEIN 131</t>
  </si>
  <si>
    <t xml:space="preserve">Transcription factor. </t>
  </si>
  <si>
    <t>ornithine aminotransferase (gyrate atrophy)</t>
  </si>
  <si>
    <t>amino acid metabolic process|ornithine metabolic process|visual perception</t>
  </si>
  <si>
    <t>peptidoglycan metabolic process|proteolysis|cell motility</t>
  </si>
  <si>
    <t>macrophage elastase activity|calcium ion binding|zinc ion binding</t>
  </si>
  <si>
    <t>MATRIX METALLOPROTEINASE</t>
  </si>
  <si>
    <t>MATRIX METALLOPROTEINASE 12, MMP12</t>
  </si>
  <si>
    <t xml:space="preserve">Protease &gt;Metalloprotease. Extracellular matrix &gt;Other extracellular matrix. </t>
  </si>
  <si>
    <t>anthrax toxin receptor 1</t>
  </si>
  <si>
    <t>receptor activity|protein binding|metal ion binding</t>
  </si>
  <si>
    <t>ANTHROX TOXIN RECEPTOR PROTEIN (ANTXR)</t>
  </si>
  <si>
    <t>adrenomedullin</t>
  </si>
  <si>
    <t>SODIUM/CHLORIDE DEPENDENT TRANSPORTER</t>
  </si>
  <si>
    <t xml:space="preserve">Synthase and synthetase &gt;Synthase. Transferase &gt;Methyltransferase. </t>
  </si>
  <si>
    <t>retinol dehydrogenase 12 (all-trans/9-cis/11-cis)</t>
  </si>
  <si>
    <t>ornithine-oxo-acid transaminase activity|protein binding|transferase activity|pyridoxal phosphate binding</t>
  </si>
  <si>
    <t>AMINOTRANSFERASE CLASS III</t>
  </si>
  <si>
    <t>ORNITHINE AMINOTRANSFERASE</t>
  </si>
  <si>
    <t xml:space="preserve">Transferase &gt;Transaminase. </t>
  </si>
  <si>
    <t>solute carrier family 6 (neurotransmitter transporter, betaine/GABA), member 12</t>
  </si>
  <si>
    <t>neurotransmitter transport</t>
  </si>
  <si>
    <t>histone deacetylase complex</t>
    <phoneticPr fontId="1" type="noConversion"/>
  </si>
  <si>
    <t xml:space="preserve">Receptor &gt;Protein kinase receptor &gt;Serine/threonine protein kinase receptor. Kinase &gt;Protein kinase &gt;Serine/threonine protein kinase receptor. Kinase &gt;Protein kinase &gt;Non-receptor serine/threonine protein kinase. </t>
  </si>
  <si>
    <t>thymidylate synthetase</t>
  </si>
  <si>
    <t>nucleobase, nucleoside, nucleotide and nucleic acid metabolic process|dTMP biosynthetic process|DNA replication|DNA repair|deoxyribonucleoside monophosphate biosynthetic process|nucleotide biosynthetic process|phosphoinositide-mediated signaling</t>
  </si>
  <si>
    <t>thymidylate synthase activity|methyltransferase activity|transferase activity</t>
  </si>
  <si>
    <t>DIHYDROFOLATE REDUCTASE</t>
  </si>
  <si>
    <t>BIFUNCTIONAL DIHYDROFOLATE REDUCTASE-THYMIDYLATE SYNTHASE</t>
  </si>
  <si>
    <t>spliceosome assembly|mRNA processing|RNA splicing</t>
  </si>
  <si>
    <t>inflammatory response|hyperosmotic response|signal transduction|activation of NF-kappaB-inducing kinase|detection of virus|defense response to bacterium|positive regulation of I-kappaB kinase/NF-kappaB cascade|positive regulation of interferon-gamma biosynthetic process|innate immune response|positive regulation of interferon-alpha biosynthetic process|positive regulation of interferon-beta biosynthetic process|positive regulation of interferon-beta biosynthetic process|negative regulation of osteoclast differentiation|positive regulation of JNK cascade</t>
  </si>
  <si>
    <t>double-stranded RNA binding|double-stranded RNA binding|transmembrane receptor activity|protein binding</t>
  </si>
  <si>
    <t>RNA binding|protein binding|protein binding</t>
  </si>
  <si>
    <t>nucleus|spliceosome|cytoplasm|Cajal body</t>
  </si>
  <si>
    <t>SURVIVAL MOTOR NEURON PROTEIN</t>
  </si>
  <si>
    <t xml:space="preserve">Nucleic acid binding &gt;Other RNA-binding protein. Nucleic acid binding &gt;mRNA processing factor. </t>
  </si>
  <si>
    <t>UDP glucuronosyltransferase 2 family, polypeptide B4</t>
  </si>
  <si>
    <t>estrogen catabolic process|xenobiotic metabolic process|metabolic process</t>
  </si>
  <si>
    <t>glucuronosyltransferase activity</t>
  </si>
  <si>
    <t>endoplasmic reticulum|microsome|membrane|integral to membrane</t>
  </si>
  <si>
    <t>GLUCOSYL/GLUCURONOSYL TRANSFERASES</t>
  </si>
  <si>
    <t>mannosidase, alpha, class 2C, member 1</t>
  </si>
  <si>
    <t>Confirmed in rescreen (Y/N)</t>
  </si>
  <si>
    <t>Y</t>
  </si>
  <si>
    <t>N</t>
  </si>
  <si>
    <t>black = not confirmed in secondary screen</t>
  </si>
  <si>
    <t>green = confirmed in secondary screen</t>
  </si>
  <si>
    <t>red = not in secondary screen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</si>
</sst>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Verdana"/>
    </font>
    <font>
      <sz val="8"/>
      <name val="Verdana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/>
      <sz val="10"/>
      <color indexed="12"/>
      <name val="Verdana"/>
    </font>
    <font>
      <sz val="10"/>
      <name val="Verdana"/>
    </font>
    <font>
      <i/>
      <sz val="10"/>
      <color indexed="53"/>
      <name val="Verdana"/>
    </font>
    <font>
      <i/>
      <sz val="10"/>
      <color indexed="53"/>
      <name val="Calibri"/>
      <family val="2"/>
    </font>
    <font>
      <sz val="10"/>
      <color indexed="53"/>
      <name val="Verdana"/>
    </font>
    <font>
      <sz val="10"/>
      <color indexed="53"/>
      <name val="Calibri"/>
      <family val="2"/>
    </font>
    <font>
      <sz val="10"/>
      <name val="Calibri"/>
      <family val="2"/>
    </font>
    <font>
      <sz val="10"/>
      <name val="Verdana"/>
    </font>
    <font>
      <u/>
      <sz val="10"/>
      <color theme="11"/>
      <name val="Verdana"/>
    </font>
    <font>
      <sz val="10"/>
      <name val="Arial"/>
    </font>
    <font>
      <sz val="10"/>
      <color rgb="FF008000"/>
      <name val="Verdana"/>
    </font>
    <font>
      <sz val="10"/>
      <color rgb="FF008000"/>
      <name val="Calibri"/>
      <family val="2"/>
    </font>
    <font>
      <sz val="10"/>
      <color rgb="FF008000"/>
      <name val="Arial"/>
    </font>
    <font>
      <i/>
      <sz val="10"/>
      <color rgb="FF008000"/>
      <name val="Verdana"/>
    </font>
    <font>
      <i/>
      <sz val="10"/>
      <color rgb="FF008000"/>
      <name val="Calibri"/>
      <family val="2"/>
    </font>
    <font>
      <u/>
      <sz val="10"/>
      <color rgb="FF008000"/>
      <name val="Verdana"/>
    </font>
    <font>
      <sz val="10"/>
      <color rgb="FFFF0000"/>
      <name val="Verdana"/>
    </font>
    <font>
      <i/>
      <sz val="10"/>
      <color rgb="FFFF0000"/>
      <name val="Calibri"/>
      <family val="2"/>
    </font>
    <font>
      <sz val="10"/>
      <color rgb="FFFF0000"/>
      <name val="Arial"/>
    </font>
    <font>
      <i/>
      <sz val="10"/>
      <color rgb="FFFF0000"/>
      <name val="Verdana"/>
    </font>
    <font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/>
    <xf numFmtId="1" fontId="13" fillId="0" borderId="0" xfId="0" applyNumberFormat="1" applyFont="1" applyBorder="1" applyAlignment="1"/>
    <xf numFmtId="0" fontId="14" fillId="0" borderId="0" xfId="0" applyFont="1"/>
    <xf numFmtId="0" fontId="15" fillId="0" borderId="0" xfId="0" applyFont="1"/>
    <xf numFmtId="1" fontId="16" fillId="0" borderId="0" xfId="0" applyNumberFormat="1" applyFont="1" applyBorder="1" applyAlignment="1"/>
    <xf numFmtId="0" fontId="14" fillId="0" borderId="0" xfId="0" applyNumberFormat="1" applyFont="1"/>
    <xf numFmtId="1" fontId="16" fillId="0" borderId="0" xfId="0" applyNumberFormat="1" applyFont="1" applyFill="1" applyBorder="1" applyAlignment="1"/>
    <xf numFmtId="0" fontId="17" fillId="0" borderId="0" xfId="0" applyFont="1"/>
    <xf numFmtId="0" fontId="18" fillId="0" borderId="0" xfId="0" applyFont="1"/>
    <xf numFmtId="0" fontId="4" fillId="0" borderId="0" xfId="1" applyAlignment="1" applyProtection="1"/>
    <xf numFmtId="0" fontId="0" fillId="0" borderId="0" xfId="0" applyFont="1"/>
    <xf numFmtId="0" fontId="14" fillId="0" borderId="0" xfId="0" applyFont="1"/>
    <xf numFmtId="0" fontId="8" fillId="0" borderId="0" xfId="0" applyFont="1"/>
    <xf numFmtId="0" fontId="5" fillId="0" borderId="0" xfId="0" applyFont="1"/>
    <xf numFmtId="0" fontId="14" fillId="0" borderId="0" xfId="0" applyFont="1"/>
    <xf numFmtId="0" fontId="6" fillId="0" borderId="0" xfId="0" applyFont="1"/>
    <xf numFmtId="0" fontId="11" fillId="0" borderId="0" xfId="0" applyFont="1"/>
    <xf numFmtId="0" fontId="19" fillId="0" borderId="0" xfId="1" applyFont="1" applyAlignment="1" applyProtection="1"/>
    <xf numFmtId="0" fontId="20" fillId="0" borderId="0" xfId="0" applyFont="1"/>
    <xf numFmtId="0" fontId="21" fillId="0" borderId="0" xfId="0" applyFont="1"/>
    <xf numFmtId="1" fontId="22" fillId="0" borderId="0" xfId="0" applyNumberFormat="1" applyFont="1" applyBorder="1" applyAlignment="1"/>
    <xf numFmtId="0" fontId="23" fillId="0" borderId="0" xfId="0" applyFont="1"/>
    <xf numFmtId="0" fontId="23" fillId="0" borderId="0" xfId="0" applyFont="1"/>
    <xf numFmtId="0" fontId="24" fillId="0" borderId="0" xfId="0" applyFont="1"/>
    <xf numFmtId="0" fontId="20" fillId="0" borderId="0" xfId="0" applyFont="1"/>
    <xf numFmtId="0" fontId="23" fillId="0" borderId="0" xfId="0" applyNumberFormat="1" applyFont="1"/>
  </cellXfs>
  <cellStyles count="7">
    <cellStyle name="Besuchter Link" xfId="2" builtinId="9" hidden="1"/>
    <cellStyle name="Besuchter Link" xfId="3" builtinId="9" hidden="1"/>
    <cellStyle name="Besuchter Link" xfId="4" builtinId="9" hidden="1"/>
    <cellStyle name="Besuchter Link" xfId="5" builtinId="9" hidden="1"/>
    <cellStyle name="Besuchter Link" xfId="6" builtinId="9" hidden="1"/>
    <cellStyle name="Link" xfId="1" builtinId="8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9"/>
  <sheetViews>
    <sheetView tabSelected="1" workbookViewId="0">
      <selection activeCell="D78" sqref="D78"/>
    </sheetView>
  </sheetViews>
  <sheetFormatPr baseColWidth="10" defaultRowHeight="13" x14ac:dyDescent="0"/>
  <cols>
    <col min="1" max="1" width="11.42578125" style="3" bestFit="1" customWidth="1"/>
    <col min="2" max="2" width="10.140625" style="3" bestFit="1" customWidth="1"/>
    <col min="3" max="3" width="44" style="3" customWidth="1"/>
    <col min="4" max="4" width="19.42578125" style="3" bestFit="1" customWidth="1"/>
    <col min="5" max="16384" width="10.7109375" style="3"/>
  </cols>
  <sheetData>
    <row r="1" spans="1:32" ht="14">
      <c r="A1" s="1" t="s">
        <v>1146</v>
      </c>
      <c r="B1" s="1" t="s">
        <v>1192</v>
      </c>
      <c r="C1" s="1" t="s">
        <v>1193</v>
      </c>
      <c r="D1" s="1" t="s">
        <v>1631</v>
      </c>
      <c r="E1" s="1" t="s">
        <v>1151</v>
      </c>
      <c r="F1" s="1" t="s">
        <v>1152</v>
      </c>
      <c r="G1" s="1" t="s">
        <v>1153</v>
      </c>
      <c r="H1" s="1" t="s">
        <v>1154</v>
      </c>
      <c r="I1" s="1" t="s">
        <v>1155</v>
      </c>
      <c r="J1" s="1" t="s">
        <v>1156</v>
      </c>
    </row>
    <row r="2" spans="1:32" s="23" customFormat="1" ht="14">
      <c r="A2" s="23" t="str">
        <f>HYPERLINK("http://www.ncbi.nlm.nih.gov/sites/entrez?cmd=retrieve&amp;db=gene&amp;list_uids=3832&amp;dopt=full_report","3832")</f>
        <v>3832</v>
      </c>
      <c r="B2" s="23" t="str">
        <f>HYPERLINK("http://www.ncbi.nlm.nih.gov/sites/entrez?cmd=retrieve&amp;db=gene&amp;list_uids=3832&amp;dopt=full_report", "KIF11")</f>
        <v>KIF11</v>
      </c>
      <c r="C2" s="15" t="s">
        <v>1256</v>
      </c>
      <c r="D2" s="16" t="s">
        <v>1632</v>
      </c>
      <c r="E2" s="23" t="s">
        <v>1264</v>
      </c>
      <c r="F2" s="23" t="s">
        <v>497</v>
      </c>
      <c r="G2" s="23" t="s">
        <v>1265</v>
      </c>
      <c r="H2" s="23" t="s">
        <v>499</v>
      </c>
      <c r="I2" s="23" t="s">
        <v>1266</v>
      </c>
      <c r="J2" s="23" t="s">
        <v>501</v>
      </c>
      <c r="K2" s="26" t="s">
        <v>1179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32" ht="14">
      <c r="A3" t="str">
        <f>HYPERLINK("http://www.ncbi.nlm.nih.gov/sites/entrez?cmd=retrieve&amp;db=gene&amp;list_uids=114132&amp;dopt=full_report","114132")</f>
        <v>114132</v>
      </c>
      <c r="B3" t="str">
        <f>HYPERLINK("http://www.ncbi.nlm.nih.gov/sites/entrez?cmd=retrieve&amp;db=gene&amp;list_uids=114132&amp;dopt=full_report", "SIGLEC11")</f>
        <v>SIGLEC11</v>
      </c>
      <c r="C3" s="2" t="s">
        <v>1312</v>
      </c>
      <c r="D3" s="13" t="s">
        <v>1633</v>
      </c>
      <c r="E3" s="3" t="s">
        <v>1313</v>
      </c>
      <c r="F3" s="3" t="s">
        <v>1314</v>
      </c>
      <c r="G3" s="3" t="s">
        <v>1092</v>
      </c>
      <c r="H3" s="3" t="s">
        <v>1315</v>
      </c>
      <c r="I3" s="3" t="s">
        <v>1316</v>
      </c>
      <c r="J3" s="3" t="s">
        <v>1317</v>
      </c>
      <c r="K3" s="25" t="s">
        <v>1180</v>
      </c>
      <c r="L3" s="25"/>
      <c r="M3" s="25"/>
    </row>
    <row r="4" spans="1:32" ht="14">
      <c r="A4" t="str">
        <f>HYPERLINK("http://www.ncbi.nlm.nih.gov/sites/entrez?cmd=retrieve&amp;db=gene&amp;list_uids=200909&amp;dopt=full_report","200909")</f>
        <v>200909</v>
      </c>
      <c r="B4" t="str">
        <f>HYPERLINK("http://www.ncbi.nlm.nih.gov/sites/entrez?cmd=retrieve&amp;db=gene&amp;list_uids=200909&amp;dopt=full_report", "HTR3D")</f>
        <v>HTR3D</v>
      </c>
      <c r="C4" s="2" t="s">
        <v>1318</v>
      </c>
      <c r="D4" s="13" t="s">
        <v>1633</v>
      </c>
      <c r="E4" s="3" t="s">
        <v>1319</v>
      </c>
      <c r="F4" s="3" t="s">
        <v>1320</v>
      </c>
      <c r="G4" s="3" t="s">
        <v>1321</v>
      </c>
      <c r="H4" s="3" t="s">
        <v>357</v>
      </c>
      <c r="I4" s="3" t="s">
        <v>1322</v>
      </c>
      <c r="J4" s="3" t="s">
        <v>1271</v>
      </c>
      <c r="K4" s="25" t="s">
        <v>1181</v>
      </c>
      <c r="L4" s="25"/>
      <c r="M4" s="25"/>
    </row>
    <row r="5" spans="1:32" s="23" customFormat="1" ht="14">
      <c r="A5" s="23" t="str">
        <f>HYPERLINK("http://www.ncbi.nlm.nih.gov/sites/entrez?cmd=retrieve&amp;db=gene&amp;list_uids=51366&amp;dopt=full_report","51366")</f>
        <v>51366</v>
      </c>
      <c r="B5" s="23" t="str">
        <f>HYPERLINK("http://www.ncbi.nlm.nih.gov/sites/entrez?cmd=retrieve&amp;db=gene&amp;list_uids=51366&amp;dopt=full_report", "UBR5")</f>
        <v>UBR5</v>
      </c>
      <c r="C5" s="15" t="s">
        <v>1272</v>
      </c>
      <c r="D5" s="16" t="s">
        <v>1632</v>
      </c>
      <c r="E5" s="23" t="s">
        <v>1273</v>
      </c>
      <c r="F5" s="23" t="s">
        <v>1274</v>
      </c>
      <c r="G5" s="23" t="s">
        <v>1275</v>
      </c>
      <c r="H5" s="23" t="s">
        <v>1276</v>
      </c>
      <c r="I5" s="23" t="s">
        <v>1277</v>
      </c>
      <c r="J5" s="23" t="s">
        <v>1278</v>
      </c>
      <c r="K5" s="26" t="s">
        <v>1182</v>
      </c>
      <c r="L5" s="26"/>
      <c r="M5" s="26"/>
    </row>
    <row r="6" spans="1:32" s="5" customFormat="1" ht="14">
      <c r="A6" t="str">
        <f>HYPERLINK("http://www.ncbi.nlm.nih.gov/sites/entrez?cmd=retrieve&amp;db=gene&amp;list_uids=286355&amp;dopt=full_report","286355")</f>
        <v>286355</v>
      </c>
      <c r="B6" t="str">
        <f>HYPERLINK("http://www.ncbi.nlm.nih.gov/sites/entrez?cmd=retrieve&amp;db=gene&amp;list_uids=286355&amp;dopt=full_report", "LOC286355")</f>
        <v>LOC286355</v>
      </c>
      <c r="C6" s="6" t="s">
        <v>1112</v>
      </c>
      <c r="D6" s="13"/>
      <c r="E6" s="5" t="s">
        <v>1112</v>
      </c>
      <c r="F6" s="5" t="s">
        <v>1112</v>
      </c>
      <c r="G6" s="5" t="s">
        <v>1112</v>
      </c>
      <c r="H6" s="5" t="s">
        <v>1112</v>
      </c>
      <c r="I6" s="5" t="s">
        <v>1112</v>
      </c>
      <c r="J6" s="5" t="s">
        <v>1112</v>
      </c>
      <c r="K6" s="27" t="s">
        <v>1183</v>
      </c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32" ht="14">
      <c r="A7" t="str">
        <f>HYPERLINK("http://www.ncbi.nlm.nih.gov/sites/entrez?cmd=retrieve&amp;db=gene&amp;list_uids=4363&amp;dopt=full_report","4363")</f>
        <v>4363</v>
      </c>
      <c r="B7" t="str">
        <f>HYPERLINK("http://www.ncbi.nlm.nih.gov/sites/entrez?cmd=retrieve&amp;db=gene&amp;list_uids=4363&amp;dopt=full_report", "ABCC1")</f>
        <v>ABCC1</v>
      </c>
      <c r="C7" s="2" t="s">
        <v>1279</v>
      </c>
      <c r="D7" s="13" t="s">
        <v>1633</v>
      </c>
      <c r="E7" s="3" t="s">
        <v>1280</v>
      </c>
      <c r="F7" s="3" t="s">
        <v>1290</v>
      </c>
      <c r="G7" s="3" t="s">
        <v>1291</v>
      </c>
      <c r="H7" s="3" t="s">
        <v>578</v>
      </c>
      <c r="I7" s="3" t="s">
        <v>1292</v>
      </c>
      <c r="J7" s="3" t="s">
        <v>407</v>
      </c>
      <c r="K7" s="25" t="s">
        <v>1184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s="23" customFormat="1" ht="14">
      <c r="A8" s="23" t="str">
        <f>HYPERLINK("http://www.ncbi.nlm.nih.gov/sites/entrez?cmd=retrieve&amp;db=gene&amp;list_uids=8452&amp;dopt=full_report","8452")</f>
        <v>8452</v>
      </c>
      <c r="B8" s="23" t="str">
        <f>HYPERLINK("http://www.ncbi.nlm.nih.gov/sites/entrez?cmd=retrieve&amp;db=gene&amp;list_uids=8452&amp;dopt=full_report", "CUL3")</f>
        <v>CUL3</v>
      </c>
      <c r="C8" s="15" t="s">
        <v>1293</v>
      </c>
      <c r="D8" s="16" t="s">
        <v>1632</v>
      </c>
      <c r="E8" s="23" t="s">
        <v>1339</v>
      </c>
      <c r="F8" s="23" t="s">
        <v>933</v>
      </c>
      <c r="G8" s="23" t="s">
        <v>1112</v>
      </c>
      <c r="H8" s="23" t="s">
        <v>1340</v>
      </c>
      <c r="I8" s="23" t="s">
        <v>1341</v>
      </c>
      <c r="J8" s="23" t="s">
        <v>1145</v>
      </c>
      <c r="K8" s="26" t="s">
        <v>1185</v>
      </c>
      <c r="L8" s="26"/>
      <c r="M8" s="26"/>
      <c r="N8" s="26"/>
      <c r="O8" s="26"/>
      <c r="P8" s="26"/>
    </row>
    <row r="9" spans="1:32" s="9" customFormat="1" ht="14">
      <c r="A9" t="str">
        <f>HYPERLINK("http://www.ncbi.nlm.nih.gov/sites/entrez?cmd=retrieve&amp;db=gene&amp;list_uids=388489&amp;dopt=full_report","388489")</f>
        <v>388489</v>
      </c>
      <c r="B9" t="str">
        <f>HYPERLINK("http://www.ncbi.nlm.nih.gov/sites/entrez?cmd=retrieve&amp;db=gene&amp;list_uids=388489&amp;dopt=full_report", "LOC388489")</f>
        <v>LOC388489</v>
      </c>
      <c r="C9" s="8" t="s">
        <v>1112</v>
      </c>
      <c r="D9" s="13"/>
      <c r="E9" s="9" t="s">
        <v>1112</v>
      </c>
      <c r="F9" s="9" t="s">
        <v>1112</v>
      </c>
      <c r="G9" s="9" t="s">
        <v>1112</v>
      </c>
      <c r="H9" s="9" t="s">
        <v>1112</v>
      </c>
      <c r="I9" s="9" t="s">
        <v>1112</v>
      </c>
      <c r="J9" s="9" t="s">
        <v>1112</v>
      </c>
      <c r="K9" s="24" t="s">
        <v>1186</v>
      </c>
      <c r="L9" s="24"/>
    </row>
    <row r="10" spans="1:32" s="33" customFormat="1" ht="14">
      <c r="A10" s="30" t="str">
        <f>HYPERLINK("http://www.ncbi.nlm.nih.gov/sites/entrez?cmd=retrieve&amp;db=gene&amp;list_uids=7849&amp;dopt=full_report","7849")</f>
        <v>7849</v>
      </c>
      <c r="B10" s="30" t="str">
        <f>HYPERLINK("http://www.ncbi.nlm.nih.gov/sites/entrez?cmd=retrieve&amp;db=gene&amp;list_uids=7849&amp;dopt=full_report", "PAX8")</f>
        <v>PAX8</v>
      </c>
      <c r="C10" s="31" t="s">
        <v>1342</v>
      </c>
      <c r="D10" s="32"/>
      <c r="E10" s="33" t="s">
        <v>1343</v>
      </c>
      <c r="F10" s="33" t="s">
        <v>1344</v>
      </c>
      <c r="G10" s="33" t="s">
        <v>1345</v>
      </c>
      <c r="H10" s="33" t="s">
        <v>349</v>
      </c>
      <c r="I10" s="33" t="s">
        <v>1346</v>
      </c>
      <c r="J10" s="33" t="s">
        <v>1347</v>
      </c>
      <c r="K10" s="34" t="s">
        <v>1136</v>
      </c>
      <c r="L10" s="34"/>
      <c r="M10" s="34"/>
      <c r="N10" s="34"/>
    </row>
    <row r="11" spans="1:32" ht="14">
      <c r="A11" t="str">
        <f>HYPERLINK("http://www.ncbi.nlm.nih.gov/sites/entrez?cmd=retrieve&amp;db=gene&amp;list_uids=3624&amp;dopt=full_report","3624")</f>
        <v>3624</v>
      </c>
      <c r="B11" t="str">
        <f>HYPERLINK("http://www.ncbi.nlm.nih.gov/sites/entrez?cmd=retrieve&amp;db=gene&amp;list_uids=3624&amp;dopt=full_report", "INHBA")</f>
        <v>INHBA</v>
      </c>
      <c r="C11" s="2" t="s">
        <v>1348</v>
      </c>
      <c r="D11" s="13" t="s">
        <v>1633</v>
      </c>
      <c r="E11" s="4" t="s">
        <v>1282</v>
      </c>
      <c r="F11" s="3" t="s">
        <v>1302</v>
      </c>
      <c r="G11" s="3" t="s">
        <v>1303</v>
      </c>
      <c r="H11" s="3" t="s">
        <v>1086</v>
      </c>
      <c r="I11" s="3" t="s">
        <v>1304</v>
      </c>
      <c r="J11" s="3" t="s">
        <v>1056</v>
      </c>
      <c r="K11" s="25" t="s">
        <v>1137</v>
      </c>
      <c r="L11" s="25"/>
      <c r="M11" s="25"/>
      <c r="N11" s="25"/>
      <c r="O11" s="25"/>
      <c r="P11" s="25"/>
      <c r="Q11" s="25"/>
      <c r="R11" s="25"/>
    </row>
    <row r="12" spans="1:32" ht="14">
      <c r="A12" t="str">
        <f>HYPERLINK("http://www.ncbi.nlm.nih.gov/sites/entrez?cmd=retrieve&amp;db=gene&amp;list_uids=26033&amp;dopt=full_report","26033")</f>
        <v>26033</v>
      </c>
      <c r="B12" t="str">
        <f>HYPERLINK("http://www.ncbi.nlm.nih.gov/sites/entrez?cmd=retrieve&amp;db=gene&amp;list_uids=26033&amp;dopt=full_report", "ATRNL1")</f>
        <v>ATRNL1</v>
      </c>
      <c r="C12" s="2" t="s">
        <v>1305</v>
      </c>
      <c r="D12" s="13" t="s">
        <v>1633</v>
      </c>
      <c r="E12" s="3" t="s">
        <v>584</v>
      </c>
      <c r="F12" s="3" t="s">
        <v>1306</v>
      </c>
      <c r="G12" s="3" t="s">
        <v>858</v>
      </c>
      <c r="H12" s="3" t="s">
        <v>1307</v>
      </c>
      <c r="I12" s="3" t="s">
        <v>1308</v>
      </c>
      <c r="J12" s="3" t="s">
        <v>1090</v>
      </c>
      <c r="K12" s="25" t="s">
        <v>1191</v>
      </c>
      <c r="L12" s="25"/>
      <c r="M12" s="25"/>
      <c r="N12" s="25"/>
    </row>
    <row r="13" spans="1:32" ht="14">
      <c r="A13" t="str">
        <f>HYPERLINK("http://www.ncbi.nlm.nih.gov/sites/entrez?cmd=retrieve&amp;db=gene&amp;list_uids=1132&amp;dopt=full_report","1132")</f>
        <v>1132</v>
      </c>
      <c r="B13" t="str">
        <f>HYPERLINK("http://www.ncbi.nlm.nih.gov/sites/entrez?cmd=retrieve&amp;db=gene&amp;list_uids=1132&amp;dopt=full_report", "CHRM4")</f>
        <v>CHRM4</v>
      </c>
      <c r="C13" s="2" t="s">
        <v>1309</v>
      </c>
      <c r="D13" s="13" t="s">
        <v>1633</v>
      </c>
      <c r="E13" s="3" t="s">
        <v>1310</v>
      </c>
      <c r="F13" s="3" t="s">
        <v>1311</v>
      </c>
      <c r="G13" s="3" t="s">
        <v>1374</v>
      </c>
      <c r="H13" s="3" t="s">
        <v>588</v>
      </c>
      <c r="I13" s="3" t="s">
        <v>1375</v>
      </c>
      <c r="J13" s="3" t="s">
        <v>590</v>
      </c>
      <c r="K13" s="25" t="s">
        <v>1201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32" ht="14">
      <c r="A14" t="str">
        <f>HYPERLINK("http://www.ncbi.nlm.nih.gov/sites/entrez?cmd=retrieve&amp;db=gene&amp;list_uids=54434&amp;dopt=full_report","54434")</f>
        <v>54434</v>
      </c>
      <c r="B14" t="str">
        <f>HYPERLINK("http://www.ncbi.nlm.nih.gov/sites/entrez?cmd=retrieve&amp;db=gene&amp;list_uids=54434&amp;dopt=full_report", "SSH1")</f>
        <v>SSH1</v>
      </c>
      <c r="C14" s="2" t="s">
        <v>1376</v>
      </c>
      <c r="D14" s="13" t="s">
        <v>1633</v>
      </c>
      <c r="E14" s="3" t="s">
        <v>1377</v>
      </c>
      <c r="F14" s="3" t="s">
        <v>1378</v>
      </c>
      <c r="G14" s="3" t="s">
        <v>1379</v>
      </c>
      <c r="H14" s="3" t="s">
        <v>1380</v>
      </c>
      <c r="I14" s="3" t="s">
        <v>1323</v>
      </c>
      <c r="J14" s="3" t="s">
        <v>15</v>
      </c>
      <c r="K14" s="25" t="s">
        <v>1171</v>
      </c>
      <c r="L14" s="25"/>
      <c r="M14" s="25"/>
      <c r="N14" s="25"/>
      <c r="O14" s="25"/>
      <c r="P14" s="25"/>
      <c r="Q14" s="25"/>
      <c r="R14" s="25"/>
    </row>
    <row r="15" spans="1:32" s="23" customFormat="1" ht="14">
      <c r="A15" s="23" t="str">
        <f>HYPERLINK("http://www.ncbi.nlm.nih.gov/sites/entrez?cmd=retrieve&amp;db=gene&amp;list_uids=54407&amp;dopt=full_report","54407")</f>
        <v>54407</v>
      </c>
      <c r="B15" s="23" t="str">
        <f>HYPERLINK("http://www.ncbi.nlm.nih.gov/sites/entrez?cmd=retrieve&amp;db=gene&amp;list_uids=54407&amp;dopt=full_report", "SLC38A2")</f>
        <v>SLC38A2</v>
      </c>
      <c r="C15" s="15" t="s">
        <v>1298</v>
      </c>
      <c r="D15" s="16" t="s">
        <v>1632</v>
      </c>
      <c r="E15" s="23" t="s">
        <v>1112</v>
      </c>
      <c r="F15" s="23" t="s">
        <v>1112</v>
      </c>
      <c r="G15" s="23" t="s">
        <v>1112</v>
      </c>
      <c r="H15" s="23" t="s">
        <v>1299</v>
      </c>
      <c r="I15" s="23" t="s">
        <v>1112</v>
      </c>
      <c r="J15" s="23" t="s">
        <v>1145</v>
      </c>
      <c r="K15" s="26" t="s">
        <v>1136</v>
      </c>
      <c r="L15" s="26"/>
      <c r="M15" s="26"/>
      <c r="N15" s="26"/>
    </row>
    <row r="16" spans="1:32" ht="14">
      <c r="A16" t="str">
        <f>HYPERLINK("http://www.ncbi.nlm.nih.gov/sites/entrez?cmd=retrieve&amp;db=gene&amp;list_uids=3780&amp;dopt=full_report","3780")</f>
        <v>3780</v>
      </c>
      <c r="B16" t="str">
        <f>HYPERLINK("http://www.ncbi.nlm.nih.gov/sites/entrez?cmd=retrieve&amp;db=gene&amp;list_uids=3780&amp;dopt=full_report", "KCNN1")</f>
        <v>KCNN1</v>
      </c>
      <c r="C16" s="2" t="s">
        <v>1300</v>
      </c>
      <c r="D16" s="13" t="s">
        <v>1633</v>
      </c>
      <c r="E16" s="3" t="s">
        <v>1301</v>
      </c>
      <c r="F16" s="3" t="s">
        <v>1363</v>
      </c>
      <c r="G16" s="3" t="s">
        <v>899</v>
      </c>
      <c r="H16" s="3" t="s">
        <v>1364</v>
      </c>
      <c r="I16" s="3" t="s">
        <v>1365</v>
      </c>
      <c r="J16" s="3" t="s">
        <v>902</v>
      </c>
      <c r="K16" s="3" t="s">
        <v>1112</v>
      </c>
    </row>
    <row r="17" spans="1:25" s="23" customFormat="1" ht="14">
      <c r="A17" s="23" t="str">
        <f>HYPERLINK("http://www.ncbi.nlm.nih.gov/sites/entrez?cmd=retrieve&amp;db=gene&amp;list_uids=160065&amp;dopt=full_report","160065")</f>
        <v>160065</v>
      </c>
      <c r="B17" s="23" t="str">
        <f>HYPERLINK("http://www.ncbi.nlm.nih.gov/sites/entrez?cmd=retrieve&amp;db=gene&amp;list_uids=160065&amp;dopt=full_report", "PATE1")</f>
        <v>PATE1</v>
      </c>
      <c r="C17" s="15" t="s">
        <v>1366</v>
      </c>
      <c r="D17" s="16" t="s">
        <v>1632</v>
      </c>
      <c r="E17" s="23" t="s">
        <v>1367</v>
      </c>
      <c r="F17" s="23" t="s">
        <v>1368</v>
      </c>
      <c r="G17" s="23" t="s">
        <v>1112</v>
      </c>
      <c r="H17" s="23" t="s">
        <v>1369</v>
      </c>
      <c r="I17" s="23" t="s">
        <v>1112</v>
      </c>
      <c r="J17" s="23" t="s">
        <v>895</v>
      </c>
      <c r="K17" s="26" t="s">
        <v>1172</v>
      </c>
      <c r="L17" s="26"/>
      <c r="M17" s="26"/>
      <c r="N17" s="26"/>
    </row>
    <row r="18" spans="1:25" ht="14">
      <c r="A18" t="str">
        <f>HYPERLINK("http://www.ncbi.nlm.nih.gov/sites/entrez?cmd=retrieve&amp;db=gene&amp;list_uids=140885&amp;dopt=full_report","140885")</f>
        <v>140885</v>
      </c>
      <c r="B18" t="str">
        <f>HYPERLINK("http://www.ncbi.nlm.nih.gov/sites/entrez?cmd=retrieve&amp;db=gene&amp;list_uids=140885&amp;dopt=full_report", "SIRPA")</f>
        <v>SIRPA</v>
      </c>
      <c r="C18" s="2" t="s">
        <v>1370</v>
      </c>
      <c r="D18" s="13" t="s">
        <v>1633</v>
      </c>
      <c r="E18" s="3" t="s">
        <v>1313</v>
      </c>
      <c r="F18" s="3" t="s">
        <v>1112</v>
      </c>
      <c r="G18" s="3" t="s">
        <v>60</v>
      </c>
      <c r="H18" s="3" t="s">
        <v>1371</v>
      </c>
      <c r="I18" s="3" t="s">
        <v>1112</v>
      </c>
      <c r="J18" s="3" t="s">
        <v>1381</v>
      </c>
      <c r="K18" s="25" t="s">
        <v>1136</v>
      </c>
      <c r="L18" s="25"/>
      <c r="M18" s="25"/>
      <c r="N18" s="25"/>
    </row>
    <row r="19" spans="1:25" ht="14">
      <c r="A19" t="str">
        <f>HYPERLINK("http://www.ncbi.nlm.nih.gov/sites/entrez?cmd=retrieve&amp;db=gene&amp;list_uids=2271&amp;dopt=full_report","2271")</f>
        <v>2271</v>
      </c>
      <c r="B19" t="str">
        <f>HYPERLINK("http://www.ncbi.nlm.nih.gov/sites/entrez?cmd=retrieve&amp;db=gene&amp;list_uids=2271&amp;dopt=full_report", "FH")</f>
        <v>FH</v>
      </c>
      <c r="C19" s="2" t="s">
        <v>1382</v>
      </c>
      <c r="D19" s="13" t="s">
        <v>1633</v>
      </c>
      <c r="E19" s="3" t="s">
        <v>1383</v>
      </c>
      <c r="F19" s="3" t="s">
        <v>1324</v>
      </c>
      <c r="G19" s="3" t="s">
        <v>1325</v>
      </c>
      <c r="H19" s="3" t="s">
        <v>1048</v>
      </c>
      <c r="I19" s="3" t="s">
        <v>1326</v>
      </c>
      <c r="J19" s="3" t="s">
        <v>1050</v>
      </c>
      <c r="K19" s="25" t="s">
        <v>1173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5" ht="14">
      <c r="A20" t="str">
        <f>HYPERLINK("http://www.ncbi.nlm.nih.gov/sites/entrez?cmd=retrieve&amp;db=gene&amp;list_uids=9230&amp;dopt=full_report","9230")</f>
        <v>9230</v>
      </c>
      <c r="B20" t="str">
        <f>HYPERLINK("http://www.ncbi.nlm.nih.gov/sites/entrez?cmd=retrieve&amp;db=gene&amp;list_uids=9230&amp;dopt=full_report", "RAB11B")</f>
        <v>RAB11B</v>
      </c>
      <c r="C20" s="2" t="s">
        <v>359</v>
      </c>
      <c r="D20" s="13" t="s">
        <v>1633</v>
      </c>
      <c r="E20" s="3" t="s">
        <v>856</v>
      </c>
      <c r="F20" s="3" t="s">
        <v>857</v>
      </c>
      <c r="G20" s="3" t="s">
        <v>858</v>
      </c>
      <c r="H20" s="3" t="s">
        <v>1038</v>
      </c>
      <c r="I20" s="3" t="s">
        <v>360</v>
      </c>
      <c r="J20" s="3" t="s">
        <v>908</v>
      </c>
      <c r="K20" s="25" t="s">
        <v>1174</v>
      </c>
      <c r="L20" s="25"/>
      <c r="M20" s="25"/>
      <c r="N20" s="25"/>
    </row>
    <row r="21" spans="1:25" s="23" customFormat="1" ht="14">
      <c r="A21" s="23" t="str">
        <f>HYPERLINK("http://www.ncbi.nlm.nih.gov/sites/entrez?cmd=retrieve&amp;db=gene&amp;list_uids=1149&amp;dopt=full_report","1149")</f>
        <v>1149</v>
      </c>
      <c r="B21" s="23" t="str">
        <f>HYPERLINK("http://www.ncbi.nlm.nih.gov/sites/entrez?cmd=retrieve&amp;db=gene&amp;list_uids=1149&amp;dopt=full_report", "CIDEA")</f>
        <v>CIDEA</v>
      </c>
      <c r="C21" s="15" t="s">
        <v>361</v>
      </c>
      <c r="D21" s="16" t="s">
        <v>1632</v>
      </c>
      <c r="E21" s="23" t="s">
        <v>315</v>
      </c>
      <c r="F21" s="23" t="s">
        <v>933</v>
      </c>
      <c r="G21" s="23" t="s">
        <v>316</v>
      </c>
      <c r="H21" s="23" t="s">
        <v>317</v>
      </c>
      <c r="I21" s="23" t="s">
        <v>318</v>
      </c>
      <c r="J21" s="23" t="s">
        <v>895</v>
      </c>
      <c r="K21" s="26" t="s">
        <v>1204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5" ht="14">
      <c r="A22" t="str">
        <f>HYPERLINK("http://www.ncbi.nlm.nih.gov/sites/entrez?cmd=retrieve&amp;db=gene&amp;list_uids=7917&amp;dopt=full_report","7917")</f>
        <v>7917</v>
      </c>
      <c r="B22" t="str">
        <f>HYPERLINK("http://www.ncbi.nlm.nih.gov/sites/entrez?cmd=retrieve&amp;db=gene&amp;list_uids=7917&amp;dopt=full_report", "BAT3")</f>
        <v>BAT3</v>
      </c>
      <c r="C22" s="2" t="s">
        <v>354</v>
      </c>
      <c r="D22" s="13" t="s">
        <v>1633</v>
      </c>
      <c r="E22" s="3" t="s">
        <v>417</v>
      </c>
      <c r="F22" s="3" t="s">
        <v>933</v>
      </c>
      <c r="G22" s="3" t="s">
        <v>1112</v>
      </c>
      <c r="H22" s="3" t="s">
        <v>355</v>
      </c>
      <c r="I22" s="3" t="s">
        <v>1112</v>
      </c>
      <c r="J22" s="3" t="s">
        <v>990</v>
      </c>
      <c r="K22" s="25" t="s">
        <v>1167</v>
      </c>
      <c r="L22" s="25"/>
      <c r="M22" s="25"/>
      <c r="N22" s="25"/>
      <c r="O22" s="25"/>
      <c r="P22" s="25"/>
      <c r="Q22" s="25"/>
    </row>
    <row r="23" spans="1:25" s="23" customFormat="1" ht="14">
      <c r="A23" s="23" t="str">
        <f>HYPERLINK("http://www.ncbi.nlm.nih.gov/sites/entrez?cmd=retrieve&amp;db=gene&amp;list_uids=51433&amp;dopt=full_report","51433")</f>
        <v>51433</v>
      </c>
      <c r="B23" s="23" t="str">
        <f>HYPERLINK("http://www.ncbi.nlm.nih.gov/sites/entrez?cmd=retrieve&amp;db=gene&amp;list_uids=51433&amp;dopt=full_report", "ANAPC5")</f>
        <v>ANAPC5</v>
      </c>
      <c r="C23" s="15" t="s">
        <v>322</v>
      </c>
      <c r="D23" s="16" t="s">
        <v>1632</v>
      </c>
      <c r="E23" s="23" t="s">
        <v>374</v>
      </c>
      <c r="F23" s="23" t="s">
        <v>375</v>
      </c>
      <c r="G23" s="23" t="s">
        <v>376</v>
      </c>
      <c r="H23" s="23" t="s">
        <v>1093</v>
      </c>
      <c r="I23" s="23" t="s">
        <v>1094</v>
      </c>
      <c r="J23" s="23" t="s">
        <v>1145</v>
      </c>
      <c r="K23" s="26" t="s">
        <v>1137</v>
      </c>
      <c r="L23" s="26"/>
      <c r="M23" s="26"/>
      <c r="N23" s="26"/>
      <c r="O23" s="26"/>
      <c r="P23" s="26"/>
      <c r="Q23" s="26"/>
      <c r="R23" s="26"/>
    </row>
    <row r="24" spans="1:25" s="33" customFormat="1" ht="14">
      <c r="A24" s="30" t="str">
        <f>HYPERLINK("http://www.ncbi.nlm.nih.gov/sites/entrez?cmd=retrieve&amp;db=gene&amp;list_uids=80095&amp;dopt=full_report","80095")</f>
        <v>80095</v>
      </c>
      <c r="B24" s="30" t="str">
        <f>HYPERLINK("http://www.ncbi.nlm.nih.gov/sites/entrez?cmd=retrieve&amp;db=gene&amp;list_uids=80095&amp;dopt=full_report", "ZNF606")</f>
        <v>ZNF606</v>
      </c>
      <c r="C24" s="31" t="s">
        <v>377</v>
      </c>
      <c r="D24" s="32"/>
      <c r="E24" s="33" t="s">
        <v>378</v>
      </c>
      <c r="F24" s="33" t="s">
        <v>379</v>
      </c>
      <c r="G24" s="33" t="s">
        <v>957</v>
      </c>
      <c r="H24" s="33" t="s">
        <v>380</v>
      </c>
      <c r="I24" s="33" t="s">
        <v>381</v>
      </c>
      <c r="J24" s="33" t="s">
        <v>1327</v>
      </c>
      <c r="K24" s="34" t="s">
        <v>1168</v>
      </c>
      <c r="L24" s="34"/>
      <c r="M24" s="34"/>
      <c r="N24" s="34"/>
      <c r="O24" s="34"/>
      <c r="P24" s="34"/>
    </row>
    <row r="25" spans="1:25" ht="14">
      <c r="A25" t="str">
        <f>HYPERLINK("http://www.ncbi.nlm.nih.gov/sites/entrez?cmd=retrieve&amp;db=gene&amp;list_uids=9874&amp;dopt=full_report","9874")</f>
        <v>9874</v>
      </c>
      <c r="B25" t="str">
        <f>HYPERLINK("http://www.ncbi.nlm.nih.gov/sites/entrez?cmd=retrieve&amp;db=gene&amp;list_uids=9874&amp;dopt=full_report", "TLK1")</f>
        <v>TLK1</v>
      </c>
      <c r="C25" s="2" t="s">
        <v>382</v>
      </c>
      <c r="D25" s="13" t="s">
        <v>1633</v>
      </c>
      <c r="E25" s="3" t="s">
        <v>383</v>
      </c>
      <c r="F25" s="3" t="s">
        <v>384</v>
      </c>
      <c r="G25" s="3" t="s">
        <v>385</v>
      </c>
      <c r="H25" s="3" t="s">
        <v>332</v>
      </c>
      <c r="I25" s="3" t="s">
        <v>333</v>
      </c>
      <c r="J25" s="3" t="s">
        <v>816</v>
      </c>
      <c r="K25" s="25" t="s">
        <v>1133</v>
      </c>
      <c r="L25" s="25"/>
      <c r="M25" s="25"/>
      <c r="N25" s="25"/>
      <c r="O25" s="25"/>
      <c r="P25" s="25"/>
      <c r="Q25" s="25"/>
      <c r="R25" s="25"/>
      <c r="S25" s="25"/>
    </row>
    <row r="26" spans="1:25" ht="14">
      <c r="A26" t="str">
        <f>HYPERLINK("http://www.ncbi.nlm.nih.gov/sites/entrez?cmd=retrieve&amp;db=gene&amp;list_uids=5367&amp;dopt=full_report","5367")</f>
        <v>5367</v>
      </c>
      <c r="B26" t="str">
        <f>HYPERLINK("http://www.ncbi.nlm.nih.gov/sites/entrez?cmd=retrieve&amp;db=gene&amp;list_uids=5367&amp;dopt=full_report", "PMCH")</f>
        <v>PMCH</v>
      </c>
      <c r="C26" s="2" t="s">
        <v>334</v>
      </c>
      <c r="D26" s="13" t="s">
        <v>1633</v>
      </c>
      <c r="E26" s="3" t="s">
        <v>292</v>
      </c>
      <c r="F26" s="3" t="s">
        <v>293</v>
      </c>
      <c r="G26" s="3" t="s">
        <v>294</v>
      </c>
      <c r="H26" s="3" t="s">
        <v>295</v>
      </c>
      <c r="I26" s="3" t="s">
        <v>1112</v>
      </c>
      <c r="J26" s="3" t="s">
        <v>1328</v>
      </c>
      <c r="K26" s="25" t="s">
        <v>1214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4">
      <c r="A27" t="str">
        <f>HYPERLINK("http://www.ncbi.nlm.nih.gov/sites/entrez?cmd=retrieve&amp;db=gene&amp;list_uids=2700&amp;dopt=full_report","2700")</f>
        <v>2700</v>
      </c>
      <c r="B27" t="str">
        <f>HYPERLINK("http://www.ncbi.nlm.nih.gov/sites/entrez?cmd=retrieve&amp;db=gene&amp;list_uids=2700&amp;dopt=full_report", "GJA3")</f>
        <v>GJA3</v>
      </c>
      <c r="C27" s="2" t="s">
        <v>296</v>
      </c>
      <c r="D27" s="13" t="s">
        <v>1633</v>
      </c>
      <c r="E27" s="3" t="s">
        <v>297</v>
      </c>
      <c r="F27" s="3" t="s">
        <v>1112</v>
      </c>
      <c r="G27" s="3" t="s">
        <v>298</v>
      </c>
      <c r="H27" s="3" t="s">
        <v>299</v>
      </c>
      <c r="I27" s="3" t="s">
        <v>300</v>
      </c>
      <c r="J27" s="3" t="s">
        <v>1329</v>
      </c>
      <c r="K27" s="25" t="s">
        <v>1215</v>
      </c>
      <c r="L27" s="25"/>
      <c r="M27" s="25"/>
      <c r="N27" s="25"/>
      <c r="O27" s="25"/>
      <c r="P27" s="25"/>
      <c r="Q27" s="25"/>
    </row>
    <row r="28" spans="1:25" ht="14">
      <c r="A28" t="str">
        <f>HYPERLINK("http://www.ncbi.nlm.nih.gov/sites/entrez?cmd=retrieve&amp;db=gene&amp;list_uids=9781&amp;dopt=full_report","9781")</f>
        <v>9781</v>
      </c>
      <c r="B28" t="str">
        <f>HYPERLINK("http://www.ncbi.nlm.nih.gov/sites/entrez?cmd=retrieve&amp;db=gene&amp;list_uids=9781&amp;dopt=full_report", "RNF144A")</f>
        <v>RNF144A</v>
      </c>
      <c r="C28" s="2" t="s">
        <v>301</v>
      </c>
      <c r="D28" s="13" t="s">
        <v>1633</v>
      </c>
      <c r="E28" s="3" t="s">
        <v>507</v>
      </c>
      <c r="F28" s="3" t="s">
        <v>1143</v>
      </c>
      <c r="G28" s="3" t="s">
        <v>302</v>
      </c>
      <c r="H28" s="3" t="s">
        <v>344</v>
      </c>
      <c r="I28" s="3" t="s">
        <v>345</v>
      </c>
      <c r="J28" s="3" t="s">
        <v>1278</v>
      </c>
      <c r="K28" s="25" t="s">
        <v>1194</v>
      </c>
      <c r="L28" s="25"/>
      <c r="M28" s="25"/>
      <c r="N28" s="25"/>
      <c r="O28" s="25"/>
      <c r="P28" s="25"/>
      <c r="Q28" s="25"/>
      <c r="R28" s="25"/>
      <c r="S28" s="25"/>
      <c r="T28" s="25"/>
    </row>
    <row r="29" spans="1:25" s="33" customFormat="1" ht="14">
      <c r="A29" s="30" t="str">
        <f>HYPERLINK("http://www.ncbi.nlm.nih.gov/sites/entrez?cmd=retrieve&amp;db=gene&amp;list_uids=5309&amp;dopt=full_report","5309")</f>
        <v>5309</v>
      </c>
      <c r="B29" s="30" t="str">
        <f>HYPERLINK("http://www.ncbi.nlm.nih.gov/sites/entrez?cmd=retrieve&amp;db=gene&amp;list_uids=5309&amp;dopt=full_report", "PITX3")</f>
        <v>PITX3</v>
      </c>
      <c r="C29" s="31" t="s">
        <v>346</v>
      </c>
      <c r="D29" s="32"/>
      <c r="E29" s="33" t="s">
        <v>347</v>
      </c>
      <c r="F29" s="33" t="s">
        <v>348</v>
      </c>
      <c r="G29" s="33" t="s">
        <v>1122</v>
      </c>
      <c r="H29" s="33" t="s">
        <v>349</v>
      </c>
      <c r="I29" s="33" t="s">
        <v>350</v>
      </c>
      <c r="J29" s="33" t="s">
        <v>1347</v>
      </c>
      <c r="K29" s="34" t="s">
        <v>1179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5" ht="14">
      <c r="A30" t="str">
        <f>HYPERLINK("http://www.ncbi.nlm.nih.gov/sites/entrez?cmd=retrieve&amp;db=gene&amp;list_uids=1139&amp;dopt=full_report","1139")</f>
        <v>1139</v>
      </c>
      <c r="B30" t="str">
        <f>HYPERLINK("http://www.ncbi.nlm.nih.gov/sites/entrez?cmd=retrieve&amp;db=gene&amp;list_uids=1139&amp;dopt=full_report", "CHRNA7")</f>
        <v>CHRNA7</v>
      </c>
      <c r="C30" s="2" t="s">
        <v>351</v>
      </c>
      <c r="D30" s="13" t="s">
        <v>1633</v>
      </c>
      <c r="E30" s="3" t="s">
        <v>352</v>
      </c>
      <c r="F30" s="3" t="s">
        <v>353</v>
      </c>
      <c r="G30" s="3" t="s">
        <v>356</v>
      </c>
      <c r="H30" s="3" t="s">
        <v>357</v>
      </c>
      <c r="I30" s="3" t="s">
        <v>368</v>
      </c>
      <c r="J30" s="3" t="s">
        <v>1286</v>
      </c>
      <c r="K30" s="25" t="s">
        <v>1195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5" ht="14">
      <c r="A31" t="str">
        <f>HYPERLINK("http://www.ncbi.nlm.nih.gov/sites/entrez?cmd=retrieve&amp;db=gene&amp;list_uids=1583&amp;dopt=full_report","1583")</f>
        <v>1583</v>
      </c>
      <c r="B31" t="str">
        <f>HYPERLINK("http://www.ncbi.nlm.nih.gov/sites/entrez?cmd=retrieve&amp;db=gene&amp;list_uids=1583&amp;dopt=full_report", "CYP11A1")</f>
        <v>CYP11A1</v>
      </c>
      <c r="C31" s="2" t="s">
        <v>369</v>
      </c>
      <c r="D31" s="13" t="s">
        <v>1633</v>
      </c>
      <c r="E31" s="3" t="s">
        <v>370</v>
      </c>
      <c r="F31" s="3" t="s">
        <v>257</v>
      </c>
      <c r="G31" s="3" t="s">
        <v>258</v>
      </c>
      <c r="H31" s="3" t="s">
        <v>884</v>
      </c>
      <c r="I31" s="3" t="s">
        <v>259</v>
      </c>
      <c r="J31" s="3" t="s">
        <v>914</v>
      </c>
      <c r="K31" s="25" t="s">
        <v>1160</v>
      </c>
      <c r="L31" s="25"/>
      <c r="M31" s="25"/>
      <c r="N31" s="25"/>
      <c r="O31" s="25"/>
      <c r="P31" s="25"/>
      <c r="Q31" s="25"/>
    </row>
    <row r="32" spans="1:25" ht="14">
      <c r="A32" t="str">
        <f>HYPERLINK("http://www.ncbi.nlm.nih.gov/sites/entrez?cmd=retrieve&amp;db=gene&amp;list_uids=2863&amp;dopt=full_report","2863")</f>
        <v>2863</v>
      </c>
      <c r="B32" t="str">
        <f>HYPERLINK("http://www.ncbi.nlm.nih.gov/sites/entrez?cmd=retrieve&amp;db=gene&amp;list_uids=2863&amp;dopt=full_report", "GPR39")</f>
        <v>GPR39</v>
      </c>
      <c r="C32" s="2" t="s">
        <v>260</v>
      </c>
      <c r="D32" s="13" t="s">
        <v>1633</v>
      </c>
      <c r="E32" s="3" t="s">
        <v>772</v>
      </c>
      <c r="F32" s="3" t="s">
        <v>261</v>
      </c>
      <c r="G32" s="3" t="s">
        <v>639</v>
      </c>
      <c r="H32" s="3" t="s">
        <v>588</v>
      </c>
      <c r="I32" s="3" t="s">
        <v>262</v>
      </c>
      <c r="J32" s="3" t="s">
        <v>590</v>
      </c>
      <c r="K32" s="25" t="s">
        <v>1182</v>
      </c>
      <c r="L32" s="25"/>
      <c r="M32" s="25"/>
    </row>
    <row r="33" spans="1:32" ht="14">
      <c r="A33" t="str">
        <f>HYPERLINK("http://www.ncbi.nlm.nih.gov/sites/entrez?cmd=retrieve&amp;db=gene&amp;list_uids=51317&amp;dopt=full_report","51317")</f>
        <v>51317</v>
      </c>
      <c r="B33" t="str">
        <f>HYPERLINK("http://www.ncbi.nlm.nih.gov/sites/entrez?cmd=retrieve&amp;db=gene&amp;list_uids=51317&amp;dopt=full_report", "PHF21A")</f>
        <v>PHF21A</v>
      </c>
      <c r="C33" s="2" t="s">
        <v>263</v>
      </c>
      <c r="D33" s="13" t="s">
        <v>1633</v>
      </c>
      <c r="E33" s="3" t="s">
        <v>428</v>
      </c>
      <c r="F33" s="3" t="s">
        <v>1143</v>
      </c>
      <c r="G33" s="3" t="s">
        <v>1611</v>
      </c>
      <c r="H33" s="3" t="s">
        <v>264</v>
      </c>
      <c r="I33" s="3" t="s">
        <v>265</v>
      </c>
      <c r="J33" s="3" t="s">
        <v>1278</v>
      </c>
      <c r="K33" s="25" t="s">
        <v>1196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32" s="11" customFormat="1" ht="14">
      <c r="A34" t="str">
        <f>HYPERLINK("http://www.ncbi.nlm.nih.gov/sites/entrez?cmd=retrieve&amp;db=gene&amp;list_uids=92755&amp;dopt=full_report","92755")</f>
        <v>92755</v>
      </c>
      <c r="B34" t="str">
        <f>HYPERLINK("http://www.ncbi.nlm.nih.gov/sites/entrez?cmd=retrieve&amp;db=gene&amp;list_uids=92755&amp;dopt=full_report", "LOC92755")</f>
        <v>LOC92755</v>
      </c>
      <c r="C34" s="10" t="s">
        <v>266</v>
      </c>
      <c r="D34" s="13" t="s">
        <v>1633</v>
      </c>
      <c r="E34" s="11" t="s">
        <v>1112</v>
      </c>
      <c r="F34" s="11" t="s">
        <v>1112</v>
      </c>
      <c r="G34" s="11" t="s">
        <v>1112</v>
      </c>
      <c r="H34" s="11" t="s">
        <v>1112</v>
      </c>
      <c r="I34" s="11" t="s">
        <v>1112</v>
      </c>
      <c r="J34" s="11" t="s">
        <v>1112</v>
      </c>
      <c r="K34" s="28" t="s">
        <v>1187</v>
      </c>
      <c r="L34" s="28"/>
      <c r="M34" s="28"/>
      <c r="N34" s="28"/>
      <c r="O34" s="28"/>
      <c r="P34" s="28"/>
    </row>
    <row r="35" spans="1:32" ht="14">
      <c r="A35" t="str">
        <f>HYPERLINK("http://www.ncbi.nlm.nih.gov/sites/entrez?cmd=retrieve&amp;db=gene&amp;list_uids=4524&amp;dopt=full_report","4524")</f>
        <v>4524</v>
      </c>
      <c r="B35" t="str">
        <f>HYPERLINK("http://www.ncbi.nlm.nih.gov/sites/entrez?cmd=retrieve&amp;db=gene&amp;list_uids=4524&amp;dopt=full_report", "MTHFR")</f>
        <v>MTHFR</v>
      </c>
      <c r="C35" s="2" t="s">
        <v>267</v>
      </c>
      <c r="D35" s="13" t="s">
        <v>1633</v>
      </c>
      <c r="E35" s="3" t="s">
        <v>323</v>
      </c>
      <c r="F35" s="3" t="s">
        <v>324</v>
      </c>
      <c r="G35" s="3" t="s">
        <v>1112</v>
      </c>
      <c r="H35" s="3" t="s">
        <v>325</v>
      </c>
      <c r="I35" s="3" t="s">
        <v>326</v>
      </c>
      <c r="J35" s="3" t="s">
        <v>1287</v>
      </c>
      <c r="K35" s="25" t="s">
        <v>1199</v>
      </c>
      <c r="L35" s="25"/>
      <c r="M35" s="25"/>
      <c r="N35" s="25"/>
      <c r="O35" s="25"/>
      <c r="P35" s="25"/>
      <c r="Q35" s="25"/>
      <c r="R35" s="25"/>
      <c r="S35" s="25"/>
      <c r="T35" s="25"/>
    </row>
    <row r="36" spans="1:32" s="23" customFormat="1" ht="14">
      <c r="A36" s="23" t="str">
        <f>HYPERLINK("http://www.ncbi.nlm.nih.gov/sites/entrez?cmd=retrieve&amp;db=gene&amp;list_uids=6906&amp;dopt=full_report","6906")</f>
        <v>6906</v>
      </c>
      <c r="B36" s="23" t="str">
        <f>HYPERLINK("http://www.ncbi.nlm.nih.gov/sites/entrez?cmd=retrieve&amp;db=gene&amp;list_uids=6906&amp;dopt=full_report", "SERPINA7")</f>
        <v>SERPINA7</v>
      </c>
      <c r="C36" s="15" t="s">
        <v>327</v>
      </c>
      <c r="D36" s="16" t="s">
        <v>1632</v>
      </c>
      <c r="E36" s="23" t="s">
        <v>1112</v>
      </c>
      <c r="F36" s="23" t="s">
        <v>328</v>
      </c>
      <c r="G36" s="23" t="s">
        <v>1118</v>
      </c>
      <c r="H36" s="23" t="s">
        <v>329</v>
      </c>
      <c r="I36" s="23" t="s">
        <v>330</v>
      </c>
      <c r="J36" s="23" t="s">
        <v>1288</v>
      </c>
      <c r="K36" s="26" t="s">
        <v>1182</v>
      </c>
      <c r="L36" s="26"/>
      <c r="M36" s="26"/>
    </row>
    <row r="37" spans="1:32" s="23" customFormat="1" ht="14">
      <c r="A37" s="23" t="str">
        <f>HYPERLINK("http://www.ncbi.nlm.nih.gov/sites/entrez?cmd=retrieve&amp;db=gene&amp;list_uids=7040&amp;dopt=full_report","7040")</f>
        <v>7040</v>
      </c>
      <c r="B37" s="23" t="str">
        <f>HYPERLINK("http://www.ncbi.nlm.nih.gov/sites/entrez?cmd=retrieve&amp;db=gene&amp;list_uids=7040&amp;dopt=full_report", "TGFB1")</f>
        <v>TGFB1</v>
      </c>
      <c r="C37" s="15" t="s">
        <v>331</v>
      </c>
      <c r="D37" s="16" t="s">
        <v>1632</v>
      </c>
      <c r="E37" s="17" t="s">
        <v>290</v>
      </c>
      <c r="F37" s="23" t="s">
        <v>215</v>
      </c>
      <c r="G37" s="23" t="s">
        <v>291</v>
      </c>
      <c r="H37" s="23" t="s">
        <v>1086</v>
      </c>
      <c r="I37" s="23" t="s">
        <v>217</v>
      </c>
      <c r="J37" s="23" t="s">
        <v>1056</v>
      </c>
      <c r="K37" s="23" t="s">
        <v>1112</v>
      </c>
    </row>
    <row r="38" spans="1:32" s="23" customFormat="1" ht="14">
      <c r="A38" s="23" t="str">
        <f>HYPERLINK("http://www.ncbi.nlm.nih.gov/sites/entrez?cmd=retrieve&amp;db=gene&amp;list_uids=1730&amp;dopt=full_report","1730")</f>
        <v>1730</v>
      </c>
      <c r="B38" s="23" t="str">
        <f>HYPERLINK("http://www.ncbi.nlm.nih.gov/sites/entrez?cmd=retrieve&amp;db=gene&amp;list_uids=1730&amp;dopt=full_report", "DIAPH2")</f>
        <v>DIAPH2</v>
      </c>
      <c r="C38" s="15" t="s">
        <v>218</v>
      </c>
      <c r="D38" s="16" t="s">
        <v>1632</v>
      </c>
      <c r="E38" s="23" t="s">
        <v>283</v>
      </c>
      <c r="F38" s="23" t="s">
        <v>284</v>
      </c>
      <c r="G38" s="23" t="s">
        <v>285</v>
      </c>
      <c r="H38" s="23" t="s">
        <v>286</v>
      </c>
      <c r="I38" s="23" t="s">
        <v>287</v>
      </c>
      <c r="J38" s="23" t="s">
        <v>1229</v>
      </c>
      <c r="K38" s="26" t="s">
        <v>1200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32" s="23" customFormat="1" ht="14">
      <c r="A39" s="23" t="str">
        <f>HYPERLINK("http://www.ncbi.nlm.nih.gov/sites/entrez?cmd=retrieve&amp;db=gene&amp;list_uids=7283&amp;dopt=full_report","7283")</f>
        <v>7283</v>
      </c>
      <c r="B39" s="23" t="str">
        <f>HYPERLINK("http://www.ncbi.nlm.nih.gov/sites/entrez?cmd=retrieve&amp;db=gene&amp;list_uids=7283&amp;dopt=full_report", "TUBG1")</f>
        <v>TUBG1</v>
      </c>
      <c r="C39" s="15" t="s">
        <v>280</v>
      </c>
      <c r="D39" s="16" t="s">
        <v>1632</v>
      </c>
      <c r="E39" s="23" t="s">
        <v>288</v>
      </c>
      <c r="F39" s="23" t="s">
        <v>289</v>
      </c>
      <c r="G39" s="23" t="s">
        <v>303</v>
      </c>
      <c r="H39" s="23" t="s">
        <v>304</v>
      </c>
      <c r="I39" s="23" t="s">
        <v>305</v>
      </c>
      <c r="J39" s="23" t="s">
        <v>1289</v>
      </c>
      <c r="K39" s="26" t="s">
        <v>1208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ht="14">
      <c r="A40" t="str">
        <f>HYPERLINK("http://www.ncbi.nlm.nih.gov/sites/entrez?cmd=retrieve&amp;db=gene&amp;list_uids=8676&amp;dopt=full_report","8676")</f>
        <v>8676</v>
      </c>
      <c r="B40" t="str">
        <f>HYPERLINK("http://www.ncbi.nlm.nih.gov/sites/entrez?cmd=retrieve&amp;db=gene&amp;list_uids=8676&amp;dopt=full_report", "STX11")</f>
        <v>STX11</v>
      </c>
      <c r="C40" s="2" t="s">
        <v>306</v>
      </c>
      <c r="D40" s="13" t="s">
        <v>1633</v>
      </c>
      <c r="E40" s="3" t="s">
        <v>307</v>
      </c>
      <c r="F40" s="3" t="s">
        <v>308</v>
      </c>
      <c r="G40" s="3" t="s">
        <v>858</v>
      </c>
      <c r="H40" s="3" t="s">
        <v>836</v>
      </c>
      <c r="I40" s="3" t="s">
        <v>309</v>
      </c>
      <c r="J40" s="3" t="s">
        <v>870</v>
      </c>
      <c r="K40" s="3" t="s">
        <v>1112</v>
      </c>
    </row>
    <row r="41" spans="1:32" s="33" customFormat="1" ht="14">
      <c r="A41" s="30" t="str">
        <f>HYPERLINK("http://www.ncbi.nlm.nih.gov/sites/entrez?cmd=retrieve&amp;db=gene&amp;list_uids=64344&amp;dopt=full_report","64344")</f>
        <v>64344</v>
      </c>
      <c r="B41" s="30" t="str">
        <f>HYPERLINK("http://www.ncbi.nlm.nih.gov/sites/entrez?cmd=retrieve&amp;db=gene&amp;list_uids=64344&amp;dopt=full_report", "HIF3A")</f>
        <v>HIF3A</v>
      </c>
      <c r="C41" s="31" t="s">
        <v>310</v>
      </c>
      <c r="D41" s="32"/>
      <c r="E41" s="33" t="s">
        <v>311</v>
      </c>
      <c r="F41" s="33" t="s">
        <v>312</v>
      </c>
      <c r="G41" s="33" t="s">
        <v>313</v>
      </c>
      <c r="H41" s="33" t="s">
        <v>314</v>
      </c>
      <c r="I41" s="33" t="s">
        <v>236</v>
      </c>
      <c r="J41" s="33" t="s">
        <v>1124</v>
      </c>
      <c r="K41" s="34" t="s">
        <v>1182</v>
      </c>
      <c r="L41" s="34"/>
      <c r="M41" s="34"/>
    </row>
    <row r="42" spans="1:32" s="23" customFormat="1" ht="14">
      <c r="A42" s="23" t="str">
        <f>HYPERLINK("http://www.ncbi.nlm.nih.gov/sites/entrez?cmd=retrieve&amp;db=gene&amp;list_uids=10399&amp;dopt=full_report","10399")</f>
        <v>10399</v>
      </c>
      <c r="B42" s="23" t="str">
        <f>HYPERLINK("http://www.ncbi.nlm.nih.gov/sites/entrez?cmd=retrieve&amp;db=gene&amp;list_uids=10399&amp;dopt=full_report", "GNB2L1")</f>
        <v>GNB2L1</v>
      </c>
      <c r="C42" s="15" t="s">
        <v>237</v>
      </c>
      <c r="D42" s="16" t="s">
        <v>1632</v>
      </c>
      <c r="E42" s="23" t="s">
        <v>1112</v>
      </c>
      <c r="F42" s="23" t="s">
        <v>238</v>
      </c>
      <c r="G42" s="23" t="s">
        <v>239</v>
      </c>
      <c r="H42" s="23" t="s">
        <v>240</v>
      </c>
      <c r="I42" s="23" t="s">
        <v>1112</v>
      </c>
      <c r="J42" s="23" t="s">
        <v>895</v>
      </c>
      <c r="K42" s="26" t="s">
        <v>1209</v>
      </c>
      <c r="L42" s="26"/>
      <c r="M42" s="26"/>
      <c r="N42" s="26"/>
      <c r="O42" s="26"/>
    </row>
    <row r="43" spans="1:32" s="23" customFormat="1" ht="14">
      <c r="A43" s="23" t="str">
        <f>HYPERLINK("http://www.ncbi.nlm.nih.gov/sites/entrez?cmd=retrieve&amp;db=gene&amp;list_uids=9212&amp;dopt=full_report","9212")</f>
        <v>9212</v>
      </c>
      <c r="B43" s="23" t="str">
        <f>HYPERLINK("http://www.ncbi.nlm.nih.gov/sites/entrez?cmd=retrieve&amp;db=gene&amp;list_uids=9212&amp;dopt=full_report", "AURKB")</f>
        <v>AURKB</v>
      </c>
      <c r="C43" s="15" t="s">
        <v>241</v>
      </c>
      <c r="D43" s="16" t="s">
        <v>1632</v>
      </c>
      <c r="E43" s="23" t="s">
        <v>242</v>
      </c>
      <c r="F43" s="23" t="s">
        <v>243</v>
      </c>
      <c r="G43" s="23" t="s">
        <v>244</v>
      </c>
      <c r="H43" s="23" t="s">
        <v>865</v>
      </c>
      <c r="I43" s="23" t="s">
        <v>245</v>
      </c>
      <c r="J43" s="23" t="s">
        <v>816</v>
      </c>
      <c r="K43" s="26" t="s">
        <v>1214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32" ht="14">
      <c r="A44" t="str">
        <f>HYPERLINK("http://www.ncbi.nlm.nih.gov/sites/entrez?cmd=retrieve&amp;db=gene&amp;list_uids=2563&amp;dopt=full_report","2563")</f>
        <v>2563</v>
      </c>
      <c r="B44" t="str">
        <f>HYPERLINK("http://www.ncbi.nlm.nih.gov/sites/entrez?cmd=retrieve&amp;db=gene&amp;list_uids=2563&amp;dopt=full_report", "GABRD")</f>
        <v>GABRD</v>
      </c>
      <c r="C44" s="2" t="s">
        <v>246</v>
      </c>
      <c r="D44" s="13" t="s">
        <v>1633</v>
      </c>
      <c r="E44" s="3" t="s">
        <v>247</v>
      </c>
      <c r="F44" s="3" t="s">
        <v>256</v>
      </c>
      <c r="G44" s="3" t="s">
        <v>248</v>
      </c>
      <c r="H44" s="3" t="s">
        <v>357</v>
      </c>
      <c r="I44" s="3" t="s">
        <v>249</v>
      </c>
      <c r="J44" s="3" t="s">
        <v>1334</v>
      </c>
      <c r="K44" s="25" t="s">
        <v>1210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2" ht="14">
      <c r="A45" t="str">
        <f>HYPERLINK("http://www.ncbi.nlm.nih.gov/sites/entrez?cmd=retrieve&amp;db=gene&amp;list_uids=93107&amp;dopt=full_report","93107")</f>
        <v>93107</v>
      </c>
      <c r="B45" t="str">
        <f>HYPERLINK("http://www.ncbi.nlm.nih.gov/sites/entrez?cmd=retrieve&amp;db=gene&amp;list_uids=93107&amp;dopt=full_report", "KCNG4")</f>
        <v>KCNG4</v>
      </c>
      <c r="C45" s="2" t="s">
        <v>250</v>
      </c>
      <c r="D45" s="13" t="s">
        <v>1633</v>
      </c>
      <c r="E45" s="3" t="s">
        <v>561</v>
      </c>
      <c r="F45" s="3" t="s">
        <v>251</v>
      </c>
      <c r="G45" s="3" t="s">
        <v>684</v>
      </c>
      <c r="H45" s="3" t="s">
        <v>252</v>
      </c>
      <c r="I45" s="3" t="s">
        <v>253</v>
      </c>
      <c r="J45" s="3" t="s">
        <v>902</v>
      </c>
      <c r="K45" s="25" t="s">
        <v>1211</v>
      </c>
      <c r="L45" s="25"/>
      <c r="M45" s="25"/>
      <c r="N45" s="25"/>
      <c r="O45" s="25"/>
      <c r="P45" s="25"/>
      <c r="Q45" s="25"/>
      <c r="R45" s="25"/>
    </row>
    <row r="46" spans="1:32" s="23" customFormat="1" ht="14">
      <c r="A46" s="23" t="str">
        <f>HYPERLINK("http://www.ncbi.nlm.nih.gov/sites/entrez?cmd=retrieve&amp;db=gene&amp;list_uids=890&amp;dopt=full_report","890")</f>
        <v>890</v>
      </c>
      <c r="B46" s="23" t="str">
        <f>HYPERLINK("http://www.ncbi.nlm.nih.gov/sites/entrez?cmd=retrieve&amp;db=gene&amp;list_uids=890&amp;dopt=full_report", "CCNA2")</f>
        <v>CCNA2</v>
      </c>
      <c r="C46" s="15" t="s">
        <v>254</v>
      </c>
      <c r="D46" s="16" t="s">
        <v>1632</v>
      </c>
      <c r="E46" s="23" t="s">
        <v>255</v>
      </c>
      <c r="F46" s="23" t="s">
        <v>933</v>
      </c>
      <c r="G46" s="23" t="s">
        <v>268</v>
      </c>
      <c r="H46" s="23" t="s">
        <v>269</v>
      </c>
      <c r="I46" s="23" t="s">
        <v>270</v>
      </c>
      <c r="J46" s="23" t="s">
        <v>397</v>
      </c>
      <c r="K46" s="26" t="s">
        <v>1175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ht="14">
      <c r="A47" t="str">
        <f>HYPERLINK("http://www.ncbi.nlm.nih.gov/sites/entrez?cmd=retrieve&amp;db=gene&amp;list_uids=9364&amp;dopt=full_report","9364")</f>
        <v>9364</v>
      </c>
      <c r="B47" t="str">
        <f>HYPERLINK("http://www.ncbi.nlm.nih.gov/sites/entrez?cmd=retrieve&amp;db=gene&amp;list_uids=9364&amp;dopt=full_report", "RAB28")</f>
        <v>RAB28</v>
      </c>
      <c r="C47" s="2" t="s">
        <v>271</v>
      </c>
      <c r="D47" s="13" t="s">
        <v>1633</v>
      </c>
      <c r="E47" s="3" t="s">
        <v>272</v>
      </c>
      <c r="F47" s="3" t="s">
        <v>857</v>
      </c>
      <c r="G47" s="3" t="s">
        <v>858</v>
      </c>
      <c r="H47" s="3" t="s">
        <v>1038</v>
      </c>
      <c r="I47" s="3" t="s">
        <v>273</v>
      </c>
      <c r="J47" s="3" t="s">
        <v>908</v>
      </c>
      <c r="K47" s="25" t="s">
        <v>1190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2" s="23" customFormat="1" ht="14">
      <c r="A48" s="23" t="str">
        <f>HYPERLINK("http://www.ncbi.nlm.nih.gov/sites/entrez?cmd=retrieve&amp;db=gene&amp;list_uids=6338&amp;dopt=full_report","6338")</f>
        <v>6338</v>
      </c>
      <c r="B48" s="23" t="str">
        <f>HYPERLINK("http://www.ncbi.nlm.nih.gov/sites/entrez?cmd=retrieve&amp;db=gene&amp;list_uids=6338&amp;dopt=full_report", "SCNN1B")</f>
        <v>SCNN1B</v>
      </c>
      <c r="C48" s="15" t="s">
        <v>274</v>
      </c>
      <c r="D48" s="16" t="s">
        <v>1632</v>
      </c>
      <c r="E48" s="23" t="s">
        <v>275</v>
      </c>
      <c r="F48" s="23" t="s">
        <v>276</v>
      </c>
      <c r="G48" s="23" t="s">
        <v>277</v>
      </c>
      <c r="H48" s="23" t="s">
        <v>278</v>
      </c>
      <c r="I48" s="23" t="s">
        <v>279</v>
      </c>
      <c r="J48" s="23" t="s">
        <v>1065</v>
      </c>
      <c r="K48" s="26" t="s">
        <v>1202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1" ht="14">
      <c r="A49" t="str">
        <f>HYPERLINK("http://www.ncbi.nlm.nih.gov/sites/entrez?cmd=retrieve&amp;db=gene&amp;list_uids=49&amp;dopt=full_report","49")</f>
        <v>49</v>
      </c>
      <c r="B49" t="str">
        <f>HYPERLINK("http://www.ncbi.nlm.nih.gov/sites/entrez?cmd=retrieve&amp;db=gene&amp;list_uids=49&amp;dopt=full_report", "ACR")</f>
        <v>ACR</v>
      </c>
      <c r="C49" s="2" t="s">
        <v>281</v>
      </c>
      <c r="D49" s="13" t="s">
        <v>1633</v>
      </c>
      <c r="E49" s="3" t="s">
        <v>282</v>
      </c>
      <c r="F49" s="3" t="s">
        <v>210</v>
      </c>
      <c r="G49" s="3" t="s">
        <v>211</v>
      </c>
      <c r="H49" s="3" t="s">
        <v>1098</v>
      </c>
      <c r="I49" s="3" t="s">
        <v>212</v>
      </c>
      <c r="J49" s="3" t="s">
        <v>1100</v>
      </c>
      <c r="K49" s="25" t="s">
        <v>1203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</row>
    <row r="50" spans="1:31" ht="14">
      <c r="A50" t="str">
        <f>HYPERLINK("http://www.ncbi.nlm.nih.gov/sites/entrez?cmd=retrieve&amp;db=gene&amp;list_uids=5775&amp;dopt=full_report","5775")</f>
        <v>5775</v>
      </c>
      <c r="B50" t="str">
        <f>HYPERLINK("http://www.ncbi.nlm.nih.gov/sites/entrez?cmd=retrieve&amp;db=gene&amp;list_uids=5775&amp;dopt=full_report", "PTPN4")</f>
        <v>PTPN4</v>
      </c>
      <c r="C50" s="2" t="s">
        <v>213</v>
      </c>
      <c r="D50" s="13" t="s">
        <v>1633</v>
      </c>
      <c r="E50" s="3" t="s">
        <v>214</v>
      </c>
      <c r="F50" s="3" t="s">
        <v>216</v>
      </c>
      <c r="G50" s="3" t="s">
        <v>223</v>
      </c>
      <c r="H50" s="3" t="s">
        <v>224</v>
      </c>
      <c r="I50" s="3" t="s">
        <v>225</v>
      </c>
      <c r="J50" s="3" t="s">
        <v>1145</v>
      </c>
      <c r="K50" s="25" t="s">
        <v>1226</v>
      </c>
      <c r="L50" s="25"/>
      <c r="M50" s="25"/>
      <c r="N50" s="25"/>
      <c r="O50" s="25"/>
    </row>
    <row r="51" spans="1:31" ht="14">
      <c r="A51" t="str">
        <f>HYPERLINK("http://www.ncbi.nlm.nih.gov/sites/entrez?cmd=retrieve&amp;db=gene&amp;list_uids=1146&amp;dopt=full_report","1146")</f>
        <v>1146</v>
      </c>
      <c r="B51" t="str">
        <f>HYPERLINK("http://www.ncbi.nlm.nih.gov/sites/entrez?cmd=retrieve&amp;db=gene&amp;list_uids=1146&amp;dopt=full_report", "CHRNG")</f>
        <v>CHRNG</v>
      </c>
      <c r="C51" s="2" t="s">
        <v>226</v>
      </c>
      <c r="D51" s="13" t="s">
        <v>1633</v>
      </c>
      <c r="E51" s="3" t="s">
        <v>227</v>
      </c>
      <c r="F51" s="3" t="s">
        <v>180</v>
      </c>
      <c r="G51" s="3" t="s">
        <v>228</v>
      </c>
      <c r="H51" s="3" t="s">
        <v>357</v>
      </c>
      <c r="I51" s="3" t="s">
        <v>229</v>
      </c>
      <c r="J51" s="3" t="s">
        <v>1335</v>
      </c>
      <c r="K51" s="25" t="s">
        <v>1227</v>
      </c>
      <c r="L51" s="25"/>
      <c r="M51" s="25"/>
      <c r="N51" s="25"/>
      <c r="O51" s="25"/>
      <c r="P51" s="25"/>
      <c r="Q51" s="25"/>
      <c r="R51" s="25"/>
      <c r="S51" s="25"/>
      <c r="T51" s="25"/>
    </row>
    <row r="52" spans="1:31" ht="14">
      <c r="A52" t="str">
        <f>HYPERLINK("http://www.ncbi.nlm.nih.gov/sites/entrez?cmd=retrieve&amp;db=gene&amp;list_uids=6389&amp;dopt=full_report","6389")</f>
        <v>6389</v>
      </c>
      <c r="B52" t="str">
        <f>HYPERLINK("http://www.ncbi.nlm.nih.gov/sites/entrez?cmd=retrieve&amp;db=gene&amp;list_uids=6389&amp;dopt=full_report", "SDHA")</f>
        <v>SDHA</v>
      </c>
      <c r="C52" s="2" t="s">
        <v>230</v>
      </c>
      <c r="D52" s="13" t="s">
        <v>1633</v>
      </c>
      <c r="E52" s="3" t="s">
        <v>231</v>
      </c>
      <c r="F52" s="3" t="s">
        <v>232</v>
      </c>
      <c r="G52" s="3" t="s">
        <v>233</v>
      </c>
      <c r="H52" s="3" t="s">
        <v>234</v>
      </c>
      <c r="I52" s="3" t="s">
        <v>234</v>
      </c>
      <c r="J52" s="3" t="s">
        <v>1020</v>
      </c>
      <c r="K52" s="3" t="s">
        <v>1112</v>
      </c>
    </row>
    <row r="53" spans="1:31" ht="14">
      <c r="A53" t="str">
        <f>HYPERLINK("http://www.ncbi.nlm.nih.gov/sites/entrez?cmd=retrieve&amp;db=gene&amp;list_uids=4139&amp;dopt=full_report","4139")</f>
        <v>4139</v>
      </c>
      <c r="B53" t="str">
        <f>HYPERLINK("http://www.ncbi.nlm.nih.gov/sites/entrez?cmd=retrieve&amp;db=gene&amp;list_uids=4139&amp;dopt=full_report", "MARK1")</f>
        <v>MARK1</v>
      </c>
      <c r="C53" s="2" t="s">
        <v>235</v>
      </c>
      <c r="D53" s="13" t="s">
        <v>1633</v>
      </c>
      <c r="E53" s="3" t="s">
        <v>186</v>
      </c>
      <c r="F53" s="3" t="s">
        <v>767</v>
      </c>
      <c r="G53" s="3" t="s">
        <v>187</v>
      </c>
      <c r="H53" s="3" t="s">
        <v>865</v>
      </c>
      <c r="I53" s="3" t="s">
        <v>188</v>
      </c>
      <c r="J53" s="3" t="s">
        <v>1336</v>
      </c>
      <c r="K53" s="25" t="s">
        <v>1205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</row>
    <row r="54" spans="1:31" s="33" customFormat="1" ht="14">
      <c r="A54" s="30" t="str">
        <f>HYPERLINK("http://www.ncbi.nlm.nih.gov/sites/entrez?cmd=retrieve&amp;db=gene&amp;list_uids=83860&amp;dopt=full_report","83860")</f>
        <v>83860</v>
      </c>
      <c r="B54" s="30" t="str">
        <f>HYPERLINK("http://www.ncbi.nlm.nih.gov/sites/entrez?cmd=retrieve&amp;db=gene&amp;list_uids=83860&amp;dopt=full_report", "TAF3")</f>
        <v>TAF3</v>
      </c>
      <c r="C54" s="31" t="s">
        <v>189</v>
      </c>
      <c r="D54" s="32"/>
      <c r="E54" s="33" t="s">
        <v>190</v>
      </c>
      <c r="F54" s="33" t="s">
        <v>1143</v>
      </c>
      <c r="G54" s="33" t="s">
        <v>1122</v>
      </c>
      <c r="H54" s="33" t="s">
        <v>934</v>
      </c>
      <c r="I54" s="33" t="s">
        <v>1112</v>
      </c>
      <c r="J54" s="33" t="s">
        <v>1145</v>
      </c>
      <c r="K54" s="34" t="s">
        <v>1206</v>
      </c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:31" s="12" customFormat="1" ht="14">
      <c r="A55" t="str">
        <f>HYPERLINK("http://www.ncbi.nlm.nih.gov/sites/entrez?cmd=retrieve&amp;db=gene&amp;list_uids=143497&amp;dopt=full_report","143497")</f>
        <v>143497</v>
      </c>
      <c r="B55" t="str">
        <f>HYPERLINK("http://www.ncbi.nlm.nih.gov/sites/entrez?cmd=retrieve&amp;db=gene&amp;list_uids=143497&amp;dopt=full_report", "LOC143497")</f>
        <v>LOC143497</v>
      </c>
      <c r="C55" s="10" t="s">
        <v>1112</v>
      </c>
      <c r="D55" s="13" t="s">
        <v>1633</v>
      </c>
      <c r="E55" s="12" t="s">
        <v>1112</v>
      </c>
      <c r="F55" s="12" t="s">
        <v>1112</v>
      </c>
      <c r="G55" s="12" t="s">
        <v>1112</v>
      </c>
      <c r="H55" s="12" t="s">
        <v>1112</v>
      </c>
      <c r="I55" s="12" t="s">
        <v>1112</v>
      </c>
      <c r="J55" s="12" t="s">
        <v>1112</v>
      </c>
      <c r="K55" s="28" t="s">
        <v>1197</v>
      </c>
      <c r="L55" s="28"/>
      <c r="M55" s="28"/>
      <c r="N55" s="28"/>
    </row>
    <row r="56" spans="1:31" ht="14">
      <c r="A56" t="str">
        <f>HYPERLINK("http://www.ncbi.nlm.nih.gov/sites/entrez?cmd=retrieve&amp;db=gene&amp;list_uids=80176&amp;dopt=full_report","80176")</f>
        <v>80176</v>
      </c>
      <c r="B56" t="str">
        <f>HYPERLINK("http://www.ncbi.nlm.nih.gov/sites/entrez?cmd=retrieve&amp;db=gene&amp;list_uids=80176&amp;dopt=full_report", "SPSB1")</f>
        <v>SPSB1</v>
      </c>
      <c r="C56" s="2" t="s">
        <v>191</v>
      </c>
      <c r="D56" s="13" t="s">
        <v>1633</v>
      </c>
      <c r="E56" s="3" t="s">
        <v>764</v>
      </c>
      <c r="F56" s="3" t="s">
        <v>1112</v>
      </c>
      <c r="G56" s="3" t="s">
        <v>1104</v>
      </c>
      <c r="H56" s="3" t="s">
        <v>192</v>
      </c>
      <c r="I56" s="3" t="s">
        <v>1112</v>
      </c>
      <c r="J56" s="3" t="s">
        <v>1145</v>
      </c>
      <c r="K56" s="25" t="s">
        <v>1198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31" ht="14">
      <c r="A57" t="str">
        <f>HYPERLINK("http://www.ncbi.nlm.nih.gov/sites/entrez?cmd=retrieve&amp;db=gene&amp;list_uids=1630&amp;dopt=full_report","1630")</f>
        <v>1630</v>
      </c>
      <c r="B57" t="str">
        <f>HYPERLINK("http://www.ncbi.nlm.nih.gov/sites/entrez?cmd=retrieve&amp;db=gene&amp;list_uids=1630&amp;dopt=full_report", "DCC")</f>
        <v>DCC</v>
      </c>
      <c r="C57" s="2" t="s">
        <v>193</v>
      </c>
      <c r="D57" s="13" t="s">
        <v>1633</v>
      </c>
      <c r="E57" s="3" t="s">
        <v>194</v>
      </c>
      <c r="F57" s="3" t="s">
        <v>195</v>
      </c>
      <c r="G57" s="3" t="s">
        <v>196</v>
      </c>
      <c r="H57" s="3" t="s">
        <v>197</v>
      </c>
      <c r="I57" s="3" t="s">
        <v>198</v>
      </c>
      <c r="J57" s="3" t="s">
        <v>1333</v>
      </c>
      <c r="K57" s="25" t="s">
        <v>1176</v>
      </c>
      <c r="L57" s="25"/>
      <c r="M57" s="25"/>
      <c r="N57" s="25"/>
    </row>
    <row r="58" spans="1:31" s="23" customFormat="1" ht="14">
      <c r="A58" s="23" t="str">
        <f>HYPERLINK("http://www.ncbi.nlm.nih.gov/sites/entrez?cmd=retrieve&amp;db=gene&amp;list_uids=392265&amp;dopt=full_report","392265")</f>
        <v>392265</v>
      </c>
      <c r="B58" s="23" t="str">
        <f>HYPERLINK("http://www.ncbi.nlm.nih.gov/sites/entrez?cmd=retrieve&amp;db=gene&amp;list_uids=392265&amp;dopt=full_report", "LOC392265")</f>
        <v>LOC392265</v>
      </c>
      <c r="C58" s="15" t="s">
        <v>199</v>
      </c>
      <c r="D58" s="16" t="s">
        <v>1632</v>
      </c>
      <c r="E58" s="23" t="s">
        <v>1112</v>
      </c>
      <c r="F58" s="23" t="s">
        <v>1112</v>
      </c>
      <c r="G58" s="23" t="s">
        <v>1112</v>
      </c>
      <c r="H58" s="23" t="s">
        <v>1112</v>
      </c>
      <c r="I58" s="23" t="s">
        <v>1112</v>
      </c>
      <c r="J58" s="23" t="s">
        <v>1112</v>
      </c>
      <c r="K58" s="26" t="s">
        <v>1177</v>
      </c>
      <c r="L58" s="26"/>
      <c r="M58" s="26"/>
      <c r="N58" s="26"/>
      <c r="O58" s="26"/>
    </row>
    <row r="59" spans="1:31" s="23" customFormat="1" ht="14">
      <c r="A59" s="23" t="str">
        <f>HYPERLINK("http://www.ncbi.nlm.nih.gov/sites/entrez?cmd=retrieve&amp;db=gene&amp;list_uids=6059&amp;dopt=full_report","6059")</f>
        <v>6059</v>
      </c>
      <c r="B59" s="23" t="str">
        <f>HYPERLINK("http://www.ncbi.nlm.nih.gov/sites/entrez?cmd=retrieve&amp;db=gene&amp;list_uids=6059&amp;dopt=full_report", "ABCE1")</f>
        <v>ABCE1</v>
      </c>
      <c r="C59" s="15" t="s">
        <v>200</v>
      </c>
      <c r="D59" s="16" t="s">
        <v>1632</v>
      </c>
      <c r="E59" s="23" t="s">
        <v>156</v>
      </c>
      <c r="F59" s="23" t="s">
        <v>201</v>
      </c>
      <c r="G59" s="23" t="s">
        <v>670</v>
      </c>
      <c r="H59" s="23" t="s">
        <v>202</v>
      </c>
      <c r="I59" s="23" t="s">
        <v>203</v>
      </c>
      <c r="J59" s="23" t="s">
        <v>1145</v>
      </c>
      <c r="K59" s="26" t="s">
        <v>1178</v>
      </c>
      <c r="L59" s="26"/>
    </row>
    <row r="60" spans="1:31" s="23" customFormat="1" ht="14">
      <c r="A60" s="23" t="str">
        <f>HYPERLINK("http://www.ncbi.nlm.nih.gov/sites/entrez?cmd=retrieve&amp;db=gene&amp;list_uids=81930&amp;dopt=full_report","81930")</f>
        <v>81930</v>
      </c>
      <c r="B60" s="23" t="str">
        <f>HYPERLINK("http://www.ncbi.nlm.nih.gov/sites/entrez?cmd=retrieve&amp;db=gene&amp;list_uids=81930&amp;dopt=full_report", "KIF18A")</f>
        <v>KIF18A</v>
      </c>
      <c r="C60" s="15" t="s">
        <v>204</v>
      </c>
      <c r="D60" s="16" t="s">
        <v>1632</v>
      </c>
      <c r="E60" s="23" t="s">
        <v>205</v>
      </c>
      <c r="F60" s="23" t="s">
        <v>497</v>
      </c>
      <c r="G60" s="23" t="s">
        <v>206</v>
      </c>
      <c r="H60" s="23" t="s">
        <v>499</v>
      </c>
      <c r="I60" s="23" t="s">
        <v>207</v>
      </c>
      <c r="J60" s="23" t="s">
        <v>501</v>
      </c>
      <c r="K60" s="26" t="s">
        <v>1182</v>
      </c>
      <c r="L60" s="26"/>
      <c r="M60" s="26"/>
    </row>
    <row r="61" spans="1:31" ht="14">
      <c r="A61" t="str">
        <f>HYPERLINK("http://www.ncbi.nlm.nih.gov/sites/entrez?cmd=retrieve&amp;db=gene&amp;list_uids=2566&amp;dopt=full_report","2566")</f>
        <v>2566</v>
      </c>
      <c r="B61" t="str">
        <f>HYPERLINK("http://www.ncbi.nlm.nih.gov/sites/entrez?cmd=retrieve&amp;db=gene&amp;list_uids=2566&amp;dopt=full_report", "GABRG2")</f>
        <v>GABRG2</v>
      </c>
      <c r="C61" s="2" t="s">
        <v>208</v>
      </c>
      <c r="D61" s="13" t="s">
        <v>1633</v>
      </c>
      <c r="E61" s="3" t="s">
        <v>209</v>
      </c>
      <c r="F61" s="3" t="s">
        <v>168</v>
      </c>
      <c r="G61" s="3" t="s">
        <v>169</v>
      </c>
      <c r="H61" s="3" t="s">
        <v>357</v>
      </c>
      <c r="I61" s="3" t="s">
        <v>170</v>
      </c>
      <c r="J61" s="3" t="s">
        <v>1334</v>
      </c>
      <c r="K61" s="25" t="s">
        <v>1217</v>
      </c>
      <c r="L61" s="25"/>
      <c r="M61" s="25"/>
      <c r="N61" s="25"/>
      <c r="O61" s="25"/>
      <c r="P61" s="25"/>
      <c r="Q61" s="25"/>
      <c r="R61" s="25"/>
    </row>
    <row r="62" spans="1:31" ht="14">
      <c r="A62" t="str">
        <f>HYPERLINK("http://www.ncbi.nlm.nih.gov/sites/entrez?cmd=retrieve&amp;db=gene&amp;list_uids=1778&amp;dopt=full_report","1778")</f>
        <v>1778</v>
      </c>
      <c r="B62" t="str">
        <f>HYPERLINK("http://www.ncbi.nlm.nih.gov/sites/entrez?cmd=retrieve&amp;db=gene&amp;list_uids=1778&amp;dopt=full_report", "DYNC1H1")</f>
        <v>DYNC1H1</v>
      </c>
      <c r="C62" s="2" t="s">
        <v>171</v>
      </c>
      <c r="D62" s="13" t="s">
        <v>1633</v>
      </c>
      <c r="E62" s="3" t="s">
        <v>172</v>
      </c>
      <c r="F62" s="3" t="s">
        <v>219</v>
      </c>
      <c r="G62" s="3" t="s">
        <v>80</v>
      </c>
      <c r="H62" s="3" t="s">
        <v>81</v>
      </c>
      <c r="I62" s="3" t="s">
        <v>220</v>
      </c>
      <c r="J62" s="3" t="s">
        <v>1399</v>
      </c>
      <c r="K62" s="25" t="s">
        <v>1182</v>
      </c>
      <c r="L62" s="25"/>
      <c r="M62" s="25"/>
    </row>
    <row r="63" spans="1:31" ht="14">
      <c r="A63" t="str">
        <f>HYPERLINK("http://www.ncbi.nlm.nih.gov/sites/entrez?cmd=retrieve&amp;db=gene&amp;list_uids=9445&amp;dopt=full_report","9445")</f>
        <v>9445</v>
      </c>
      <c r="B63" t="str">
        <f>HYPERLINK("http://www.ncbi.nlm.nih.gov/sites/entrez?cmd=retrieve&amp;db=gene&amp;list_uids=9445&amp;dopt=full_report", "ITM2B")</f>
        <v>ITM2B</v>
      </c>
      <c r="C63" s="2" t="s">
        <v>221</v>
      </c>
      <c r="D63" s="13" t="s">
        <v>1633</v>
      </c>
      <c r="E63" s="3" t="s">
        <v>222</v>
      </c>
      <c r="F63" s="3" t="s">
        <v>1112</v>
      </c>
      <c r="G63" s="3" t="s">
        <v>277</v>
      </c>
      <c r="H63" s="3" t="s">
        <v>110</v>
      </c>
      <c r="I63" s="3" t="s">
        <v>111</v>
      </c>
      <c r="J63" s="3" t="s">
        <v>895</v>
      </c>
      <c r="K63" s="25" t="s">
        <v>1218</v>
      </c>
      <c r="L63" s="25"/>
      <c r="M63" s="25"/>
      <c r="N63" s="25"/>
    </row>
    <row r="64" spans="1:31" ht="14">
      <c r="A64" t="str">
        <f>HYPERLINK("http://www.ncbi.nlm.nih.gov/sites/entrez?cmd=retrieve&amp;db=gene&amp;list_uids=2905&amp;dopt=full_report","2905")</f>
        <v>2905</v>
      </c>
      <c r="B64" t="str">
        <f>HYPERLINK("http://www.ncbi.nlm.nih.gov/sites/entrez?cmd=retrieve&amp;db=gene&amp;list_uids=2905&amp;dopt=full_report", "GRIN2C")</f>
        <v>GRIN2C</v>
      </c>
      <c r="C64" s="2" t="s">
        <v>112</v>
      </c>
      <c r="D64" s="13" t="s">
        <v>1633</v>
      </c>
      <c r="E64" s="3" t="s">
        <v>113</v>
      </c>
      <c r="F64" s="3" t="s">
        <v>173</v>
      </c>
      <c r="G64" s="3" t="s">
        <v>174</v>
      </c>
      <c r="H64" s="3" t="s">
        <v>922</v>
      </c>
      <c r="I64" s="3" t="s">
        <v>175</v>
      </c>
      <c r="J64" s="3" t="s">
        <v>924</v>
      </c>
      <c r="K64" s="25" t="s">
        <v>1219</v>
      </c>
      <c r="L64" s="25"/>
      <c r="M64" s="25"/>
      <c r="N64" s="25"/>
      <c r="O64" s="25"/>
      <c r="P64" s="25"/>
      <c r="Q64" s="25"/>
      <c r="R64" s="25"/>
      <c r="S64" s="25"/>
      <c r="T64" s="25"/>
    </row>
    <row r="65" spans="1:30" s="23" customFormat="1" ht="14">
      <c r="A65" s="23" t="str">
        <f>HYPERLINK("http://www.ncbi.nlm.nih.gov/sites/entrez?cmd=retrieve&amp;db=gene&amp;list_uids=3725&amp;dopt=full_report","3725")</f>
        <v>3725</v>
      </c>
      <c r="B65" s="23" t="str">
        <f>HYPERLINK("http://www.ncbi.nlm.nih.gov/sites/entrez?cmd=retrieve&amp;db=gene&amp;list_uids=3725&amp;dopt=full_report", "JUN")</f>
        <v>JUN</v>
      </c>
      <c r="C65" s="15" t="s">
        <v>176</v>
      </c>
      <c r="D65" s="16" t="s">
        <v>1632</v>
      </c>
      <c r="E65" s="23" t="s">
        <v>181</v>
      </c>
      <c r="F65" s="23" t="s">
        <v>182</v>
      </c>
      <c r="G65" s="23" t="s">
        <v>165</v>
      </c>
      <c r="H65" s="23" t="s">
        <v>166</v>
      </c>
      <c r="I65" s="23" t="s">
        <v>167</v>
      </c>
      <c r="J65" s="23" t="s">
        <v>762</v>
      </c>
      <c r="K65" s="26" t="s">
        <v>1220</v>
      </c>
      <c r="L65" s="26"/>
      <c r="M65" s="26"/>
      <c r="N65" s="26"/>
      <c r="O65" s="26"/>
      <c r="P65" s="26"/>
      <c r="Q65" s="26"/>
      <c r="R65" s="26"/>
      <c r="S65" s="26"/>
      <c r="T65" s="26"/>
    </row>
    <row r="66" spans="1:30" s="23" customFormat="1" ht="14">
      <c r="A66" s="23" t="str">
        <f>HYPERLINK("http://www.ncbi.nlm.nih.gov/sites/entrez?cmd=retrieve&amp;db=gene&amp;list_uids=6915&amp;dopt=full_report","6915")</f>
        <v>6915</v>
      </c>
      <c r="B66" s="23" t="str">
        <f>HYPERLINK("http://www.ncbi.nlm.nih.gov/sites/entrez?cmd=retrieve&amp;db=gene&amp;list_uids=6915&amp;dopt=full_report", "TBXA2R")</f>
        <v>TBXA2R</v>
      </c>
      <c r="C66" s="15" t="s">
        <v>183</v>
      </c>
      <c r="D66" s="16" t="s">
        <v>1632</v>
      </c>
      <c r="E66" s="23" t="s">
        <v>184</v>
      </c>
      <c r="F66" s="23" t="s">
        <v>185</v>
      </c>
      <c r="G66" s="23" t="s">
        <v>136</v>
      </c>
      <c r="H66" s="23" t="s">
        <v>137</v>
      </c>
      <c r="I66" s="23" t="s">
        <v>138</v>
      </c>
      <c r="J66" s="23" t="s">
        <v>590</v>
      </c>
      <c r="K66" s="26" t="s">
        <v>1221</v>
      </c>
      <c r="L66" s="26"/>
      <c r="M66" s="26"/>
      <c r="N66" s="26"/>
      <c r="O66" s="26"/>
      <c r="P66" s="26"/>
    </row>
    <row r="67" spans="1:30" ht="14">
      <c r="A67" t="str">
        <f>HYPERLINK("http://www.ncbi.nlm.nih.gov/sites/entrez?cmd=retrieve&amp;db=gene&amp;list_uids=2901&amp;dopt=full_report","2901")</f>
        <v>2901</v>
      </c>
      <c r="B67" t="str">
        <f>HYPERLINK("http://www.ncbi.nlm.nih.gov/sites/entrez?cmd=retrieve&amp;db=gene&amp;list_uids=2901&amp;dopt=full_report", "GRIK5")</f>
        <v>GRIK5</v>
      </c>
      <c r="C67" s="2" t="s">
        <v>139</v>
      </c>
      <c r="D67" s="13" t="s">
        <v>1633</v>
      </c>
      <c r="E67" s="3" t="s">
        <v>140</v>
      </c>
      <c r="F67" s="3" t="s">
        <v>141</v>
      </c>
      <c r="G67" s="3" t="s">
        <v>142</v>
      </c>
      <c r="H67" s="3" t="s">
        <v>922</v>
      </c>
      <c r="I67" s="3" t="s">
        <v>143</v>
      </c>
      <c r="J67" s="3" t="s">
        <v>924</v>
      </c>
      <c r="K67" s="25" t="s">
        <v>1222</v>
      </c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30" ht="14">
      <c r="A68" t="str">
        <f>HYPERLINK("http://www.ncbi.nlm.nih.gov/sites/entrez?cmd=retrieve&amp;db=gene&amp;list_uids=10479&amp;dopt=full_report","10479")</f>
        <v>10479</v>
      </c>
      <c r="B68" t="str">
        <f>HYPERLINK("http://www.ncbi.nlm.nih.gov/sites/entrez?cmd=retrieve&amp;db=gene&amp;list_uids=10479&amp;dopt=full_report", "SLC9A6")</f>
        <v>SLC9A6</v>
      </c>
      <c r="C68" s="2" t="s">
        <v>144</v>
      </c>
      <c r="D68" s="13" t="s">
        <v>1633</v>
      </c>
      <c r="E68" s="3" t="s">
        <v>393</v>
      </c>
      <c r="F68" s="3" t="s">
        <v>78</v>
      </c>
      <c r="G68" s="3" t="s">
        <v>79</v>
      </c>
      <c r="H68" s="3" t="s">
        <v>396</v>
      </c>
      <c r="I68" s="3" t="s">
        <v>115</v>
      </c>
      <c r="J68" s="3" t="s">
        <v>336</v>
      </c>
      <c r="K68" s="25" t="s">
        <v>1182</v>
      </c>
      <c r="L68" s="25"/>
      <c r="M68" s="25"/>
    </row>
    <row r="69" spans="1:30" ht="14">
      <c r="A69" t="str">
        <f>HYPERLINK("http://www.ncbi.nlm.nih.gov/sites/entrez?cmd=retrieve&amp;db=gene&amp;list_uids=10694&amp;dopt=full_report","10694")</f>
        <v>10694</v>
      </c>
      <c r="B69" t="str">
        <f>HYPERLINK("http://www.ncbi.nlm.nih.gov/sites/entrez?cmd=retrieve&amp;db=gene&amp;list_uids=10694&amp;dopt=full_report", "CCT8")</f>
        <v>CCT8</v>
      </c>
      <c r="C69" s="2" t="s">
        <v>116</v>
      </c>
      <c r="D69" s="13" t="s">
        <v>1633</v>
      </c>
      <c r="E69" s="3" t="s">
        <v>399</v>
      </c>
      <c r="F69" s="3" t="s">
        <v>177</v>
      </c>
      <c r="G69" s="3" t="s">
        <v>1104</v>
      </c>
      <c r="H69" s="3" t="s">
        <v>178</v>
      </c>
      <c r="I69" s="3" t="s">
        <v>179</v>
      </c>
      <c r="J69" s="3" t="s">
        <v>1400</v>
      </c>
      <c r="K69" s="25" t="s">
        <v>1223</v>
      </c>
      <c r="L69" s="25"/>
      <c r="M69" s="25"/>
      <c r="N69" s="25"/>
      <c r="O69" s="25"/>
      <c r="P69" s="25"/>
      <c r="Q69" s="25"/>
    </row>
    <row r="70" spans="1:30" s="7" customFormat="1" ht="14">
      <c r="A70" t="str">
        <f>HYPERLINK("http://www.ncbi.nlm.nih.gov/sites/entrez?cmd=retrieve&amp;db=gene&amp;list_uids=343295&amp;dopt=full_report","343295")</f>
        <v>343295</v>
      </c>
      <c r="B70" t="str">
        <f>HYPERLINK("http://www.ncbi.nlm.nih.gov/sites/entrez?cmd=retrieve&amp;db=gene&amp;list_uids=343295&amp;dopt=full_report", "LOC343295")</f>
        <v>LOC343295</v>
      </c>
      <c r="C70" s="8" t="s">
        <v>1112</v>
      </c>
      <c r="D70" s="13"/>
      <c r="E70" s="7" t="s">
        <v>1112</v>
      </c>
      <c r="F70" s="7" t="s">
        <v>1112</v>
      </c>
      <c r="G70" s="7" t="s">
        <v>1112</v>
      </c>
      <c r="H70" s="7" t="s">
        <v>1112</v>
      </c>
      <c r="I70" s="7" t="s">
        <v>1112</v>
      </c>
      <c r="J70" s="7" t="s">
        <v>1112</v>
      </c>
      <c r="K70" s="24" t="s">
        <v>1182</v>
      </c>
      <c r="L70" s="24"/>
      <c r="M70" s="24"/>
    </row>
    <row r="71" spans="1:30" ht="14">
      <c r="A71" t="str">
        <f>HYPERLINK("http://www.ncbi.nlm.nih.gov/sites/entrez?cmd=retrieve&amp;db=gene&amp;list_uids=19&amp;dopt=full_report","19")</f>
        <v>19</v>
      </c>
      <c r="B71" t="str">
        <f>HYPERLINK("http://www.ncbi.nlm.nih.gov/sites/entrez?cmd=retrieve&amp;db=gene&amp;list_uids=19&amp;dopt=full_report", "ABCA1")</f>
        <v>ABCA1</v>
      </c>
      <c r="C71" s="2" t="s">
        <v>82</v>
      </c>
      <c r="D71" s="13" t="s">
        <v>1633</v>
      </c>
      <c r="E71" s="3" t="s">
        <v>83</v>
      </c>
      <c r="F71" s="3" t="s">
        <v>145</v>
      </c>
      <c r="G71" s="3" t="s">
        <v>277</v>
      </c>
      <c r="H71" s="3" t="s">
        <v>146</v>
      </c>
      <c r="I71" s="3" t="s">
        <v>147</v>
      </c>
      <c r="J71" s="3" t="s">
        <v>407</v>
      </c>
      <c r="K71" s="25" t="s">
        <v>1212</v>
      </c>
      <c r="L71" s="25"/>
      <c r="M71" s="25"/>
      <c r="N71" s="25"/>
      <c r="O71" s="25"/>
      <c r="P71" s="25"/>
      <c r="Q71" s="25"/>
      <c r="R71" s="25"/>
      <c r="S71" s="25"/>
    </row>
    <row r="72" spans="1:30" s="33" customFormat="1" ht="14">
      <c r="A72" s="30" t="str">
        <f>HYPERLINK("http://www.ncbi.nlm.nih.gov/sites/entrez?cmd=retrieve&amp;db=gene&amp;list_uids=4654&amp;dopt=full_report","4654")</f>
        <v>4654</v>
      </c>
      <c r="B72" s="30" t="str">
        <f>HYPERLINK("http://www.ncbi.nlm.nih.gov/sites/entrez?cmd=retrieve&amp;db=gene&amp;list_uids=4654&amp;dopt=full_report", "MYOD1")</f>
        <v>MYOD1</v>
      </c>
      <c r="C72" s="31" t="s">
        <v>148</v>
      </c>
      <c r="D72" s="32"/>
      <c r="E72" s="33" t="s">
        <v>157</v>
      </c>
      <c r="F72" s="33" t="s">
        <v>158</v>
      </c>
      <c r="G72" s="33" t="s">
        <v>1122</v>
      </c>
      <c r="H72" s="33" t="s">
        <v>159</v>
      </c>
      <c r="I72" s="33" t="s">
        <v>160</v>
      </c>
      <c r="J72" s="33" t="s">
        <v>1124</v>
      </c>
      <c r="K72" s="34" t="s">
        <v>1188</v>
      </c>
      <c r="L72" s="34"/>
    </row>
    <row r="73" spans="1:30" s="23" customFormat="1" ht="14">
      <c r="A73" s="23" t="str">
        <f>HYPERLINK("http://www.ncbi.nlm.nih.gov/sites/entrez?cmd=retrieve&amp;db=gene&amp;list_uids=83540&amp;dopt=full_report","83540")</f>
        <v>83540</v>
      </c>
      <c r="B73" s="23" t="str">
        <f>HYPERLINK("http://www.ncbi.nlm.nih.gov/sites/entrez?cmd=retrieve&amp;db=gene&amp;list_uids=83540&amp;dopt=full_report", "NUF2")</f>
        <v>NUF2</v>
      </c>
      <c r="C73" s="15" t="s">
        <v>161</v>
      </c>
      <c r="D73" s="16" t="s">
        <v>1632</v>
      </c>
      <c r="E73" s="23" t="s">
        <v>162</v>
      </c>
      <c r="F73" s="23" t="s">
        <v>163</v>
      </c>
      <c r="G73" s="23" t="s">
        <v>164</v>
      </c>
      <c r="H73" s="23" t="s">
        <v>43</v>
      </c>
      <c r="I73" s="23" t="s">
        <v>44</v>
      </c>
      <c r="J73" s="23" t="s">
        <v>1401</v>
      </c>
      <c r="K73" s="26" t="s">
        <v>1189</v>
      </c>
      <c r="L73" s="26"/>
      <c r="M73" s="26"/>
      <c r="N73" s="26"/>
      <c r="O73" s="26"/>
      <c r="P73" s="26"/>
      <c r="Q73" s="26"/>
    </row>
    <row r="74" spans="1:30" ht="14">
      <c r="A74" t="str">
        <f>HYPERLINK("http://www.ncbi.nlm.nih.gov/sites/entrez?cmd=retrieve&amp;db=gene&amp;list_uids=148&amp;dopt=full_report","148")</f>
        <v>148</v>
      </c>
      <c r="B74" t="str">
        <f>HYPERLINK("http://www.ncbi.nlm.nih.gov/sites/entrez?cmd=retrieve&amp;db=gene&amp;list_uids=148&amp;dopt=full_report", "ADRA1A")</f>
        <v>ADRA1A</v>
      </c>
      <c r="C74" s="2" t="s">
        <v>46</v>
      </c>
      <c r="D74" s="13" t="s">
        <v>1633</v>
      </c>
      <c r="E74" s="3" t="s">
        <v>47</v>
      </c>
      <c r="F74" s="3" t="s">
        <v>103</v>
      </c>
      <c r="G74" s="3" t="s">
        <v>639</v>
      </c>
      <c r="H74" s="3" t="s">
        <v>588</v>
      </c>
      <c r="I74" s="3" t="s">
        <v>104</v>
      </c>
      <c r="J74" s="3" t="s">
        <v>590</v>
      </c>
      <c r="K74" s="25" t="s">
        <v>1182</v>
      </c>
      <c r="L74" s="25"/>
      <c r="M74" s="25"/>
    </row>
    <row r="75" spans="1:30" ht="14">
      <c r="A75" t="str">
        <f>HYPERLINK("http://www.ncbi.nlm.nih.gov/sites/entrez?cmd=retrieve&amp;db=gene&amp;list_uids=5190&amp;dopt=full_report","5190")</f>
        <v>5190</v>
      </c>
      <c r="B75" t="str">
        <f>HYPERLINK("http://www.ncbi.nlm.nih.gov/sites/entrez?cmd=retrieve&amp;db=gene&amp;list_uids=5190&amp;dopt=full_report", "PEX6")</f>
        <v>PEX6</v>
      </c>
      <c r="C75" s="2" t="s">
        <v>105</v>
      </c>
      <c r="D75" s="13" t="s">
        <v>1633</v>
      </c>
      <c r="E75" s="3" t="s">
        <v>106</v>
      </c>
      <c r="F75" s="3" t="s">
        <v>107</v>
      </c>
      <c r="G75" s="3" t="s">
        <v>108</v>
      </c>
      <c r="H75" s="3" t="s">
        <v>109</v>
      </c>
      <c r="I75" s="3" t="s">
        <v>57</v>
      </c>
      <c r="J75" s="3" t="s">
        <v>1145</v>
      </c>
      <c r="K75" s="25" t="s">
        <v>1224</v>
      </c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ht="14">
      <c r="A76" t="str">
        <f>HYPERLINK("http://www.ncbi.nlm.nih.gov/sites/entrez?cmd=retrieve&amp;db=gene&amp;list_uids=7455&amp;dopt=full_report","7455")</f>
        <v>7455</v>
      </c>
      <c r="B76" t="str">
        <f>HYPERLINK("http://www.ncbi.nlm.nih.gov/sites/entrez?cmd=retrieve&amp;db=gene&amp;list_uids=7455&amp;dopt=full_report", "ZAN")</f>
        <v>ZAN</v>
      </c>
      <c r="C76" s="2" t="s">
        <v>58</v>
      </c>
      <c r="D76" s="13" t="s">
        <v>1633</v>
      </c>
      <c r="E76" s="3" t="s">
        <v>59</v>
      </c>
      <c r="F76" s="3" t="s">
        <v>933</v>
      </c>
      <c r="G76" s="3" t="s">
        <v>60</v>
      </c>
      <c r="H76" s="3" t="s">
        <v>61</v>
      </c>
      <c r="I76" s="3" t="s">
        <v>62</v>
      </c>
      <c r="J76" s="3" t="s">
        <v>1402</v>
      </c>
      <c r="K76" s="25" t="s">
        <v>1225</v>
      </c>
      <c r="L76" s="25"/>
      <c r="M76" s="25"/>
      <c r="N76" s="25"/>
    </row>
    <row r="77" spans="1:30" s="23" customFormat="1" ht="14">
      <c r="A77" s="23" t="str">
        <f>HYPERLINK("http://www.ncbi.nlm.nih.gov/sites/entrez?cmd=retrieve&amp;db=gene&amp;list_uids=9700&amp;dopt=full_report","9700")</f>
        <v>9700</v>
      </c>
      <c r="B77" s="23" t="str">
        <f>HYPERLINK("http://www.ncbi.nlm.nih.gov/sites/entrez?cmd=retrieve&amp;db=gene&amp;list_uids=9700&amp;dopt=full_report", "ESPL1")</f>
        <v>ESPL1</v>
      </c>
      <c r="C77" s="15" t="s">
        <v>63</v>
      </c>
      <c r="D77" s="16" t="s">
        <v>1632</v>
      </c>
      <c r="E77" s="17" t="s">
        <v>64</v>
      </c>
      <c r="F77" s="23" t="s">
        <v>114</v>
      </c>
      <c r="G77" s="23" t="s">
        <v>99</v>
      </c>
      <c r="H77" s="23" t="s">
        <v>100</v>
      </c>
      <c r="I77" s="23" t="s">
        <v>1112</v>
      </c>
      <c r="J77" s="23" t="s">
        <v>1403</v>
      </c>
      <c r="K77" s="26" t="s">
        <v>1207</v>
      </c>
      <c r="L77" s="26"/>
      <c r="M77" s="26"/>
      <c r="N77" s="26"/>
      <c r="O77" s="26"/>
    </row>
    <row r="78" spans="1:30" s="30" customFormat="1" ht="14">
      <c r="A78" s="30" t="str">
        <f>HYPERLINK("http://www.ncbi.nlm.nih.gov/sites/entrez?cmd=retrieve&amp;db=gene&amp;list_uids=29101&amp;dopt=full_report","29101")</f>
        <v>29101</v>
      </c>
      <c r="B78" s="30" t="str">
        <f>HYPERLINK("http://www.ncbi.nlm.nih.gov/sites/entrez?cmd=retrieve&amp;db=gene&amp;list_uids=29101&amp;dopt=full_report", "SSU72")</f>
        <v>SSU72</v>
      </c>
      <c r="C78" s="35" t="s">
        <v>101</v>
      </c>
      <c r="D78" s="32" t="s">
        <v>1112</v>
      </c>
      <c r="E78" s="30" t="s">
        <v>1112</v>
      </c>
      <c r="F78" s="30" t="s">
        <v>1112</v>
      </c>
      <c r="G78" s="30" t="s">
        <v>1112</v>
      </c>
      <c r="H78" s="30" t="s">
        <v>1093</v>
      </c>
      <c r="I78" s="30" t="s">
        <v>1094</v>
      </c>
      <c r="J78" s="30" t="s">
        <v>1145</v>
      </c>
      <c r="K78" s="36" t="s">
        <v>1230</v>
      </c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</row>
    <row r="79" spans="1:30" ht="14">
      <c r="A79" t="str">
        <f>HYPERLINK("http://www.ncbi.nlm.nih.gov/sites/entrez?cmd=retrieve&amp;db=gene&amp;list_uids=3029&amp;dopt=full_report","3029")</f>
        <v>3029</v>
      </c>
      <c r="B79" t="str">
        <f>HYPERLINK("http://www.ncbi.nlm.nih.gov/sites/entrez?cmd=retrieve&amp;db=gene&amp;list_uids=3029&amp;dopt=full_report", "HAGH")</f>
        <v>HAGH</v>
      </c>
      <c r="C79" s="2" t="s">
        <v>102</v>
      </c>
      <c r="D79" s="13" t="s">
        <v>1633</v>
      </c>
      <c r="E79" s="3" t="s">
        <v>1112</v>
      </c>
      <c r="F79" s="3" t="s">
        <v>123</v>
      </c>
      <c r="G79" s="3" t="s">
        <v>1112</v>
      </c>
      <c r="H79" s="3" t="s">
        <v>124</v>
      </c>
      <c r="I79" s="3" t="s">
        <v>125</v>
      </c>
      <c r="J79" s="3" t="s">
        <v>1404</v>
      </c>
      <c r="K79" s="25" t="s">
        <v>1231</v>
      </c>
      <c r="L79" s="25"/>
      <c r="M79" s="25"/>
      <c r="N79" s="25"/>
      <c r="O79" s="25"/>
      <c r="P79" s="25"/>
      <c r="Q79" s="25"/>
    </row>
    <row r="80" spans="1:30" s="30" customFormat="1" ht="14">
      <c r="A80" s="30" t="str">
        <f>HYPERLINK("http://www.ncbi.nlm.nih.gov/sites/entrez?cmd=retrieve&amp;db=gene&amp;list_uids=1173&amp;dopt=full_report","1173")</f>
        <v>1173</v>
      </c>
      <c r="B80" s="30" t="str">
        <f>HYPERLINK("http://www.ncbi.nlm.nih.gov/sites/entrez?cmd=retrieve&amp;db=gene&amp;list_uids=1173&amp;dopt=full_report", "AP2M1")</f>
        <v>AP2M1</v>
      </c>
      <c r="C80" s="35" t="s">
        <v>126</v>
      </c>
      <c r="D80" s="32"/>
      <c r="E80" s="30" t="s">
        <v>127</v>
      </c>
      <c r="F80" s="30" t="s">
        <v>128</v>
      </c>
      <c r="G80" s="30" t="s">
        <v>129</v>
      </c>
      <c r="H80" s="30" t="s">
        <v>130</v>
      </c>
      <c r="I80" s="30" t="s">
        <v>131</v>
      </c>
      <c r="J80" s="30" t="s">
        <v>1145</v>
      </c>
      <c r="K80" s="36" t="s">
        <v>1218</v>
      </c>
      <c r="L80" s="36"/>
      <c r="M80" s="36"/>
      <c r="N80" s="36"/>
    </row>
    <row r="81" spans="1:15" ht="14">
      <c r="A81" t="str">
        <f>HYPERLINK("http://www.ncbi.nlm.nih.gov/sites/entrez?cmd=retrieve&amp;db=gene&amp;list_uids=117286&amp;dopt=full_report","117286")</f>
        <v>117286</v>
      </c>
      <c r="B81" t="str">
        <f>HYPERLINK("http://www.ncbi.nlm.nih.gov/sites/entrez?cmd=retrieve&amp;db=gene&amp;list_uids=117286&amp;dopt=full_report", "CIB3")</f>
        <v>CIB3</v>
      </c>
      <c r="C81" s="2" t="s">
        <v>132</v>
      </c>
      <c r="D81" s="13" t="s">
        <v>1633</v>
      </c>
      <c r="E81" s="3" t="s">
        <v>1112</v>
      </c>
      <c r="F81" s="3" t="s">
        <v>133</v>
      </c>
      <c r="G81" s="3" t="s">
        <v>1112</v>
      </c>
      <c r="H81" s="3" t="s">
        <v>134</v>
      </c>
      <c r="I81" s="3" t="s">
        <v>135</v>
      </c>
      <c r="J81" s="3" t="s">
        <v>1405</v>
      </c>
      <c r="K81" s="25" t="s">
        <v>1216</v>
      </c>
      <c r="L81" s="25"/>
      <c r="M81" s="25"/>
      <c r="N81" s="25"/>
      <c r="O81" s="25"/>
    </row>
    <row r="82" spans="1:15" s="23" customFormat="1" ht="14">
      <c r="A82" s="23" t="str">
        <f>HYPERLINK("http://www.ncbi.nlm.nih.gov/sites/entrez?cmd=retrieve&amp;db=gene&amp;list_uids=1068&amp;dopt=full_report","1068")</f>
        <v>1068</v>
      </c>
      <c r="B82" s="23" t="str">
        <f>HYPERLINK("http://www.ncbi.nlm.nih.gov/sites/entrez?cmd=retrieve&amp;db=gene&amp;list_uids=1068&amp;dopt=full_report", "CETN1")</f>
        <v>CETN1</v>
      </c>
      <c r="C82" s="15" t="s">
        <v>73</v>
      </c>
      <c r="D82" s="16" t="s">
        <v>1632</v>
      </c>
      <c r="E82" s="23" t="s">
        <v>74</v>
      </c>
      <c r="F82" s="23" t="s">
        <v>133</v>
      </c>
      <c r="G82" s="23" t="s">
        <v>75</v>
      </c>
      <c r="H82" s="23" t="s">
        <v>76</v>
      </c>
      <c r="I82" s="23" t="s">
        <v>77</v>
      </c>
      <c r="J82" s="23" t="s">
        <v>1213</v>
      </c>
      <c r="K82" s="26" t="s">
        <v>1197</v>
      </c>
      <c r="L82" s="26"/>
      <c r="M82" s="26"/>
      <c r="N82" s="26"/>
    </row>
    <row r="83" spans="1:15" ht="14">
      <c r="A83" s="3" t="str">
        <f>HYPERLINK("http://www.ncbi.nlm.nih.gov/sites/entrez?cmd=retrieve&amp;db=gene&amp;list_uids=40&amp;dopt=full_report","40")</f>
        <v>40</v>
      </c>
      <c r="B83" s="3" t="str">
        <f>HYPERLINK("http://www.ncbi.nlm.nih.gov/sites/entrez?cmd=retrieve&amp;db=gene&amp;list_uids=40&amp;dopt=full_report", "ACCN1")</f>
        <v>ACCN1</v>
      </c>
      <c r="C83" s="2" t="s">
        <v>42</v>
      </c>
      <c r="D83" s="13" t="s">
        <v>1633</v>
      </c>
      <c r="E83" s="4" t="s">
        <v>121</v>
      </c>
      <c r="F83" s="3" t="s">
        <v>48</v>
      </c>
      <c r="G83" s="3" t="s">
        <v>49</v>
      </c>
      <c r="H83" s="3" t="s">
        <v>278</v>
      </c>
      <c r="I83" s="3" t="s">
        <v>50</v>
      </c>
      <c r="J83" s="3" t="s">
        <v>1065</v>
      </c>
      <c r="K83" s="3" t="s">
        <v>16</v>
      </c>
    </row>
    <row r="84" spans="1:15" ht="14">
      <c r="A84" s="3" t="str">
        <f>HYPERLINK("http://www.ncbi.nlm.nih.gov/sites/entrez?cmd=retrieve&amp;db=gene&amp;list_uids=2533&amp;dopt=full_report","2533")</f>
        <v>2533</v>
      </c>
      <c r="B84" s="3" t="str">
        <f>HYPERLINK("http://www.ncbi.nlm.nih.gov/sites/entrez?cmd=retrieve&amp;db=gene&amp;list_uids=2533&amp;dopt=full_report", "FYB")</f>
        <v>FYB</v>
      </c>
      <c r="C84" s="2" t="s">
        <v>51</v>
      </c>
      <c r="D84" s="13" t="s">
        <v>1633</v>
      </c>
      <c r="E84" s="3" t="s">
        <v>84</v>
      </c>
      <c r="F84" s="3" t="s">
        <v>149</v>
      </c>
      <c r="G84" s="3" t="s">
        <v>150</v>
      </c>
      <c r="H84" s="3" t="s">
        <v>151</v>
      </c>
      <c r="I84" s="3" t="s">
        <v>152</v>
      </c>
      <c r="J84" s="3" t="s">
        <v>895</v>
      </c>
      <c r="K84" s="3" t="s">
        <v>85</v>
      </c>
    </row>
    <row r="85" spans="1:15" s="23" customFormat="1" ht="14">
      <c r="A85" s="29" t="str">
        <f>HYPERLINK("http://www.ncbi.nlm.nih.gov/sites/entrez?cmd=retrieve&amp;db=gene&amp;list_uids=10592&amp;dopt=full_report","10592")</f>
        <v>10592</v>
      </c>
      <c r="B85" s="23" t="str">
        <f>HYPERLINK("http://www.ncbi.nlm.nih.gov/sites/entrez?cmd=retrieve&amp;db=gene&amp;list_uids=10592&amp;dopt=full_report", "SMC2")</f>
        <v>SMC2</v>
      </c>
      <c r="C85" s="15" t="s">
        <v>153</v>
      </c>
      <c r="D85" s="16" t="s">
        <v>1632</v>
      </c>
      <c r="E85" s="23" t="s">
        <v>154</v>
      </c>
      <c r="F85" s="23" t="s">
        <v>155</v>
      </c>
      <c r="G85" s="23" t="s">
        <v>92</v>
      </c>
      <c r="H85" s="23" t="s">
        <v>93</v>
      </c>
      <c r="I85" s="23" t="s">
        <v>94</v>
      </c>
      <c r="J85" s="23" t="s">
        <v>1337</v>
      </c>
      <c r="K85" s="23" t="s">
        <v>72</v>
      </c>
    </row>
    <row r="86" spans="1:15" s="23" customFormat="1" ht="14">
      <c r="A86" s="23" t="str">
        <f>HYPERLINK("http://www.ncbi.nlm.nih.gov/sites/entrez?cmd=retrieve&amp;db=gene&amp;list_uids=55165&amp;dopt=full_report","55165")</f>
        <v>55165</v>
      </c>
      <c r="B86" s="23" t="str">
        <f>HYPERLINK("http://www.ncbi.nlm.nih.gov/sites/entrez?cmd=retrieve&amp;db=gene&amp;list_uids=55165&amp;dopt=full_report", "CEP55")</f>
        <v>CEP55</v>
      </c>
      <c r="C86" s="15" t="s">
        <v>95</v>
      </c>
      <c r="D86" s="16" t="s">
        <v>1632</v>
      </c>
      <c r="E86" s="23" t="s">
        <v>96</v>
      </c>
      <c r="F86" s="23" t="s">
        <v>1112</v>
      </c>
      <c r="G86" s="23" t="s">
        <v>1112</v>
      </c>
      <c r="H86" s="23" t="s">
        <v>934</v>
      </c>
      <c r="I86" s="23" t="s">
        <v>1112</v>
      </c>
      <c r="J86" s="23" t="s">
        <v>1145</v>
      </c>
      <c r="K86" s="23" t="s">
        <v>1</v>
      </c>
    </row>
    <row r="87" spans="1:15" s="23" customFormat="1" ht="14">
      <c r="A87" s="23" t="str">
        <f>HYPERLINK("http://www.ncbi.nlm.nih.gov/sites/entrez?cmd=retrieve&amp;db=gene&amp;list_uids=3619&amp;dopt=full_report","3619")</f>
        <v>3619</v>
      </c>
      <c r="B87" s="23" t="str">
        <f>HYPERLINK("http://www.ncbi.nlm.nih.gov/sites/entrez?cmd=retrieve&amp;db=gene&amp;list_uids=3619&amp;dopt=full_report", "INCENP")</f>
        <v>INCENP</v>
      </c>
      <c r="C87" s="15" t="s">
        <v>97</v>
      </c>
      <c r="D87" s="16" t="s">
        <v>1632</v>
      </c>
      <c r="E87" s="23" t="s">
        <v>98</v>
      </c>
      <c r="F87" s="23" t="s">
        <v>933</v>
      </c>
      <c r="G87" s="23" t="s">
        <v>18</v>
      </c>
      <c r="H87" s="23" t="s">
        <v>19</v>
      </c>
      <c r="I87" s="23" t="s">
        <v>1112</v>
      </c>
      <c r="J87" s="23" t="s">
        <v>1338</v>
      </c>
      <c r="K87" s="23" t="s">
        <v>45</v>
      </c>
    </row>
    <row r="88" spans="1:15" ht="14">
      <c r="A88" s="3" t="str">
        <f>HYPERLINK("http://www.ncbi.nlm.nih.gov/sites/entrez?cmd=retrieve&amp;db=gene&amp;list_uids=51136&amp;dopt=full_report","51136")</f>
        <v>51136</v>
      </c>
      <c r="B88" s="3" t="str">
        <f>HYPERLINK("http://www.ncbi.nlm.nih.gov/sites/entrez?cmd=retrieve&amp;db=gene&amp;list_uids=51136&amp;dopt=full_report", "LOC51136")</f>
        <v>LOC51136</v>
      </c>
      <c r="C88" s="2" t="s">
        <v>20</v>
      </c>
      <c r="D88" s="13" t="s">
        <v>1633</v>
      </c>
      <c r="E88" s="3" t="s">
        <v>1112</v>
      </c>
      <c r="F88" s="3" t="s">
        <v>1143</v>
      </c>
      <c r="G88" s="3" t="s">
        <v>1112</v>
      </c>
      <c r="H88" s="3" t="s">
        <v>54</v>
      </c>
      <c r="I88" s="3" t="s">
        <v>1112</v>
      </c>
      <c r="J88" s="3" t="s">
        <v>1145</v>
      </c>
    </row>
    <row r="89" spans="1:15" ht="14">
      <c r="A89" s="3" t="str">
        <f>HYPERLINK("http://www.ncbi.nlm.nih.gov/sites/entrez?cmd=retrieve&amp;db=gene&amp;list_uids=3192&amp;dopt=full_report","3192")</f>
        <v>3192</v>
      </c>
      <c r="B89" s="3" t="str">
        <f>HYPERLINK("http://www.ncbi.nlm.nih.gov/sites/entrez?cmd=retrieve&amp;db=gene&amp;list_uids=3192&amp;dopt=full_report", "HNRNPU")</f>
        <v>HNRNPU</v>
      </c>
      <c r="C89" s="2" t="s">
        <v>55</v>
      </c>
      <c r="D89" s="13" t="s">
        <v>1633</v>
      </c>
      <c r="E89" s="3" t="s">
        <v>56</v>
      </c>
      <c r="F89" s="3" t="s">
        <v>25</v>
      </c>
      <c r="G89" s="3" t="s">
        <v>26</v>
      </c>
      <c r="H89" s="3" t="s">
        <v>27</v>
      </c>
      <c r="I89" s="3" t="s">
        <v>28</v>
      </c>
      <c r="J89" s="3" t="s">
        <v>1406</v>
      </c>
    </row>
    <row r="90" spans="1:15" s="23" customFormat="1" ht="14">
      <c r="A90" s="23" t="str">
        <f>HYPERLINK("http://www.ncbi.nlm.nih.gov/sites/entrez?cmd=retrieve&amp;db=gene&amp;list_uids=79577&amp;dopt=full_report","79577")</f>
        <v>79577</v>
      </c>
      <c r="B90" s="29" t="str">
        <f>HYPERLINK("http://www.ncbi.nlm.nih.gov/sites/entrez?cmd=retrieve&amp;db=gene&amp;list_uids=79577&amp;dopt=full_report", "CDC73")</f>
        <v>CDC73</v>
      </c>
      <c r="C90" s="15" t="s">
        <v>29</v>
      </c>
      <c r="D90" s="16" t="s">
        <v>1632</v>
      </c>
      <c r="E90" s="23" t="s">
        <v>30</v>
      </c>
      <c r="F90" s="23" t="s">
        <v>933</v>
      </c>
      <c r="G90" s="23" t="s">
        <v>1112</v>
      </c>
      <c r="H90" s="23" t="s">
        <v>31</v>
      </c>
      <c r="I90" s="23" t="s">
        <v>32</v>
      </c>
      <c r="J90" s="23" t="s">
        <v>895</v>
      </c>
    </row>
    <row r="91" spans="1:15" ht="14">
      <c r="A91" s="3" t="str">
        <f>HYPERLINK("http://www.ncbi.nlm.nih.gov/sites/entrez?cmd=retrieve&amp;db=gene&amp;list_uids=84930&amp;dopt=full_report","84930")</f>
        <v>84930</v>
      </c>
      <c r="B91" s="3" t="str">
        <f>HYPERLINK("http://www.ncbi.nlm.nih.gov/sites/entrez?cmd=retrieve&amp;db=gene&amp;list_uids=84930&amp;dopt=full_report", "MASTL")</f>
        <v>MASTL</v>
      </c>
      <c r="C91" s="2" t="s">
        <v>33</v>
      </c>
      <c r="D91" s="13" t="s">
        <v>1633</v>
      </c>
      <c r="E91" s="3" t="s">
        <v>890</v>
      </c>
      <c r="F91" s="3" t="s">
        <v>466</v>
      </c>
      <c r="G91" s="3" t="s">
        <v>1112</v>
      </c>
      <c r="H91" s="3" t="s">
        <v>34</v>
      </c>
      <c r="I91" s="3" t="s">
        <v>35</v>
      </c>
      <c r="J91" s="3" t="s">
        <v>816</v>
      </c>
    </row>
    <row r="92" spans="1:15" s="33" customFormat="1" ht="14">
      <c r="A92" s="33" t="str">
        <f>HYPERLINK("http://www.ncbi.nlm.nih.gov/sites/entrez?cmd=retrieve&amp;db=gene&amp;list_uids=10062&amp;dopt=full_report","10062")</f>
        <v>10062</v>
      </c>
      <c r="B92" s="33" t="str">
        <f>HYPERLINK("http://www.ncbi.nlm.nih.gov/sites/entrez?cmd=retrieve&amp;db=gene&amp;list_uids=10062&amp;dopt=full_report", "NR1H3")</f>
        <v>NR1H3</v>
      </c>
      <c r="C92" s="31" t="s">
        <v>36</v>
      </c>
      <c r="D92" s="32"/>
      <c r="E92" s="33" t="s">
        <v>37</v>
      </c>
      <c r="F92" s="33" t="s">
        <v>117</v>
      </c>
      <c r="G92" s="33" t="s">
        <v>546</v>
      </c>
      <c r="H92" s="33" t="s">
        <v>118</v>
      </c>
      <c r="I92" s="33" t="s">
        <v>119</v>
      </c>
      <c r="J92" s="33" t="s">
        <v>1237</v>
      </c>
    </row>
    <row r="93" spans="1:15" s="23" customFormat="1" ht="14">
      <c r="A93" s="23" t="str">
        <f>HYPERLINK("http://www.ncbi.nlm.nih.gov/sites/entrez?cmd=retrieve&amp;db=gene&amp;list_uids=10112&amp;dopt=full_report","10112")</f>
        <v>10112</v>
      </c>
      <c r="B93" s="23" t="str">
        <f>HYPERLINK("http://www.ncbi.nlm.nih.gov/sites/entrez?cmd=retrieve&amp;db=gene&amp;list_uids=10112&amp;dopt=full_report", "KIF20A")</f>
        <v>KIF20A</v>
      </c>
      <c r="C93" s="15" t="s">
        <v>120</v>
      </c>
      <c r="D93" s="16" t="s">
        <v>1632</v>
      </c>
      <c r="E93" s="23" t="s">
        <v>7</v>
      </c>
      <c r="F93" s="23" t="s">
        <v>8</v>
      </c>
      <c r="G93" s="23" t="s">
        <v>9</v>
      </c>
      <c r="H93" s="23" t="s">
        <v>499</v>
      </c>
      <c r="I93" s="23" t="s">
        <v>10</v>
      </c>
      <c r="J93" s="23" t="s">
        <v>501</v>
      </c>
    </row>
    <row r="94" spans="1:15" ht="14">
      <c r="A94" s="3" t="str">
        <f>HYPERLINK("http://www.ncbi.nlm.nih.gov/sites/entrez?cmd=retrieve&amp;db=gene&amp;list_uids=759&amp;dopt=full_report","759")</f>
        <v>759</v>
      </c>
      <c r="B94" s="3" t="str">
        <f>HYPERLINK("http://www.ncbi.nlm.nih.gov/sites/entrez?cmd=retrieve&amp;db=gene&amp;list_uids=759&amp;dopt=full_report", "CA1")</f>
        <v>CA1</v>
      </c>
      <c r="C94" s="2" t="s">
        <v>122</v>
      </c>
      <c r="D94" s="13" t="s">
        <v>1633</v>
      </c>
      <c r="E94" s="3" t="s">
        <v>65</v>
      </c>
      <c r="F94" s="3" t="s">
        <v>66</v>
      </c>
      <c r="G94" s="3" t="s">
        <v>1104</v>
      </c>
      <c r="H94" s="3" t="s">
        <v>67</v>
      </c>
      <c r="I94" s="3" t="s">
        <v>68</v>
      </c>
      <c r="J94" s="3" t="s">
        <v>1407</v>
      </c>
    </row>
    <row r="95" spans="1:15" s="23" customFormat="1" ht="14">
      <c r="A95" s="23" t="str">
        <f>HYPERLINK("http://www.ncbi.nlm.nih.gov/sites/entrez?cmd=retrieve&amp;db=gene&amp;list_uids=1639&amp;dopt=full_report","1639")</f>
        <v>1639</v>
      </c>
      <c r="B95" s="23" t="str">
        <f>HYPERLINK("http://www.ncbi.nlm.nih.gov/sites/entrez?cmd=retrieve&amp;db=gene&amp;list_uids=1639&amp;dopt=full_report", "DCTN1")</f>
        <v>DCTN1</v>
      </c>
      <c r="C95" s="15" t="s">
        <v>69</v>
      </c>
      <c r="D95" s="16" t="s">
        <v>1632</v>
      </c>
      <c r="E95" s="23" t="s">
        <v>70</v>
      </c>
      <c r="F95" s="23" t="s">
        <v>71</v>
      </c>
      <c r="G95" s="23" t="s">
        <v>38</v>
      </c>
      <c r="H95" s="23" t="s">
        <v>39</v>
      </c>
      <c r="I95" s="23" t="s">
        <v>40</v>
      </c>
      <c r="J95" s="23" t="s">
        <v>1408</v>
      </c>
    </row>
    <row r="96" spans="1:15" ht="14">
      <c r="A96" s="3" t="str">
        <f>HYPERLINK("http://www.ncbi.nlm.nih.gov/sites/entrez?cmd=retrieve&amp;db=gene&amp;list_uids=5527&amp;dopt=full_report","5527")</f>
        <v>5527</v>
      </c>
      <c r="B96" s="3" t="str">
        <f>HYPERLINK("http://www.ncbi.nlm.nih.gov/sites/entrez?cmd=retrieve&amp;db=gene&amp;list_uids=5527&amp;dopt=full_report", "PPP2R5C")</f>
        <v>PPP2R5C</v>
      </c>
      <c r="C96" s="2" t="s">
        <v>41</v>
      </c>
      <c r="D96" s="13" t="s">
        <v>1633</v>
      </c>
      <c r="E96" s="3" t="s">
        <v>11</v>
      </c>
      <c r="F96" s="3" t="s">
        <v>12</v>
      </c>
      <c r="G96" s="3" t="s">
        <v>13</v>
      </c>
      <c r="H96" s="3" t="s">
        <v>14</v>
      </c>
      <c r="I96" s="3" t="s">
        <v>1112</v>
      </c>
      <c r="J96" s="3" t="s">
        <v>15</v>
      </c>
    </row>
    <row r="97" spans="1:10" s="23" customFormat="1" ht="14">
      <c r="A97" s="23" t="str">
        <f>HYPERLINK("http://www.ncbi.nlm.nih.gov/sites/entrez?cmd=retrieve&amp;db=gene&amp;list_uids=64682&amp;dopt=full_report","64682")</f>
        <v>64682</v>
      </c>
      <c r="B97" s="23" t="str">
        <f>HYPERLINK("http://www.ncbi.nlm.nih.gov/sites/entrez?cmd=retrieve&amp;db=gene&amp;list_uids=64682&amp;dopt=full_report", "ANAPC1")</f>
        <v>ANAPC1</v>
      </c>
      <c r="C97" s="15" t="s">
        <v>17</v>
      </c>
      <c r="D97" s="16" t="s">
        <v>1632</v>
      </c>
      <c r="E97" s="23" t="s">
        <v>21</v>
      </c>
      <c r="F97" s="23" t="s">
        <v>1112</v>
      </c>
      <c r="G97" s="23" t="s">
        <v>1112</v>
      </c>
      <c r="H97" s="23" t="s">
        <v>22</v>
      </c>
      <c r="I97" s="23" t="s">
        <v>1112</v>
      </c>
      <c r="J97" s="23" t="s">
        <v>576</v>
      </c>
    </row>
    <row r="98" spans="1:10" s="23" customFormat="1" ht="14">
      <c r="A98" s="23" t="str">
        <f>HYPERLINK("http://www.ncbi.nlm.nih.gov/sites/entrez?cmd=retrieve&amp;db=gene&amp;list_uids=1894&amp;dopt=full_report","1894")</f>
        <v>1894</v>
      </c>
      <c r="B98" s="23" t="str">
        <f>HYPERLINK("http://www.ncbi.nlm.nih.gov/sites/entrez?cmd=retrieve&amp;db=gene&amp;list_uids=1894&amp;dopt=full_report", "ECT2")</f>
        <v>ECT2</v>
      </c>
      <c r="C98" s="15" t="s">
        <v>86</v>
      </c>
      <c r="D98" s="16" t="s">
        <v>1632</v>
      </c>
      <c r="E98" s="23" t="s">
        <v>87</v>
      </c>
      <c r="F98" s="23" t="s">
        <v>88</v>
      </c>
      <c r="G98" s="23" t="s">
        <v>957</v>
      </c>
      <c r="H98" s="23" t="s">
        <v>89</v>
      </c>
      <c r="I98" s="23" t="s">
        <v>1112</v>
      </c>
      <c r="J98" s="23" t="s">
        <v>90</v>
      </c>
    </row>
    <row r="99" spans="1:10" ht="14">
      <c r="A99" s="3" t="str">
        <f>HYPERLINK("http://www.ncbi.nlm.nih.gov/sites/entrez?cmd=retrieve&amp;db=gene&amp;list_uids=3949&amp;dopt=full_report","3949")</f>
        <v>3949</v>
      </c>
      <c r="B99" s="3" t="str">
        <f>HYPERLINK("http://www.ncbi.nlm.nih.gov/sites/entrez?cmd=retrieve&amp;db=gene&amp;list_uids=3949&amp;dopt=full_report", "LDLR")</f>
        <v>LDLR</v>
      </c>
      <c r="C99" s="2" t="s">
        <v>91</v>
      </c>
      <c r="D99" s="13" t="s">
        <v>1633</v>
      </c>
      <c r="E99" s="3" t="s">
        <v>52</v>
      </c>
      <c r="F99" s="3" t="s">
        <v>53</v>
      </c>
      <c r="G99" s="3" t="s">
        <v>23</v>
      </c>
      <c r="H99" s="3" t="s">
        <v>24</v>
      </c>
      <c r="I99" s="3" t="s">
        <v>0</v>
      </c>
      <c r="J99" s="3" t="s">
        <v>804</v>
      </c>
    </row>
    <row r="100" spans="1:10" s="23" customFormat="1" ht="14">
      <c r="A100" s="23" t="str">
        <f>HYPERLINK("http://www.ncbi.nlm.nih.gov/sites/entrez?cmd=retrieve&amp;db=gene&amp;list_uids=9493&amp;dopt=full_report","9493")</f>
        <v>9493</v>
      </c>
      <c r="B100" s="23" t="str">
        <f>HYPERLINK("http://www.ncbi.nlm.nih.gov/sites/entrez?cmd=retrieve&amp;db=gene&amp;list_uids=9493&amp;dopt=full_report", "KIF23")</f>
        <v>KIF23</v>
      </c>
      <c r="C100" s="15" t="s">
        <v>2</v>
      </c>
      <c r="D100" s="18" t="s">
        <v>1632</v>
      </c>
      <c r="E100" s="23" t="s">
        <v>3</v>
      </c>
      <c r="F100" s="23" t="s">
        <v>4</v>
      </c>
      <c r="G100" s="23" t="s">
        <v>5</v>
      </c>
      <c r="H100" s="23" t="s">
        <v>499</v>
      </c>
      <c r="I100" s="23" t="s">
        <v>6</v>
      </c>
      <c r="J100" s="23" t="s">
        <v>501</v>
      </c>
    </row>
    <row r="102" spans="1:10">
      <c r="D102" s="5"/>
    </row>
    <row r="107" spans="1:10">
      <c r="C107" s="22" t="s">
        <v>1636</v>
      </c>
    </row>
    <row r="108" spans="1:10">
      <c r="C108" s="22" t="s">
        <v>1634</v>
      </c>
    </row>
    <row r="109" spans="1:10">
      <c r="C109" s="22" t="s">
        <v>1635</v>
      </c>
    </row>
  </sheetData>
  <mergeCells count="77">
    <mergeCell ref="K13:Z13"/>
    <mergeCell ref="K2:X2"/>
    <mergeCell ref="K3:M3"/>
    <mergeCell ref="K4:M4"/>
    <mergeCell ref="K5:M5"/>
    <mergeCell ref="K6:U6"/>
    <mergeCell ref="K7:AF7"/>
    <mergeCell ref="K8:P8"/>
    <mergeCell ref="K9:L9"/>
    <mergeCell ref="K10:N10"/>
    <mergeCell ref="K11:R11"/>
    <mergeCell ref="K12:N12"/>
    <mergeCell ref="K26:Y26"/>
    <mergeCell ref="K14:R14"/>
    <mergeCell ref="K15:N15"/>
    <mergeCell ref="K17:N17"/>
    <mergeCell ref="K18:N18"/>
    <mergeCell ref="K19:X19"/>
    <mergeCell ref="K20:N20"/>
    <mergeCell ref="K21:V21"/>
    <mergeCell ref="K22:Q22"/>
    <mergeCell ref="K23:R23"/>
    <mergeCell ref="K24:P24"/>
    <mergeCell ref="K25:S25"/>
    <mergeCell ref="K39:AF39"/>
    <mergeCell ref="K27:Q27"/>
    <mergeCell ref="K28:T28"/>
    <mergeCell ref="K29:X29"/>
    <mergeCell ref="K30:X30"/>
    <mergeCell ref="K31:Q31"/>
    <mergeCell ref="K32:M32"/>
    <mergeCell ref="K33:Y33"/>
    <mergeCell ref="K34:P34"/>
    <mergeCell ref="K35:T35"/>
    <mergeCell ref="K36:M36"/>
    <mergeCell ref="K38:U38"/>
    <mergeCell ref="K53:AE53"/>
    <mergeCell ref="K41:M41"/>
    <mergeCell ref="K42:O42"/>
    <mergeCell ref="K43:Y43"/>
    <mergeCell ref="K44:AD44"/>
    <mergeCell ref="K45:R45"/>
    <mergeCell ref="K46:AF46"/>
    <mergeCell ref="K47:AD47"/>
    <mergeCell ref="K48:AD48"/>
    <mergeCell ref="K49:W49"/>
    <mergeCell ref="K50:O50"/>
    <mergeCell ref="K51:T51"/>
    <mergeCell ref="K65:T65"/>
    <mergeCell ref="K54:W54"/>
    <mergeCell ref="K55:N55"/>
    <mergeCell ref="K56:AB56"/>
    <mergeCell ref="K57:N57"/>
    <mergeCell ref="K58:O58"/>
    <mergeCell ref="K59:L59"/>
    <mergeCell ref="K60:M60"/>
    <mergeCell ref="K61:R61"/>
    <mergeCell ref="K62:M62"/>
    <mergeCell ref="K63:N63"/>
    <mergeCell ref="K64:T64"/>
    <mergeCell ref="K77:O77"/>
    <mergeCell ref="K66:P66"/>
    <mergeCell ref="K67:Z67"/>
    <mergeCell ref="K68:M68"/>
    <mergeCell ref="K69:Q69"/>
    <mergeCell ref="K70:M70"/>
    <mergeCell ref="K71:S71"/>
    <mergeCell ref="K72:L72"/>
    <mergeCell ref="K73:Q73"/>
    <mergeCell ref="K74:M74"/>
    <mergeCell ref="K75:AD75"/>
    <mergeCell ref="K76:N76"/>
    <mergeCell ref="K78:X78"/>
    <mergeCell ref="K79:Q79"/>
    <mergeCell ref="K80:N80"/>
    <mergeCell ref="K81:O81"/>
    <mergeCell ref="K82:N82"/>
  </mergeCells>
  <phoneticPr fontId="1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"/>
  <sheetViews>
    <sheetView topLeftCell="A173" workbookViewId="0">
      <selection activeCell="A7" activeCellId="12" sqref="A202:XFD202 A185:XFD185 A140:XFD140 A137:XFD137 A114:XFD114 A112:XFD112 A107:XFD107 A103:XFD103 A62:XFD62 A39:XFD39 A14:XFD14 A8:XFD8 A7:XFD7"/>
    </sheetView>
  </sheetViews>
  <sheetFormatPr baseColWidth="10" defaultRowHeight="13" x14ac:dyDescent="0"/>
  <cols>
    <col min="1" max="1" width="10.7109375" style="3"/>
    <col min="2" max="2" width="10.140625" style="3" bestFit="1" customWidth="1"/>
    <col min="3" max="3" width="36" style="3" customWidth="1"/>
    <col min="4" max="4" width="19.42578125" style="3" bestFit="1" customWidth="1"/>
    <col min="5" max="5" width="16.85546875" style="3" customWidth="1"/>
    <col min="6" max="6" width="15.140625" style="3" customWidth="1"/>
    <col min="7" max="7" width="11.5703125" style="3" customWidth="1"/>
    <col min="8" max="8" width="11.42578125" style="3" customWidth="1"/>
    <col min="9" max="9" width="15.85546875" style="3" customWidth="1"/>
    <col min="10" max="10" width="22.140625" style="3" customWidth="1"/>
    <col min="11" max="16384" width="10.7109375" style="3"/>
  </cols>
  <sheetData>
    <row r="1" spans="1:10" ht="14">
      <c r="A1" s="1" t="s">
        <v>1146</v>
      </c>
      <c r="B1" s="1" t="s">
        <v>1192</v>
      </c>
      <c r="C1" s="1" t="s">
        <v>1193</v>
      </c>
      <c r="D1" s="1" t="s">
        <v>1631</v>
      </c>
      <c r="E1" s="1" t="s">
        <v>1151</v>
      </c>
      <c r="F1" s="1" t="s">
        <v>1152</v>
      </c>
      <c r="G1" s="1" t="s">
        <v>1153</v>
      </c>
      <c r="H1" s="1" t="s">
        <v>1154</v>
      </c>
      <c r="I1" s="1" t="s">
        <v>1155</v>
      </c>
      <c r="J1" s="1" t="s">
        <v>1156</v>
      </c>
    </row>
    <row r="2" spans="1:10" s="14" customFormat="1" ht="14">
      <c r="A2" s="14" t="str">
        <f>HYPERLINK("http://www.ncbi.nlm.nih.gov/sites/entrez?cmd=retrieve&amp;db=gene&amp;list_uids=2778&amp;dopt=full_report","2778")</f>
        <v>2778</v>
      </c>
      <c r="B2" s="14" t="str">
        <f>HYPERLINK("http://www.ncbi.nlm.nih.gov/sites/entrez?cmd=retrieve&amp;db=gene&amp;list_uids=2778&amp;dopt=full_report", "GNAS")</f>
        <v>GNAS</v>
      </c>
      <c r="C2" s="15" t="s">
        <v>1157</v>
      </c>
      <c r="D2" s="14" t="s">
        <v>1632</v>
      </c>
      <c r="E2" s="14" t="s">
        <v>1158</v>
      </c>
      <c r="F2" s="14" t="s">
        <v>1159</v>
      </c>
      <c r="G2" s="14" t="s">
        <v>1110</v>
      </c>
      <c r="H2" s="14" t="s">
        <v>1111</v>
      </c>
      <c r="I2" s="14" t="s">
        <v>1112</v>
      </c>
      <c r="J2" s="14" t="s">
        <v>1113</v>
      </c>
    </row>
    <row r="3" spans="1:10" ht="14">
      <c r="A3" s="3" t="str">
        <f>HYPERLINK("http://www.ncbi.nlm.nih.gov/sites/entrez?cmd=retrieve&amp;db=gene&amp;list_uids=329&amp;dopt=full_report","329")</f>
        <v>329</v>
      </c>
      <c r="B3" s="3" t="str">
        <f>HYPERLINK("http://www.ncbi.nlm.nih.gov/sites/entrez?cmd=retrieve&amp;db=gene&amp;list_uids=329&amp;dopt=full_report", "BIRC2")</f>
        <v>BIRC2</v>
      </c>
      <c r="C3" s="2" t="s">
        <v>1161</v>
      </c>
      <c r="D3" t="s">
        <v>1633</v>
      </c>
      <c r="E3" s="3" t="s">
        <v>1162</v>
      </c>
      <c r="F3" s="3" t="s">
        <v>1163</v>
      </c>
      <c r="G3" s="3" t="s">
        <v>1164</v>
      </c>
      <c r="H3" s="3" t="s">
        <v>1165</v>
      </c>
      <c r="I3" s="3" t="s">
        <v>1166</v>
      </c>
      <c r="J3" s="3" t="s">
        <v>1114</v>
      </c>
    </row>
    <row r="4" spans="1:10" ht="14">
      <c r="A4" s="3" t="str">
        <f>HYPERLINK("http://www.ncbi.nlm.nih.gov/sites/entrez?cmd=retrieve&amp;db=gene&amp;list_uids=3449&amp;dopt=full_report","3449")</f>
        <v>3449</v>
      </c>
      <c r="B4" s="3" t="str">
        <f>HYPERLINK("http://www.ncbi.nlm.nih.gov/sites/entrez?cmd=retrieve&amp;db=gene&amp;list_uids=3449&amp;dopt=full_report", "IFNA16")</f>
        <v>IFNA16</v>
      </c>
      <c r="C4" s="2" t="s">
        <v>1115</v>
      </c>
      <c r="D4" t="s">
        <v>1633</v>
      </c>
      <c r="E4" s="3" t="s">
        <v>1116</v>
      </c>
      <c r="F4" s="3" t="s">
        <v>1117</v>
      </c>
      <c r="G4" s="3" t="s">
        <v>1118</v>
      </c>
      <c r="H4" s="3" t="s">
        <v>1119</v>
      </c>
      <c r="I4" s="3" t="s">
        <v>1120</v>
      </c>
      <c r="J4" s="3" t="s">
        <v>1169</v>
      </c>
    </row>
    <row r="5" spans="1:10" ht="14">
      <c r="A5" s="3" t="str">
        <f>HYPERLINK("http://www.ncbi.nlm.nih.gov/sites/entrez?cmd=retrieve&amp;db=gene&amp;list_uids=2737&amp;dopt=full_report","2737")</f>
        <v>2737</v>
      </c>
      <c r="B5" s="3" t="str">
        <f>HYPERLINK("http://www.ncbi.nlm.nih.gov/sites/entrez?cmd=retrieve&amp;db=gene&amp;list_uids=2737&amp;dopt=full_report", "GLI3")</f>
        <v>GLI3</v>
      </c>
      <c r="C5" s="2" t="s">
        <v>1170</v>
      </c>
      <c r="D5" t="s">
        <v>1633</v>
      </c>
      <c r="E5" s="4" t="s">
        <v>1132</v>
      </c>
      <c r="F5" s="3" t="s">
        <v>1074</v>
      </c>
      <c r="G5" s="3" t="s">
        <v>1075</v>
      </c>
      <c r="H5" s="3" t="s">
        <v>1076</v>
      </c>
      <c r="I5" s="3" t="s">
        <v>1077</v>
      </c>
      <c r="J5" s="3" t="s">
        <v>1134</v>
      </c>
    </row>
    <row r="6" spans="1:10" ht="14">
      <c r="A6" s="3" t="str">
        <f>HYPERLINK("http://www.ncbi.nlm.nih.gov/sites/entrez?cmd=retrieve&amp;db=gene&amp;list_uids=6223&amp;dopt=full_report","6223")</f>
        <v>6223</v>
      </c>
      <c r="B6" s="3" t="str">
        <f>HYPERLINK("http://www.ncbi.nlm.nih.gov/sites/entrez?cmd=retrieve&amp;db=gene&amp;list_uids=6223&amp;dopt=full_report", "RPS19")</f>
        <v>RPS19</v>
      </c>
      <c r="C6" s="2" t="s">
        <v>1135</v>
      </c>
      <c r="D6" t="s">
        <v>1633</v>
      </c>
      <c r="E6" s="3" t="s">
        <v>1082</v>
      </c>
      <c r="F6" s="3" t="s">
        <v>1138</v>
      </c>
      <c r="G6" s="3" t="s">
        <v>1139</v>
      </c>
      <c r="H6" s="3" t="s">
        <v>1140</v>
      </c>
      <c r="I6" s="3" t="s">
        <v>1112</v>
      </c>
      <c r="J6" s="3" t="s">
        <v>1141</v>
      </c>
    </row>
    <row r="7" spans="1:10" s="30" customFormat="1" ht="14">
      <c r="A7" s="30" t="str">
        <f>HYPERLINK("http://www.ncbi.nlm.nih.gov/sites/entrez?cmd=retrieve&amp;db=gene&amp;list_uids=137829&amp;dopt=full_report","137829")</f>
        <v>137829</v>
      </c>
      <c r="B7" s="30" t="str">
        <f>HYPERLINK("http://www.ncbi.nlm.nih.gov/sites/entrez?cmd=retrieve&amp;db=gene&amp;list_uids=137829&amp;dopt=full_report", "LOC137829")</f>
        <v>LOC137829</v>
      </c>
      <c r="C7" s="35" t="s">
        <v>1112</v>
      </c>
      <c r="E7" s="30" t="s">
        <v>1112</v>
      </c>
      <c r="F7" s="30" t="s">
        <v>1112</v>
      </c>
      <c r="G7" s="30" t="s">
        <v>1112</v>
      </c>
      <c r="H7" s="30" t="s">
        <v>1112</v>
      </c>
      <c r="I7" s="30" t="s">
        <v>1112</v>
      </c>
      <c r="J7" s="30" t="s">
        <v>1112</v>
      </c>
    </row>
    <row r="8" spans="1:10" s="30" customFormat="1" ht="14">
      <c r="A8" s="30" t="str">
        <f>HYPERLINK("http://www.ncbi.nlm.nih.gov/sites/entrez?cmd=retrieve&amp;db=gene&amp;list_uids=55182&amp;dopt=full_report","55182")</f>
        <v>55182</v>
      </c>
      <c r="B8" s="30" t="str">
        <f>HYPERLINK("http://www.ncbi.nlm.nih.gov/sites/entrez?cmd=retrieve&amp;db=gene&amp;list_uids=55182&amp;dopt=full_report", "C1orf164")</f>
        <v>C1orf164</v>
      </c>
      <c r="C8" s="35" t="s">
        <v>1142</v>
      </c>
      <c r="E8" s="30" t="s">
        <v>1112</v>
      </c>
      <c r="F8" s="30" t="s">
        <v>1143</v>
      </c>
      <c r="G8" s="30" t="s">
        <v>1112</v>
      </c>
      <c r="H8" s="30" t="s">
        <v>1144</v>
      </c>
      <c r="I8" s="30" t="s">
        <v>1112</v>
      </c>
      <c r="J8" s="30" t="s">
        <v>1145</v>
      </c>
    </row>
    <row r="9" spans="1:10" ht="14">
      <c r="A9" s="3" t="str">
        <f>HYPERLINK("http://www.ncbi.nlm.nih.gov/sites/entrez?cmd=retrieve&amp;db=gene&amp;list_uids=2882&amp;dopt=full_report","2882")</f>
        <v>2882</v>
      </c>
      <c r="B9" s="3" t="str">
        <f>HYPERLINK("http://www.ncbi.nlm.nih.gov/sites/entrez?cmd=retrieve&amp;db=gene&amp;list_uids=2882&amp;dopt=full_report", "GPX7")</f>
        <v>GPX7</v>
      </c>
      <c r="C9" s="2" t="s">
        <v>1040</v>
      </c>
      <c r="D9" t="s">
        <v>1633</v>
      </c>
      <c r="E9" s="3" t="s">
        <v>1089</v>
      </c>
      <c r="F9" s="3" t="s">
        <v>1147</v>
      </c>
      <c r="G9" s="3" t="s">
        <v>1112</v>
      </c>
      <c r="H9" s="3" t="s">
        <v>1148</v>
      </c>
      <c r="I9" s="3" t="s">
        <v>1112</v>
      </c>
      <c r="J9" s="3" t="s">
        <v>1149</v>
      </c>
    </row>
    <row r="10" spans="1:10" ht="14">
      <c r="A10" s="3" t="str">
        <f>HYPERLINK("http://www.ncbi.nlm.nih.gov/sites/entrez?cmd=retrieve&amp;db=gene&amp;list_uids=9993&amp;dopt=full_report","9993")</f>
        <v>9993</v>
      </c>
      <c r="B10" s="3" t="str">
        <f>HYPERLINK("http://www.ncbi.nlm.nih.gov/sites/entrez?cmd=retrieve&amp;db=gene&amp;list_uids=9993&amp;dopt=full_report", "DGCR2")</f>
        <v>DGCR2</v>
      </c>
      <c r="C10" s="2" t="s">
        <v>1150</v>
      </c>
      <c r="D10" t="s">
        <v>1633</v>
      </c>
      <c r="E10" s="3" t="s">
        <v>1087</v>
      </c>
      <c r="F10" s="3" t="s">
        <v>1088</v>
      </c>
      <c r="G10" s="3" t="s">
        <v>1092</v>
      </c>
      <c r="H10" s="3" t="s">
        <v>1093</v>
      </c>
      <c r="I10" s="3" t="s">
        <v>1094</v>
      </c>
      <c r="J10" s="3" t="s">
        <v>1145</v>
      </c>
    </row>
    <row r="11" spans="1:10" s="14" customFormat="1" ht="14">
      <c r="A11" s="14" t="str">
        <f>HYPERLINK("http://www.ncbi.nlm.nih.gov/sites/entrez?cmd=retrieve&amp;db=gene&amp;list_uids=11202&amp;dopt=full_report","11202")</f>
        <v>11202</v>
      </c>
      <c r="B11" s="14" t="str">
        <f>HYPERLINK("http://www.ncbi.nlm.nih.gov/sites/entrez?cmd=retrieve&amp;db=gene&amp;list_uids=11202&amp;dopt=full_report", "KLK8")</f>
        <v>KLK8</v>
      </c>
      <c r="C11" s="15" t="s">
        <v>1095</v>
      </c>
      <c r="D11" s="14" t="s">
        <v>1632</v>
      </c>
      <c r="E11" s="14" t="s">
        <v>1096</v>
      </c>
      <c r="F11" s="14" t="s">
        <v>1097</v>
      </c>
      <c r="G11" s="14" t="s">
        <v>1112</v>
      </c>
      <c r="H11" s="14" t="s">
        <v>1098</v>
      </c>
      <c r="I11" s="14" t="s">
        <v>1099</v>
      </c>
      <c r="J11" s="14" t="s">
        <v>1100</v>
      </c>
    </row>
    <row r="12" spans="1:10" s="14" customFormat="1" ht="14">
      <c r="A12" s="14" t="str">
        <f>HYPERLINK("http://www.ncbi.nlm.nih.gov/sites/entrez?cmd=retrieve&amp;db=gene&amp;list_uids=9352&amp;dopt=full_report","9352")</f>
        <v>9352</v>
      </c>
      <c r="B12" s="14" t="str">
        <f>HYPERLINK("http://www.ncbi.nlm.nih.gov/sites/entrez?cmd=retrieve&amp;db=gene&amp;list_uids=9352&amp;dopt=full_report", "TXNL1")</f>
        <v>TXNL1</v>
      </c>
      <c r="C12" s="15" t="s">
        <v>1101</v>
      </c>
      <c r="D12" s="14" t="s">
        <v>1632</v>
      </c>
      <c r="E12" s="14" t="s">
        <v>1102</v>
      </c>
      <c r="F12" s="14" t="s">
        <v>1103</v>
      </c>
      <c r="G12" s="14" t="s">
        <v>1104</v>
      </c>
      <c r="H12" s="14" t="s">
        <v>1105</v>
      </c>
      <c r="I12" s="14" t="s">
        <v>1106</v>
      </c>
      <c r="J12" s="14" t="s">
        <v>1107</v>
      </c>
    </row>
    <row r="13" spans="1:10" ht="14">
      <c r="A13" s="3" t="str">
        <f>HYPERLINK("http://www.ncbi.nlm.nih.gov/sites/entrez?cmd=retrieve&amp;db=gene&amp;list_uids=8839&amp;dopt=full_report","8839")</f>
        <v>8839</v>
      </c>
      <c r="B13" s="3" t="str">
        <f>HYPERLINK("http://www.ncbi.nlm.nih.gov/sites/entrez?cmd=retrieve&amp;db=gene&amp;list_uids=8839&amp;dopt=full_report", "WISP2")</f>
        <v>WISP2</v>
      </c>
      <c r="C13" s="2" t="s">
        <v>1108</v>
      </c>
      <c r="D13" t="s">
        <v>1633</v>
      </c>
      <c r="E13" s="3" t="s">
        <v>1109</v>
      </c>
      <c r="F13" s="3" t="s">
        <v>1052</v>
      </c>
      <c r="G13" s="3" t="s">
        <v>1053</v>
      </c>
      <c r="H13" s="3" t="s">
        <v>1054</v>
      </c>
      <c r="I13" s="3" t="s">
        <v>1055</v>
      </c>
      <c r="J13" s="3" t="s">
        <v>1056</v>
      </c>
    </row>
    <row r="14" spans="1:10" s="33" customFormat="1" ht="14">
      <c r="A14" s="33" t="str">
        <f>HYPERLINK("http://www.ncbi.nlm.nih.gov/sites/entrez?cmd=retrieve&amp;db=gene&amp;list_uids=4149&amp;dopt=full_report","4149")</f>
        <v>4149</v>
      </c>
      <c r="B14" s="33" t="str">
        <f>HYPERLINK("http://www.ncbi.nlm.nih.gov/sites/entrez?cmd=retrieve&amp;db=gene&amp;list_uids=4149&amp;dopt=full_report", "MAX")</f>
        <v>MAX</v>
      </c>
      <c r="C14" s="31" t="s">
        <v>1057</v>
      </c>
      <c r="D14" s="30"/>
      <c r="E14" s="33" t="s">
        <v>1061</v>
      </c>
      <c r="F14" s="33" t="s">
        <v>1121</v>
      </c>
      <c r="G14" s="33" t="s">
        <v>1122</v>
      </c>
      <c r="H14" s="33" t="s">
        <v>1123</v>
      </c>
      <c r="I14" s="33" t="s">
        <v>1112</v>
      </c>
      <c r="J14" s="33" t="s">
        <v>1124</v>
      </c>
    </row>
    <row r="15" spans="1:10" ht="14">
      <c r="A15" s="3" t="str">
        <f>HYPERLINK("http://www.ncbi.nlm.nih.gov/sites/entrez?cmd=retrieve&amp;db=gene&amp;list_uids=4190&amp;dopt=full_report","4190")</f>
        <v>4190</v>
      </c>
      <c r="B15" s="3" t="str">
        <f>HYPERLINK("http://www.ncbi.nlm.nih.gov/sites/entrez?cmd=retrieve&amp;db=gene&amp;list_uids=4190&amp;dopt=full_report", "MDH1")</f>
        <v>MDH1</v>
      </c>
      <c r="C15" s="2" t="s">
        <v>1125</v>
      </c>
      <c r="D15" t="s">
        <v>1633</v>
      </c>
      <c r="E15" s="3" t="s">
        <v>1126</v>
      </c>
      <c r="F15" s="3" t="s">
        <v>1127</v>
      </c>
      <c r="G15" s="3" t="s">
        <v>1018</v>
      </c>
      <c r="H15" s="3" t="s">
        <v>1019</v>
      </c>
      <c r="I15" s="3" t="s">
        <v>1112</v>
      </c>
      <c r="J15" s="3" t="s">
        <v>1020</v>
      </c>
    </row>
    <row r="16" spans="1:10" s="14" customFormat="1" ht="14">
      <c r="A16" s="14" t="str">
        <f>HYPERLINK("http://www.ncbi.nlm.nih.gov/sites/entrez?cmd=retrieve&amp;db=gene&amp;list_uids=7220&amp;dopt=full_report","7220")</f>
        <v>7220</v>
      </c>
      <c r="B16" s="14" t="str">
        <f>HYPERLINK("http://www.ncbi.nlm.nih.gov/sites/entrez?cmd=retrieve&amp;db=gene&amp;list_uids=7220&amp;dopt=full_report", "TRPC1")</f>
        <v>TRPC1</v>
      </c>
      <c r="C16" s="15" t="s">
        <v>1128</v>
      </c>
      <c r="D16" s="14" t="s">
        <v>1632</v>
      </c>
      <c r="E16" s="14" t="s">
        <v>1129</v>
      </c>
      <c r="F16" s="14" t="s">
        <v>1063</v>
      </c>
      <c r="G16" s="14" t="s">
        <v>1130</v>
      </c>
      <c r="H16" s="14" t="s">
        <v>1131</v>
      </c>
      <c r="I16" s="14" t="s">
        <v>1064</v>
      </c>
      <c r="J16" s="14" t="s">
        <v>1065</v>
      </c>
    </row>
    <row r="17" spans="1:10" s="14" customFormat="1" ht="14">
      <c r="A17" s="14" t="str">
        <f>HYPERLINK("http://www.ncbi.nlm.nih.gov/sites/entrez?cmd=retrieve&amp;db=gene&amp;list_uids=777&amp;dopt=full_report","777")</f>
        <v>777</v>
      </c>
      <c r="B17" s="14" t="str">
        <f>HYPERLINK("http://www.ncbi.nlm.nih.gov/sites/entrez?cmd=retrieve&amp;db=gene&amp;list_uids=777&amp;dopt=full_report", "CACNA1E")</f>
        <v>CACNA1E</v>
      </c>
      <c r="C17" s="15" t="s">
        <v>1066</v>
      </c>
      <c r="D17" s="14" t="s">
        <v>1632</v>
      </c>
      <c r="E17" s="14" t="s">
        <v>1067</v>
      </c>
      <c r="F17" s="14" t="s">
        <v>1068</v>
      </c>
      <c r="G17" s="14" t="s">
        <v>1069</v>
      </c>
      <c r="H17" s="14" t="s">
        <v>1070</v>
      </c>
      <c r="I17" s="14" t="s">
        <v>1071</v>
      </c>
      <c r="J17" s="14" t="s">
        <v>1072</v>
      </c>
    </row>
    <row r="18" spans="1:10" s="14" customFormat="1" ht="14">
      <c r="A18" s="14" t="str">
        <f>HYPERLINK("http://www.ncbi.nlm.nih.gov/sites/entrez?cmd=retrieve&amp;db=gene&amp;list_uids=79885&amp;dopt=full_report","79885")</f>
        <v>79885</v>
      </c>
      <c r="B18" s="14" t="str">
        <f>HYPERLINK("http://www.ncbi.nlm.nih.gov/sites/entrez?cmd=retrieve&amp;db=gene&amp;list_uids=79885&amp;dopt=full_report", "HDAC11")</f>
        <v>HDAC11</v>
      </c>
      <c r="C18" s="15" t="s">
        <v>1073</v>
      </c>
      <c r="D18" s="14" t="s">
        <v>1632</v>
      </c>
      <c r="E18" s="14" t="s">
        <v>1029</v>
      </c>
      <c r="F18" s="14" t="s">
        <v>1030</v>
      </c>
      <c r="G18" s="14" t="s">
        <v>1031</v>
      </c>
      <c r="H18" s="14" t="s">
        <v>1078</v>
      </c>
      <c r="I18" s="14" t="s">
        <v>1079</v>
      </c>
      <c r="J18" s="14" t="s">
        <v>1080</v>
      </c>
    </row>
    <row r="19" spans="1:10" s="14" customFormat="1" ht="14">
      <c r="A19" s="14" t="str">
        <f>HYPERLINK("http://www.ncbi.nlm.nih.gov/sites/entrez?cmd=retrieve&amp;db=gene&amp;list_uids=655&amp;dopt=full_report","655")</f>
        <v>655</v>
      </c>
      <c r="B19" s="14" t="str">
        <f>HYPERLINK("http://www.ncbi.nlm.nih.gov/sites/entrez?cmd=retrieve&amp;db=gene&amp;list_uids=655&amp;dopt=full_report", "BMP7")</f>
        <v>BMP7</v>
      </c>
      <c r="C19" s="15" t="s">
        <v>1081</v>
      </c>
      <c r="D19" s="14" t="s">
        <v>1632</v>
      </c>
      <c r="E19" s="17" t="s">
        <v>1083</v>
      </c>
      <c r="F19" s="14" t="s">
        <v>1084</v>
      </c>
      <c r="G19" s="14" t="s">
        <v>1085</v>
      </c>
      <c r="H19" s="14" t="s">
        <v>1086</v>
      </c>
      <c r="I19" s="14" t="s">
        <v>981</v>
      </c>
      <c r="J19" s="14" t="s">
        <v>1090</v>
      </c>
    </row>
    <row r="20" spans="1:10" ht="14">
      <c r="A20" s="3" t="str">
        <f>HYPERLINK("http://www.ncbi.nlm.nih.gov/sites/entrez?cmd=retrieve&amp;db=gene&amp;list_uids=6726&amp;dopt=full_report","6726")</f>
        <v>6726</v>
      </c>
      <c r="B20" s="3" t="str">
        <f>HYPERLINK("http://www.ncbi.nlm.nih.gov/sites/entrez?cmd=retrieve&amp;db=gene&amp;list_uids=6726&amp;dopt=full_report", "SRP9")</f>
        <v>SRP9</v>
      </c>
      <c r="C20" s="2" t="s">
        <v>1091</v>
      </c>
      <c r="D20" t="s">
        <v>1633</v>
      </c>
      <c r="E20" s="3" t="s">
        <v>1041</v>
      </c>
      <c r="F20" s="3" t="s">
        <v>1042</v>
      </c>
      <c r="G20" s="3" t="s">
        <v>1043</v>
      </c>
      <c r="H20" s="3" t="s">
        <v>1044</v>
      </c>
      <c r="I20" s="3" t="s">
        <v>1094</v>
      </c>
      <c r="J20" s="3" t="s">
        <v>1145</v>
      </c>
    </row>
    <row r="21" spans="1:10" ht="14">
      <c r="A21" s="3" t="str">
        <f>HYPERLINK("http://www.ncbi.nlm.nih.gov/sites/entrez?cmd=retrieve&amp;db=gene&amp;list_uids=158&amp;dopt=full_report","158")</f>
        <v>158</v>
      </c>
      <c r="B21" s="3" t="str">
        <f>HYPERLINK("http://www.ncbi.nlm.nih.gov/sites/entrez?cmd=retrieve&amp;db=gene&amp;list_uids=158&amp;dopt=full_report", "ADSL")</f>
        <v>ADSL</v>
      </c>
      <c r="C21" s="2" t="s">
        <v>1045</v>
      </c>
      <c r="D21" t="s">
        <v>1633</v>
      </c>
      <c r="E21" s="3" t="s">
        <v>1046</v>
      </c>
      <c r="F21" s="3" t="s">
        <v>1047</v>
      </c>
      <c r="G21" s="3" t="s">
        <v>1104</v>
      </c>
      <c r="H21" s="3" t="s">
        <v>1048</v>
      </c>
      <c r="I21" s="3" t="s">
        <v>1049</v>
      </c>
      <c r="J21" s="3" t="s">
        <v>1050</v>
      </c>
    </row>
    <row r="22" spans="1:10" s="14" customFormat="1" ht="14">
      <c r="A22" s="14" t="str">
        <f>HYPERLINK("http://www.ncbi.nlm.nih.gov/sites/entrez?cmd=retrieve&amp;db=gene&amp;list_uids=9354&amp;dopt=full_report","9354")</f>
        <v>9354</v>
      </c>
      <c r="B22" s="14" t="str">
        <f>HYPERLINK("http://www.ncbi.nlm.nih.gov/sites/entrez?cmd=retrieve&amp;db=gene&amp;list_uids=9354&amp;dopt=full_report", "UBE4A")</f>
        <v>UBE4A</v>
      </c>
      <c r="C22" s="15" t="s">
        <v>1051</v>
      </c>
      <c r="D22" s="14" t="s">
        <v>1632</v>
      </c>
      <c r="E22" s="14" t="s">
        <v>994</v>
      </c>
      <c r="F22" s="14" t="s">
        <v>995</v>
      </c>
      <c r="G22" s="14" t="s">
        <v>996</v>
      </c>
      <c r="H22" s="14" t="s">
        <v>997</v>
      </c>
      <c r="I22" s="14" t="s">
        <v>998</v>
      </c>
      <c r="J22" s="14" t="s">
        <v>1058</v>
      </c>
    </row>
    <row r="23" spans="1:10" s="14" customFormat="1" ht="14">
      <c r="A23" s="14" t="str">
        <f>HYPERLINK("http://www.ncbi.nlm.nih.gov/sites/entrez?cmd=retrieve&amp;db=gene&amp;list_uids=478&amp;dopt=full_report","478")</f>
        <v>478</v>
      </c>
      <c r="B23" s="14" t="str">
        <f>HYPERLINK("http://www.ncbi.nlm.nih.gov/sites/entrez?cmd=retrieve&amp;db=gene&amp;list_uids=478&amp;dopt=full_report", "ATP1A3")</f>
        <v>ATP1A3</v>
      </c>
      <c r="C23" s="15" t="s">
        <v>1059</v>
      </c>
      <c r="D23" s="14" t="s">
        <v>1632</v>
      </c>
      <c r="E23" s="14" t="s">
        <v>1060</v>
      </c>
      <c r="F23" s="17" t="s">
        <v>1062</v>
      </c>
      <c r="G23" s="14" t="s">
        <v>1015</v>
      </c>
      <c r="H23" s="14" t="s">
        <v>1016</v>
      </c>
      <c r="I23" s="14" t="s">
        <v>1017</v>
      </c>
      <c r="J23" s="14" t="s">
        <v>949</v>
      </c>
    </row>
    <row r="24" spans="1:10" s="14" customFormat="1" ht="14">
      <c r="A24" s="14" t="str">
        <f>HYPERLINK("http://www.ncbi.nlm.nih.gov/sites/entrez?cmd=retrieve&amp;db=gene&amp;list_uids=10333&amp;dopt=full_report","10333")</f>
        <v>10333</v>
      </c>
      <c r="B24" s="14" t="str">
        <f>HYPERLINK("http://www.ncbi.nlm.nih.gov/sites/entrez?cmd=retrieve&amp;db=gene&amp;list_uids=10333&amp;dopt=full_report", "TLR6")</f>
        <v>TLR6</v>
      </c>
      <c r="C24" s="15" t="s">
        <v>1021</v>
      </c>
      <c r="D24" s="14" t="s">
        <v>1632</v>
      </c>
      <c r="E24" s="17" t="s">
        <v>1022</v>
      </c>
      <c r="F24" s="14" t="s">
        <v>1023</v>
      </c>
      <c r="G24" s="14" t="s">
        <v>1024</v>
      </c>
      <c r="H24" s="14" t="s">
        <v>1025</v>
      </c>
      <c r="I24" s="14" t="s">
        <v>1026</v>
      </c>
      <c r="J24" s="14" t="s">
        <v>1027</v>
      </c>
    </row>
    <row r="25" spans="1:10" ht="14">
      <c r="A25" s="3" t="str">
        <f>HYPERLINK("http://www.ncbi.nlm.nih.gov/sites/entrez?cmd=retrieve&amp;db=gene&amp;list_uids=221&amp;dopt=full_report","221")</f>
        <v>221</v>
      </c>
      <c r="B25" s="3" t="str">
        <f>HYPERLINK("http://www.ncbi.nlm.nih.gov/sites/entrez?cmd=retrieve&amp;db=gene&amp;list_uids=221&amp;dopt=full_report", "ALDH3B1")</f>
        <v>ALDH3B1</v>
      </c>
      <c r="C25" s="2" t="s">
        <v>1028</v>
      </c>
      <c r="D25" t="s">
        <v>1633</v>
      </c>
      <c r="E25" s="3" t="s">
        <v>968</v>
      </c>
      <c r="F25" s="3" t="s">
        <v>969</v>
      </c>
      <c r="G25" s="3" t="s">
        <v>1112</v>
      </c>
      <c r="H25" s="3" t="s">
        <v>1032</v>
      </c>
      <c r="I25" s="3" t="s">
        <v>1033</v>
      </c>
      <c r="J25" s="3" t="s">
        <v>1020</v>
      </c>
    </row>
    <row r="26" spans="1:10" s="14" customFormat="1" ht="14">
      <c r="A26" s="14" t="str">
        <f>HYPERLINK("http://www.ncbi.nlm.nih.gov/sites/entrez?cmd=retrieve&amp;db=gene&amp;list_uids=3265&amp;dopt=full_report","3265")</f>
        <v>3265</v>
      </c>
      <c r="B26" s="14" t="str">
        <f>HYPERLINK("http://www.ncbi.nlm.nih.gov/sites/entrez?cmd=retrieve&amp;db=gene&amp;list_uids=3265&amp;dopt=full_report", "HRAS")</f>
        <v>HRAS</v>
      </c>
      <c r="C26" s="15" t="s">
        <v>1034</v>
      </c>
      <c r="D26" s="14" t="s">
        <v>1632</v>
      </c>
      <c r="E26" s="14" t="s">
        <v>1035</v>
      </c>
      <c r="F26" s="14" t="s">
        <v>1036</v>
      </c>
      <c r="G26" s="14" t="s">
        <v>1037</v>
      </c>
      <c r="H26" s="14" t="s">
        <v>1038</v>
      </c>
      <c r="I26" s="14" t="s">
        <v>907</v>
      </c>
      <c r="J26" s="14" t="s">
        <v>908</v>
      </c>
    </row>
    <row r="27" spans="1:10" s="14" customFormat="1" ht="14">
      <c r="A27" s="14" t="str">
        <f>HYPERLINK("http://www.ncbi.nlm.nih.gov/sites/entrez?cmd=retrieve&amp;db=gene&amp;list_uids=388&amp;dopt=full_report","388")</f>
        <v>388</v>
      </c>
      <c r="B27" s="14" t="str">
        <f>HYPERLINK("http://www.ncbi.nlm.nih.gov/sites/entrez?cmd=retrieve&amp;db=gene&amp;list_uids=388&amp;dopt=full_report", "RHOB")</f>
        <v>RHOB</v>
      </c>
      <c r="C27" s="15" t="s">
        <v>970</v>
      </c>
      <c r="D27" s="14" t="s">
        <v>1632</v>
      </c>
      <c r="E27" s="17" t="s">
        <v>1039</v>
      </c>
      <c r="F27" s="14" t="s">
        <v>977</v>
      </c>
      <c r="G27" s="14" t="s">
        <v>978</v>
      </c>
      <c r="H27" s="14" t="s">
        <v>1038</v>
      </c>
      <c r="I27" s="14" t="s">
        <v>979</v>
      </c>
      <c r="J27" s="14" t="s">
        <v>908</v>
      </c>
    </row>
    <row r="28" spans="1:10" s="14" customFormat="1" ht="14">
      <c r="A28" s="14" t="str">
        <f>HYPERLINK("http://www.ncbi.nlm.nih.gov/sites/entrez?cmd=retrieve&amp;db=gene&amp;list_uids=1861&amp;dopt=full_report","1861")</f>
        <v>1861</v>
      </c>
      <c r="B28" s="14" t="str">
        <f>HYPERLINK("http://www.ncbi.nlm.nih.gov/sites/entrez?cmd=retrieve&amp;db=gene&amp;list_uids=1861&amp;dopt=full_report", "TOR1A")</f>
        <v>TOR1A</v>
      </c>
      <c r="C28" s="15" t="s">
        <v>980</v>
      </c>
      <c r="D28" s="14" t="s">
        <v>1632</v>
      </c>
      <c r="E28" s="14" t="s">
        <v>920</v>
      </c>
      <c r="F28" s="14" t="s">
        <v>982</v>
      </c>
      <c r="G28" s="14" t="s">
        <v>983</v>
      </c>
      <c r="H28" s="14" t="s">
        <v>984</v>
      </c>
      <c r="I28" s="14" t="s">
        <v>1112</v>
      </c>
      <c r="J28" s="14" t="s">
        <v>1145</v>
      </c>
    </row>
    <row r="29" spans="1:10" s="14" customFormat="1" ht="14">
      <c r="A29" s="14" t="str">
        <f>HYPERLINK("http://www.ncbi.nlm.nih.gov/sites/entrez?cmd=retrieve&amp;db=gene&amp;list_uids=7159&amp;dopt=full_report","7159")</f>
        <v>7159</v>
      </c>
      <c r="B29" s="14" t="str">
        <f>HYPERLINK("http://www.ncbi.nlm.nih.gov/sites/entrez?cmd=retrieve&amp;db=gene&amp;list_uids=7159&amp;dopt=full_report", "TP53BP2")</f>
        <v>TP53BP2</v>
      </c>
      <c r="C29" s="15" t="s">
        <v>985</v>
      </c>
      <c r="D29" s="14" t="s">
        <v>1632</v>
      </c>
      <c r="E29" s="14" t="s">
        <v>986</v>
      </c>
      <c r="F29" s="14" t="s">
        <v>987</v>
      </c>
      <c r="G29" s="14" t="s">
        <v>1104</v>
      </c>
      <c r="H29" s="14" t="s">
        <v>988</v>
      </c>
      <c r="I29" s="14" t="s">
        <v>989</v>
      </c>
      <c r="J29" s="14" t="s">
        <v>990</v>
      </c>
    </row>
    <row r="30" spans="1:10" s="14" customFormat="1" ht="14">
      <c r="A30" s="14" t="str">
        <f>HYPERLINK("http://www.ncbi.nlm.nih.gov/sites/entrez?cmd=retrieve&amp;db=gene&amp;list_uids=134728&amp;dopt=full_report","134728")</f>
        <v>134728</v>
      </c>
      <c r="B30" s="14" t="str">
        <f>HYPERLINK("http://www.ncbi.nlm.nih.gov/sites/entrez?cmd=retrieve&amp;db=gene&amp;list_uids=134728&amp;dopt=full_report", "IRAK1BP1")</f>
        <v>IRAK1BP1</v>
      </c>
      <c r="C30" s="15" t="s">
        <v>991</v>
      </c>
      <c r="D30" s="14" t="s">
        <v>1632</v>
      </c>
      <c r="E30" s="14" t="s">
        <v>992</v>
      </c>
      <c r="F30" s="14" t="s">
        <v>993</v>
      </c>
      <c r="G30" s="14" t="s">
        <v>1112</v>
      </c>
      <c r="H30" s="14" t="s">
        <v>934</v>
      </c>
      <c r="I30" s="14" t="s">
        <v>1112</v>
      </c>
      <c r="J30" s="14" t="s">
        <v>1145</v>
      </c>
    </row>
    <row r="31" spans="1:10" s="14" customFormat="1" ht="14">
      <c r="A31" s="14" t="str">
        <f>HYPERLINK("http://www.ncbi.nlm.nih.gov/sites/entrez?cmd=retrieve&amp;db=gene&amp;list_uids=54331&amp;dopt=full_report","54331")</f>
        <v>54331</v>
      </c>
      <c r="B31" s="14" t="str">
        <f>HYPERLINK("http://www.ncbi.nlm.nih.gov/sites/entrez?cmd=retrieve&amp;db=gene&amp;list_uids=54331&amp;dopt=full_report", "GNG2")</f>
        <v>GNG2</v>
      </c>
      <c r="C31" s="15" t="s">
        <v>935</v>
      </c>
      <c r="D31" s="14" t="s">
        <v>1632</v>
      </c>
      <c r="E31" s="14" t="s">
        <v>936</v>
      </c>
      <c r="F31" s="14" t="s">
        <v>937</v>
      </c>
      <c r="G31" s="14" t="s">
        <v>999</v>
      </c>
      <c r="H31" s="14" t="s">
        <v>1000</v>
      </c>
      <c r="I31" s="14" t="s">
        <v>1001</v>
      </c>
      <c r="J31" s="14" t="s">
        <v>1113</v>
      </c>
    </row>
    <row r="32" spans="1:10" s="14" customFormat="1" ht="14">
      <c r="A32" s="14" t="str">
        <f>HYPERLINK("http://www.ncbi.nlm.nih.gov/sites/entrez?cmd=retrieve&amp;db=gene&amp;list_uids=219699&amp;dopt=full_report","219699")</f>
        <v>219699</v>
      </c>
      <c r="B32" s="14" t="str">
        <f>HYPERLINK("http://www.ncbi.nlm.nih.gov/sites/entrez?cmd=retrieve&amp;db=gene&amp;list_uids=219699&amp;dopt=full_report", "UNC5B")</f>
        <v>UNC5B</v>
      </c>
      <c r="C32" s="15" t="s">
        <v>1002</v>
      </c>
      <c r="D32" s="14" t="s">
        <v>1632</v>
      </c>
      <c r="E32" s="14" t="s">
        <v>1003</v>
      </c>
      <c r="F32" s="14" t="s">
        <v>1004</v>
      </c>
      <c r="G32" s="14" t="s">
        <v>1092</v>
      </c>
      <c r="H32" s="14" t="s">
        <v>880</v>
      </c>
      <c r="I32" s="14" t="s">
        <v>881</v>
      </c>
      <c r="J32" s="14" t="s">
        <v>938</v>
      </c>
    </row>
    <row r="33" spans="1:10" s="14" customFormat="1" ht="14">
      <c r="A33" s="14" t="str">
        <f>HYPERLINK("http://www.ncbi.nlm.nih.gov/sites/entrez?cmd=retrieve&amp;db=gene&amp;list_uids=113026&amp;dopt=full_report","113026")</f>
        <v>113026</v>
      </c>
      <c r="B33" s="14" t="str">
        <f>HYPERLINK("http://www.ncbi.nlm.nih.gov/sites/entrez?cmd=retrieve&amp;db=gene&amp;list_uids=113026&amp;dopt=full_report", "PLCD3")</f>
        <v>PLCD3</v>
      </c>
      <c r="C33" s="15" t="s">
        <v>939</v>
      </c>
      <c r="D33" s="14" t="s">
        <v>1632</v>
      </c>
      <c r="E33" s="14" t="s">
        <v>1005</v>
      </c>
      <c r="F33" s="14" t="s">
        <v>1006</v>
      </c>
      <c r="G33" s="14" t="s">
        <v>1112</v>
      </c>
      <c r="H33" s="14" t="s">
        <v>1007</v>
      </c>
      <c r="I33" s="14" t="s">
        <v>1008</v>
      </c>
      <c r="J33" s="14" t="s">
        <v>1009</v>
      </c>
    </row>
    <row r="34" spans="1:10" s="14" customFormat="1" ht="14">
      <c r="A34" s="14" t="str">
        <f>HYPERLINK("http://www.ncbi.nlm.nih.gov/sites/entrez?cmd=retrieve&amp;db=gene&amp;list_uids=85397&amp;dopt=full_report","85397")</f>
        <v>85397</v>
      </c>
      <c r="B34" s="14" t="str">
        <f>HYPERLINK("http://www.ncbi.nlm.nih.gov/sites/entrez?cmd=retrieve&amp;db=gene&amp;list_uids=85397&amp;dopt=full_report", "RGS8")</f>
        <v>RGS8</v>
      </c>
      <c r="C34" s="15" t="s">
        <v>1010</v>
      </c>
      <c r="D34" s="14" t="s">
        <v>1632</v>
      </c>
      <c r="E34" s="14" t="s">
        <v>1011</v>
      </c>
      <c r="F34" s="14" t="s">
        <v>937</v>
      </c>
      <c r="G34" s="14" t="s">
        <v>1112</v>
      </c>
      <c r="H34" s="14" t="s">
        <v>1012</v>
      </c>
      <c r="I34" s="14" t="s">
        <v>1013</v>
      </c>
      <c r="J34" s="14" t="s">
        <v>1014</v>
      </c>
    </row>
    <row r="35" spans="1:10" s="14" customFormat="1" ht="14">
      <c r="A35" s="14" t="str">
        <f>HYPERLINK("http://www.ncbi.nlm.nih.gov/sites/entrez?cmd=retrieve&amp;db=gene&amp;list_uids=107&amp;dopt=full_report","107")</f>
        <v>107</v>
      </c>
      <c r="B35" s="14" t="str">
        <f>HYPERLINK("http://www.ncbi.nlm.nih.gov/sites/entrez?cmd=retrieve&amp;db=gene&amp;list_uids=107&amp;dopt=full_report", "ADCY1")</f>
        <v>ADCY1</v>
      </c>
      <c r="C35" s="15" t="s">
        <v>892</v>
      </c>
      <c r="D35" s="14" t="s">
        <v>1632</v>
      </c>
      <c r="E35" s="14" t="s">
        <v>893</v>
      </c>
      <c r="F35" s="14" t="s">
        <v>950</v>
      </c>
      <c r="G35" s="14" t="s">
        <v>1092</v>
      </c>
      <c r="H35" s="14" t="s">
        <v>951</v>
      </c>
      <c r="I35" s="14" t="s">
        <v>952</v>
      </c>
      <c r="J35" s="14" t="s">
        <v>953</v>
      </c>
    </row>
    <row r="36" spans="1:10" ht="14">
      <c r="A36" s="3" t="str">
        <f>HYPERLINK("http://www.ncbi.nlm.nih.gov/sites/entrez?cmd=retrieve&amp;db=gene&amp;list_uids=285282&amp;dopt=full_report","285282")</f>
        <v>285282</v>
      </c>
      <c r="B36" s="3" t="str">
        <f>HYPERLINK("http://www.ncbi.nlm.nih.gov/sites/entrez?cmd=retrieve&amp;db=gene&amp;list_uids=285282&amp;dopt=full_report", "RABL3")</f>
        <v>RABL3</v>
      </c>
      <c r="C36" s="2" t="s">
        <v>954</v>
      </c>
      <c r="D36" t="s">
        <v>1633</v>
      </c>
      <c r="E36" s="3" t="s">
        <v>955</v>
      </c>
      <c r="F36" s="3" t="s">
        <v>956</v>
      </c>
      <c r="G36" s="3" t="s">
        <v>957</v>
      </c>
      <c r="H36" s="3" t="s">
        <v>1038</v>
      </c>
      <c r="I36" s="3" t="s">
        <v>958</v>
      </c>
      <c r="J36" s="3" t="s">
        <v>908</v>
      </c>
    </row>
    <row r="37" spans="1:10" ht="14">
      <c r="A37" s="3" t="str">
        <f>HYPERLINK("http://www.ncbi.nlm.nih.gov/sites/entrez?cmd=retrieve&amp;db=gene&amp;list_uids=9635&amp;dopt=full_report","9635")</f>
        <v>9635</v>
      </c>
      <c r="B37" s="3" t="str">
        <f>HYPERLINK("http://www.ncbi.nlm.nih.gov/sites/entrez?cmd=retrieve&amp;db=gene&amp;list_uids=9635&amp;dopt=full_report", "CLCA2")</f>
        <v>CLCA2</v>
      </c>
      <c r="C37" s="2" t="s">
        <v>959</v>
      </c>
      <c r="D37" t="s">
        <v>1633</v>
      </c>
      <c r="E37" s="3" t="s">
        <v>960</v>
      </c>
      <c r="F37" s="3" t="s">
        <v>961</v>
      </c>
      <c r="G37" s="3" t="s">
        <v>962</v>
      </c>
      <c r="H37" s="3" t="s">
        <v>963</v>
      </c>
      <c r="I37" s="3" t="s">
        <v>1112</v>
      </c>
      <c r="J37" s="3" t="s">
        <v>964</v>
      </c>
    </row>
    <row r="38" spans="1:10" s="14" customFormat="1" ht="14">
      <c r="A38" s="14" t="str">
        <f>HYPERLINK("http://www.ncbi.nlm.nih.gov/sites/entrez?cmd=retrieve&amp;db=gene&amp;list_uids=54&amp;dopt=full_report","54")</f>
        <v>54</v>
      </c>
      <c r="B38" s="14" t="str">
        <f>HYPERLINK("http://www.ncbi.nlm.nih.gov/sites/entrez?cmd=retrieve&amp;db=gene&amp;list_uids=54&amp;dopt=full_report", "ACP5")</f>
        <v>ACP5</v>
      </c>
      <c r="C38" s="15" t="s">
        <v>965</v>
      </c>
      <c r="D38" s="14" t="s">
        <v>1632</v>
      </c>
      <c r="E38" s="14" t="s">
        <v>1112</v>
      </c>
      <c r="F38" s="14" t="s">
        <v>966</v>
      </c>
      <c r="G38" s="14" t="s">
        <v>967</v>
      </c>
      <c r="H38" s="14" t="s">
        <v>903</v>
      </c>
      <c r="I38" s="14" t="s">
        <v>904</v>
      </c>
      <c r="J38" s="14" t="s">
        <v>905</v>
      </c>
    </row>
    <row r="39" spans="1:10" s="33" customFormat="1" ht="14">
      <c r="A39" s="33" t="str">
        <f>HYPERLINK("http://www.ncbi.nlm.nih.gov/sites/entrez?cmd=retrieve&amp;db=gene&amp;list_uids=9464&amp;dopt=full_report","9464")</f>
        <v>9464</v>
      </c>
      <c r="B39" s="33" t="str">
        <f>HYPERLINK("http://www.ncbi.nlm.nih.gov/sites/entrez?cmd=retrieve&amp;db=gene&amp;list_uids=9464&amp;dopt=full_report", "HAND2")</f>
        <v>HAND2</v>
      </c>
      <c r="C39" s="31" t="s">
        <v>906</v>
      </c>
      <c r="D39" s="30"/>
      <c r="E39" s="37" t="s">
        <v>971</v>
      </c>
      <c r="F39" s="33" t="s">
        <v>972</v>
      </c>
      <c r="G39" s="33" t="s">
        <v>973</v>
      </c>
      <c r="H39" s="33" t="s">
        <v>974</v>
      </c>
      <c r="I39" s="33" t="s">
        <v>975</v>
      </c>
      <c r="J39" s="33" t="s">
        <v>1124</v>
      </c>
    </row>
    <row r="40" spans="1:10" s="14" customFormat="1" ht="14">
      <c r="A40" s="14" t="str">
        <f>HYPERLINK("http://www.ncbi.nlm.nih.gov/sites/entrez?cmd=retrieve&amp;db=gene&amp;list_uids=2898&amp;dopt=full_report","2898")</f>
        <v>2898</v>
      </c>
      <c r="B40" s="14" t="str">
        <f>HYPERLINK("http://www.ncbi.nlm.nih.gov/sites/entrez?cmd=retrieve&amp;db=gene&amp;list_uids=2898&amp;dopt=full_report", "GRIK2")</f>
        <v>GRIK2</v>
      </c>
      <c r="C40" s="15" t="s">
        <v>976</v>
      </c>
      <c r="D40" s="14" t="s">
        <v>1632</v>
      </c>
      <c r="E40" s="14" t="s">
        <v>919</v>
      </c>
      <c r="F40" s="14" t="s">
        <v>867</v>
      </c>
      <c r="G40" s="14" t="s">
        <v>921</v>
      </c>
      <c r="H40" s="14" t="s">
        <v>922</v>
      </c>
      <c r="I40" s="14" t="s">
        <v>923</v>
      </c>
      <c r="J40" s="14" t="s">
        <v>924</v>
      </c>
    </row>
    <row r="41" spans="1:10" s="14" customFormat="1" ht="14">
      <c r="A41" s="14" t="str">
        <f>HYPERLINK("http://www.ncbi.nlm.nih.gov/sites/entrez?cmd=retrieve&amp;db=gene&amp;list_uids=6498&amp;dopt=full_report","6498")</f>
        <v>6498</v>
      </c>
      <c r="B41" s="14" t="str">
        <f>HYPERLINK("http://www.ncbi.nlm.nih.gov/sites/entrez?cmd=retrieve&amp;db=gene&amp;list_uids=6498&amp;dopt=full_report", "SKIL")</f>
        <v>SKIL</v>
      </c>
      <c r="C41" s="15" t="s">
        <v>925</v>
      </c>
      <c r="D41" s="14" t="s">
        <v>1632</v>
      </c>
      <c r="E41" s="14" t="s">
        <v>926</v>
      </c>
      <c r="F41" s="14" t="s">
        <v>927</v>
      </c>
      <c r="G41" s="14" t="s">
        <v>1122</v>
      </c>
      <c r="H41" s="14" t="s">
        <v>928</v>
      </c>
      <c r="I41" s="14" t="s">
        <v>929</v>
      </c>
      <c r="J41" s="14" t="s">
        <v>930</v>
      </c>
    </row>
    <row r="42" spans="1:10" ht="14">
      <c r="A42" s="3" t="str">
        <f>HYPERLINK("http://www.ncbi.nlm.nih.gov/sites/entrez?cmd=retrieve&amp;db=gene&amp;list_uids=10225&amp;dopt=full_report","10225")</f>
        <v>10225</v>
      </c>
      <c r="B42" s="3" t="str">
        <f>HYPERLINK("http://www.ncbi.nlm.nih.gov/sites/entrez?cmd=retrieve&amp;db=gene&amp;list_uids=10225&amp;dopt=full_report", "CD96")</f>
        <v>CD96</v>
      </c>
      <c r="C42" s="2" t="s">
        <v>931</v>
      </c>
      <c r="D42" t="s">
        <v>1633</v>
      </c>
      <c r="E42" s="3" t="s">
        <v>932</v>
      </c>
      <c r="F42" s="3" t="s">
        <v>933</v>
      </c>
      <c r="G42" s="3" t="s">
        <v>1130</v>
      </c>
      <c r="H42" s="3" t="s">
        <v>1093</v>
      </c>
      <c r="I42" s="3" t="s">
        <v>1112</v>
      </c>
      <c r="J42" s="3" t="s">
        <v>877</v>
      </c>
    </row>
    <row r="43" spans="1:10" s="14" customFormat="1" ht="14">
      <c r="A43" s="14" t="str">
        <f>HYPERLINK("http://www.ncbi.nlm.nih.gov/sites/entrez?cmd=retrieve&amp;db=gene&amp;list_uids=5576&amp;dopt=full_report","5576")</f>
        <v>5576</v>
      </c>
      <c r="B43" s="14" t="str">
        <f>HYPERLINK("http://www.ncbi.nlm.nih.gov/sites/entrez?cmd=retrieve&amp;db=gene&amp;list_uids=5576&amp;dopt=full_report", "PRKAR2A")</f>
        <v>PRKAR2A</v>
      </c>
      <c r="C43" s="15" t="s">
        <v>878</v>
      </c>
      <c r="D43" s="14" t="s">
        <v>1632</v>
      </c>
      <c r="E43" s="14" t="s">
        <v>879</v>
      </c>
      <c r="F43" s="14" t="s">
        <v>940</v>
      </c>
      <c r="G43" s="14" t="s">
        <v>941</v>
      </c>
      <c r="H43" s="14" t="s">
        <v>942</v>
      </c>
      <c r="I43" s="14" t="s">
        <v>943</v>
      </c>
      <c r="J43" s="14" t="s">
        <v>944</v>
      </c>
    </row>
    <row r="44" spans="1:10" s="14" customFormat="1" ht="14">
      <c r="A44" s="14" t="str">
        <f>HYPERLINK("http://www.ncbi.nlm.nih.gov/sites/entrez?cmd=retrieve&amp;db=gene&amp;list_uids=1783&amp;dopt=full_report","1783")</f>
        <v>1783</v>
      </c>
      <c r="B44" s="14" t="str">
        <f>HYPERLINK("http://www.ncbi.nlm.nih.gov/sites/entrez?cmd=retrieve&amp;db=gene&amp;list_uids=1783&amp;dopt=full_report", "DYNC1LI2")</f>
        <v>DYNC1LI2</v>
      </c>
      <c r="C44" s="15" t="s">
        <v>945</v>
      </c>
      <c r="D44" s="14" t="s">
        <v>1632</v>
      </c>
      <c r="E44" s="14" t="s">
        <v>1112</v>
      </c>
      <c r="F44" s="14" t="s">
        <v>946</v>
      </c>
      <c r="G44" s="14" t="s">
        <v>947</v>
      </c>
      <c r="H44" s="14" t="s">
        <v>948</v>
      </c>
      <c r="I44" s="14" t="s">
        <v>1112</v>
      </c>
      <c r="J44" s="14" t="s">
        <v>888</v>
      </c>
    </row>
    <row r="45" spans="1:10" s="14" customFormat="1" ht="14">
      <c r="A45" s="14" t="str">
        <f>HYPERLINK("http://www.ncbi.nlm.nih.gov/sites/entrez?cmd=retrieve&amp;db=gene&amp;list_uids=112858&amp;dopt=full_report","112858")</f>
        <v>112858</v>
      </c>
      <c r="B45" s="14" t="str">
        <f>HYPERLINK("http://www.ncbi.nlm.nih.gov/sites/entrez?cmd=retrieve&amp;db=gene&amp;list_uids=112858&amp;dopt=full_report", "TP53RK")</f>
        <v>TP53RK</v>
      </c>
      <c r="C45" s="15" t="s">
        <v>889</v>
      </c>
      <c r="D45" s="14" t="s">
        <v>1632</v>
      </c>
      <c r="E45" s="14" t="s">
        <v>890</v>
      </c>
      <c r="F45" s="14" t="s">
        <v>891</v>
      </c>
      <c r="G45" s="14" t="s">
        <v>1112</v>
      </c>
      <c r="H45" s="14" t="s">
        <v>848</v>
      </c>
      <c r="I45" s="14" t="s">
        <v>1112</v>
      </c>
      <c r="J45" s="14" t="s">
        <v>849</v>
      </c>
    </row>
    <row r="46" spans="1:10" s="14" customFormat="1" ht="14">
      <c r="A46" s="14" t="str">
        <f>HYPERLINK("http://www.ncbi.nlm.nih.gov/sites/entrez?cmd=retrieve&amp;db=gene&amp;list_uids=83877&amp;dopt=full_report","83877")</f>
        <v>83877</v>
      </c>
      <c r="B46" s="14" t="str">
        <f>HYPERLINK("http://www.ncbi.nlm.nih.gov/sites/entrez?cmd=retrieve&amp;db=gene&amp;list_uids=83877&amp;dopt=full_report", "TM2D2")</f>
        <v>TM2D2</v>
      </c>
      <c r="C46" s="15" t="s">
        <v>850</v>
      </c>
      <c r="D46" s="14" t="s">
        <v>1632</v>
      </c>
      <c r="E46" s="14" t="s">
        <v>1112</v>
      </c>
      <c r="F46" s="14" t="s">
        <v>1112</v>
      </c>
      <c r="G46" s="14" t="s">
        <v>1112</v>
      </c>
      <c r="H46" s="14" t="s">
        <v>894</v>
      </c>
      <c r="I46" s="14" t="s">
        <v>1112</v>
      </c>
      <c r="J46" s="14" t="s">
        <v>895</v>
      </c>
    </row>
    <row r="47" spans="1:10" s="14" customFormat="1" ht="14">
      <c r="A47" s="14" t="str">
        <f>HYPERLINK("http://www.ncbi.nlm.nih.gov/sites/entrez?cmd=retrieve&amp;db=gene&amp;list_uids=3775&amp;dopt=full_report","3775")</f>
        <v>3775</v>
      </c>
      <c r="B47" s="14" t="str">
        <f>HYPERLINK("http://www.ncbi.nlm.nih.gov/sites/entrez?cmd=retrieve&amp;db=gene&amp;list_uids=3775&amp;dopt=full_report", "KCNK1")</f>
        <v>KCNK1</v>
      </c>
      <c r="C47" s="15" t="s">
        <v>896</v>
      </c>
      <c r="D47" s="14" t="s">
        <v>1632</v>
      </c>
      <c r="E47" s="14" t="s">
        <v>897</v>
      </c>
      <c r="F47" s="14" t="s">
        <v>898</v>
      </c>
      <c r="G47" s="14" t="s">
        <v>899</v>
      </c>
      <c r="H47" s="14" t="s">
        <v>900</v>
      </c>
      <c r="I47" s="14" t="s">
        <v>901</v>
      </c>
      <c r="J47" s="14" t="s">
        <v>902</v>
      </c>
    </row>
    <row r="48" spans="1:10" ht="14">
      <c r="A48" s="3" t="str">
        <f>HYPERLINK("http://www.ncbi.nlm.nih.gov/sites/entrez?cmd=retrieve&amp;db=gene&amp;list_uids=5066&amp;dopt=full_report","5066")</f>
        <v>5066</v>
      </c>
      <c r="B48" s="3" t="str">
        <f>HYPERLINK("http://www.ncbi.nlm.nih.gov/sites/entrez?cmd=retrieve&amp;db=gene&amp;list_uids=5066&amp;dopt=full_report", "PAM")</f>
        <v>PAM</v>
      </c>
      <c r="C48" s="2" t="s">
        <v>909</v>
      </c>
      <c r="D48" t="s">
        <v>1633</v>
      </c>
      <c r="E48" s="3" t="s">
        <v>910</v>
      </c>
      <c r="F48" s="4" t="s">
        <v>911</v>
      </c>
      <c r="G48" s="3" t="s">
        <v>912</v>
      </c>
      <c r="H48" s="3" t="s">
        <v>913</v>
      </c>
      <c r="I48" s="3" t="s">
        <v>1112</v>
      </c>
      <c r="J48" s="3" t="s">
        <v>914</v>
      </c>
    </row>
    <row r="49" spans="1:10" ht="14">
      <c r="A49" s="3" t="str">
        <f>HYPERLINK("http://www.ncbi.nlm.nih.gov/sites/entrez?cmd=retrieve&amp;db=gene&amp;list_uids=23052&amp;dopt=full_report","23052")</f>
        <v>23052</v>
      </c>
      <c r="B49" s="3" t="str">
        <f>HYPERLINK("http://www.ncbi.nlm.nih.gov/sites/entrez?cmd=retrieve&amp;db=gene&amp;list_uids=23052&amp;dopt=full_report", "ENDOD1")</f>
        <v>ENDOD1</v>
      </c>
      <c r="C49" s="2" t="s">
        <v>915</v>
      </c>
      <c r="D49" t="s">
        <v>1633</v>
      </c>
      <c r="E49" s="3" t="s">
        <v>1112</v>
      </c>
      <c r="F49" s="3" t="s">
        <v>861</v>
      </c>
      <c r="G49" s="3" t="s">
        <v>1112</v>
      </c>
      <c r="H49" s="3" t="s">
        <v>916</v>
      </c>
      <c r="I49" s="3" t="s">
        <v>1112</v>
      </c>
      <c r="J49" s="3" t="s">
        <v>1145</v>
      </c>
    </row>
    <row r="50" spans="1:10" s="14" customFormat="1" ht="14">
      <c r="A50" s="14" t="str">
        <f>HYPERLINK("http://www.ncbi.nlm.nih.gov/sites/entrez?cmd=retrieve&amp;db=gene&amp;list_uids=131034&amp;dopt=full_report","131034")</f>
        <v>131034</v>
      </c>
      <c r="B50" s="14" t="str">
        <f>HYPERLINK("http://www.ncbi.nlm.nih.gov/sites/entrez?cmd=retrieve&amp;db=gene&amp;list_uids=131034&amp;dopt=full_report", "CPNE4")</f>
        <v>CPNE4</v>
      </c>
      <c r="C50" s="15" t="s">
        <v>917</v>
      </c>
      <c r="D50" s="14" t="s">
        <v>1632</v>
      </c>
      <c r="E50" s="14" t="s">
        <v>1112</v>
      </c>
      <c r="F50" s="14" t="s">
        <v>1112</v>
      </c>
      <c r="G50" s="14" t="s">
        <v>1112</v>
      </c>
      <c r="H50" s="14" t="s">
        <v>918</v>
      </c>
      <c r="I50" s="14" t="s">
        <v>1112</v>
      </c>
      <c r="J50" s="14" t="s">
        <v>862</v>
      </c>
    </row>
    <row r="51" spans="1:10" ht="14">
      <c r="A51" s="3" t="str">
        <f>HYPERLINK("http://www.ncbi.nlm.nih.gov/sites/entrez?cmd=retrieve&amp;db=gene&amp;list_uids=9891&amp;dopt=full_report","9891")</f>
        <v>9891</v>
      </c>
      <c r="B51" s="3" t="str">
        <f>HYPERLINK("http://www.ncbi.nlm.nih.gov/sites/entrez?cmd=retrieve&amp;db=gene&amp;list_uids=9891&amp;dopt=full_report", "NUAK1")</f>
        <v>NUAK1</v>
      </c>
      <c r="C51" s="2" t="s">
        <v>863</v>
      </c>
      <c r="D51" t="s">
        <v>1633</v>
      </c>
      <c r="E51" s="3" t="s">
        <v>890</v>
      </c>
      <c r="F51" s="3" t="s">
        <v>864</v>
      </c>
      <c r="G51" s="3" t="s">
        <v>1112</v>
      </c>
      <c r="H51" s="3" t="s">
        <v>865</v>
      </c>
      <c r="I51" s="3" t="s">
        <v>866</v>
      </c>
      <c r="J51" s="3" t="s">
        <v>816</v>
      </c>
    </row>
    <row r="52" spans="1:10" s="14" customFormat="1" ht="14">
      <c r="A52" s="14" t="str">
        <f>HYPERLINK("http://www.ncbi.nlm.nih.gov/sites/entrez?cmd=retrieve&amp;db=gene&amp;list_uids=9527&amp;dopt=full_report","9527")</f>
        <v>9527</v>
      </c>
      <c r="B52" s="14" t="str">
        <f>HYPERLINK("http://www.ncbi.nlm.nih.gov/sites/entrez?cmd=retrieve&amp;db=gene&amp;list_uids=9527&amp;dopt=full_report", "GOSR1")</f>
        <v>GOSR1</v>
      </c>
      <c r="C52" s="15" t="s">
        <v>817</v>
      </c>
      <c r="D52" s="14" t="s">
        <v>1632</v>
      </c>
      <c r="E52" s="14" t="s">
        <v>868</v>
      </c>
      <c r="F52" s="14" t="s">
        <v>1112</v>
      </c>
      <c r="G52" s="14" t="s">
        <v>1092</v>
      </c>
      <c r="H52" s="14" t="s">
        <v>869</v>
      </c>
      <c r="I52" s="14" t="s">
        <v>1112</v>
      </c>
      <c r="J52" s="14" t="s">
        <v>870</v>
      </c>
    </row>
    <row r="53" spans="1:10" s="14" customFormat="1" ht="14">
      <c r="A53" s="14" t="str">
        <f>HYPERLINK("http://www.ncbi.nlm.nih.gov/sites/entrez?cmd=retrieve&amp;db=gene&amp;list_uids=10577&amp;dopt=full_report","10577")</f>
        <v>10577</v>
      </c>
      <c r="B53" s="14" t="str">
        <f>HYPERLINK("http://www.ncbi.nlm.nih.gov/sites/entrez?cmd=retrieve&amp;db=gene&amp;list_uids=10577&amp;dopt=full_report", "NPC2")</f>
        <v>NPC2</v>
      </c>
      <c r="C53" s="15" t="s">
        <v>871</v>
      </c>
      <c r="D53" s="14" t="s">
        <v>1632</v>
      </c>
      <c r="E53" s="14" t="s">
        <v>872</v>
      </c>
      <c r="F53" s="14" t="s">
        <v>873</v>
      </c>
      <c r="G53" s="14" t="s">
        <v>1112</v>
      </c>
      <c r="H53" s="14" t="s">
        <v>874</v>
      </c>
      <c r="I53" s="14" t="s">
        <v>1112</v>
      </c>
      <c r="J53" s="14" t="s">
        <v>1145</v>
      </c>
    </row>
    <row r="54" spans="1:10" ht="14">
      <c r="A54" s="3" t="str">
        <f>HYPERLINK("http://www.ncbi.nlm.nih.gov/sites/entrez?cmd=retrieve&amp;db=gene&amp;list_uids=1557&amp;dopt=full_report","1557")</f>
        <v>1557</v>
      </c>
      <c r="B54" s="3" t="str">
        <f>HYPERLINK("http://www.ncbi.nlm.nih.gov/sites/entrez?cmd=retrieve&amp;db=gene&amp;list_uids=1557&amp;dopt=full_report", "CYP2C19")</f>
        <v>CYP2C19</v>
      </c>
      <c r="C54" s="2" t="s">
        <v>875</v>
      </c>
      <c r="D54" t="s">
        <v>1633</v>
      </c>
      <c r="E54" s="3" t="s">
        <v>876</v>
      </c>
      <c r="F54" s="4" t="s">
        <v>882</v>
      </c>
      <c r="G54" s="3" t="s">
        <v>883</v>
      </c>
      <c r="H54" s="3" t="s">
        <v>884</v>
      </c>
      <c r="I54" s="3" t="s">
        <v>885</v>
      </c>
      <c r="J54" s="3" t="s">
        <v>914</v>
      </c>
    </row>
    <row r="55" spans="1:10" s="14" customFormat="1" ht="14">
      <c r="A55" s="14" t="str">
        <f>HYPERLINK("http://www.ncbi.nlm.nih.gov/sites/entrez?cmd=retrieve&amp;db=gene&amp;list_uids=22853&amp;dopt=full_report","22853")</f>
        <v>22853</v>
      </c>
      <c r="B55" s="14" t="str">
        <f>HYPERLINK("http://www.ncbi.nlm.nih.gov/sites/entrez?cmd=retrieve&amp;db=gene&amp;list_uids=22853&amp;dopt=full_report", "LMTK2")</f>
        <v>LMTK2</v>
      </c>
      <c r="C55" s="15" t="s">
        <v>886</v>
      </c>
      <c r="D55" s="14" t="s">
        <v>1632</v>
      </c>
      <c r="E55" s="14" t="s">
        <v>887</v>
      </c>
      <c r="F55" s="17" t="s">
        <v>838</v>
      </c>
      <c r="G55" s="14" t="s">
        <v>839</v>
      </c>
      <c r="H55" s="14" t="s">
        <v>840</v>
      </c>
      <c r="I55" s="14" t="s">
        <v>841</v>
      </c>
      <c r="J55" s="14" t="s">
        <v>842</v>
      </c>
    </row>
    <row r="56" spans="1:10" s="14" customFormat="1" ht="14">
      <c r="A56" s="14" t="str">
        <f>HYPERLINK("http://www.ncbi.nlm.nih.gov/sites/entrez?cmd=retrieve&amp;db=gene&amp;list_uids=157708&amp;dopt=full_report","157708")</f>
        <v>157708</v>
      </c>
      <c r="B56" s="14" t="str">
        <f>HYPERLINK("http://www.ncbi.nlm.nih.gov/sites/entrez?cmd=retrieve&amp;db=gene&amp;list_uids=157708&amp;dopt=full_report", "SEC11B")</f>
        <v>SEC11B</v>
      </c>
      <c r="C56" s="15" t="s">
        <v>843</v>
      </c>
      <c r="D56" s="14" t="s">
        <v>1632</v>
      </c>
      <c r="E56" s="14" t="s">
        <v>1112</v>
      </c>
      <c r="F56" s="14" t="s">
        <v>1112</v>
      </c>
      <c r="G56" s="14" t="s">
        <v>1112</v>
      </c>
      <c r="H56" s="14" t="s">
        <v>844</v>
      </c>
      <c r="I56" s="14" t="s">
        <v>1112</v>
      </c>
      <c r="J56" s="14" t="s">
        <v>1100</v>
      </c>
    </row>
    <row r="57" spans="1:10" s="14" customFormat="1" ht="14">
      <c r="A57" s="14" t="str">
        <f>HYPERLINK("http://www.ncbi.nlm.nih.gov/sites/entrez?cmd=retrieve&amp;db=gene&amp;list_uids=2054&amp;dopt=full_report","2054")</f>
        <v>2054</v>
      </c>
      <c r="B57" s="21" t="str">
        <f>HYPERLINK("http://www.ncbi.nlm.nih.gov/sites/entrez?cmd=retrieve&amp;db=gene&amp;list_uids=2054&amp;dopt=full_report", "STX2")</f>
        <v>STX2</v>
      </c>
      <c r="C57" s="15" t="s">
        <v>845</v>
      </c>
      <c r="D57" s="14" t="s">
        <v>1632</v>
      </c>
      <c r="E57" s="14" t="s">
        <v>846</v>
      </c>
      <c r="F57" s="14" t="s">
        <v>847</v>
      </c>
      <c r="G57" s="14" t="s">
        <v>835</v>
      </c>
      <c r="H57" s="14" t="s">
        <v>836</v>
      </c>
      <c r="I57" s="14" t="s">
        <v>837</v>
      </c>
      <c r="J57" s="14" t="s">
        <v>870</v>
      </c>
    </row>
    <row r="58" spans="1:10" s="14" customFormat="1" ht="14">
      <c r="A58" s="14" t="str">
        <f>HYPERLINK("http://www.ncbi.nlm.nih.gov/sites/entrez?cmd=retrieve&amp;db=gene&amp;list_uids=1452&amp;dopt=full_report","1452")</f>
        <v>1452</v>
      </c>
      <c r="B58" s="14" t="str">
        <f>HYPERLINK("http://www.ncbi.nlm.nih.gov/sites/entrez?cmd=retrieve&amp;db=gene&amp;list_uids=1452&amp;dopt=full_report", "CSNK1A1")</f>
        <v>CSNK1A1</v>
      </c>
      <c r="C58" s="15" t="s">
        <v>778</v>
      </c>
      <c r="D58" s="14" t="s">
        <v>1632</v>
      </c>
      <c r="E58" s="14" t="s">
        <v>851</v>
      </c>
      <c r="F58" s="14" t="s">
        <v>852</v>
      </c>
      <c r="G58" s="14" t="s">
        <v>1104</v>
      </c>
      <c r="H58" s="14" t="s">
        <v>853</v>
      </c>
      <c r="I58" s="14" t="s">
        <v>854</v>
      </c>
      <c r="J58" s="14" t="s">
        <v>816</v>
      </c>
    </row>
    <row r="59" spans="1:10" s="14" customFormat="1" ht="14">
      <c r="A59" s="14" t="str">
        <f>HYPERLINK("http://www.ncbi.nlm.nih.gov/sites/entrez?cmd=retrieve&amp;db=gene&amp;list_uids=11031&amp;dopt=full_report","11031")</f>
        <v>11031</v>
      </c>
      <c r="B59" s="14" t="str">
        <f>HYPERLINK("http://www.ncbi.nlm.nih.gov/sites/entrez?cmd=retrieve&amp;db=gene&amp;list_uids=11031&amp;dopt=full_report", "RAB31")</f>
        <v>RAB31</v>
      </c>
      <c r="C59" s="15" t="s">
        <v>855</v>
      </c>
      <c r="D59" s="14" t="s">
        <v>1632</v>
      </c>
      <c r="E59" s="14" t="s">
        <v>856</v>
      </c>
      <c r="F59" s="14" t="s">
        <v>857</v>
      </c>
      <c r="G59" s="14" t="s">
        <v>858</v>
      </c>
      <c r="H59" s="14" t="s">
        <v>1038</v>
      </c>
      <c r="I59" s="14" t="s">
        <v>859</v>
      </c>
      <c r="J59" s="14" t="s">
        <v>908</v>
      </c>
    </row>
    <row r="60" spans="1:10" ht="14">
      <c r="A60" s="3" t="str">
        <f>HYPERLINK("http://www.ncbi.nlm.nih.gov/sites/entrez?cmd=retrieve&amp;db=gene&amp;list_uids=1572&amp;dopt=full_report","1572")</f>
        <v>1572</v>
      </c>
      <c r="B60" s="3" t="str">
        <f>HYPERLINK("http://www.ncbi.nlm.nih.gov/sites/entrez?cmd=retrieve&amp;db=gene&amp;list_uids=1572&amp;dopt=full_report", "CYP2F1")</f>
        <v>CYP2F1</v>
      </c>
      <c r="C60" s="2" t="s">
        <v>791</v>
      </c>
      <c r="D60" t="s">
        <v>1633</v>
      </c>
      <c r="E60" s="3" t="s">
        <v>876</v>
      </c>
      <c r="F60" s="3" t="s">
        <v>792</v>
      </c>
      <c r="G60" s="3" t="s">
        <v>883</v>
      </c>
      <c r="H60" s="3" t="s">
        <v>884</v>
      </c>
      <c r="I60" s="3" t="s">
        <v>793</v>
      </c>
      <c r="J60" s="3" t="s">
        <v>914</v>
      </c>
    </row>
    <row r="61" spans="1:10" s="14" customFormat="1" ht="14">
      <c r="A61" s="14" t="str">
        <f>HYPERLINK("http://www.ncbi.nlm.nih.gov/sites/entrez?cmd=retrieve&amp;db=gene&amp;list_uids=92&amp;dopt=full_report","92")</f>
        <v>92</v>
      </c>
      <c r="B61" s="14" t="str">
        <f>HYPERLINK("http://www.ncbi.nlm.nih.gov/sites/entrez?cmd=retrieve&amp;db=gene&amp;list_uids=92&amp;dopt=full_report", "ACVR2A")</f>
        <v>ACVR2A</v>
      </c>
      <c r="C61" s="15" t="s">
        <v>794</v>
      </c>
      <c r="D61" s="14" t="s">
        <v>1632</v>
      </c>
      <c r="E61" s="17" t="s">
        <v>860</v>
      </c>
      <c r="F61" s="14" t="s">
        <v>810</v>
      </c>
      <c r="G61" s="14" t="s">
        <v>811</v>
      </c>
      <c r="H61" s="14" t="s">
        <v>812</v>
      </c>
      <c r="I61" s="14" t="s">
        <v>813</v>
      </c>
      <c r="J61" s="14" t="s">
        <v>814</v>
      </c>
    </row>
    <row r="62" spans="1:10" s="33" customFormat="1" ht="14">
      <c r="A62" s="33" t="str">
        <f>HYPERLINK("http://www.ncbi.nlm.nih.gov/sites/entrez?cmd=retrieve&amp;db=gene&amp;list_uids=9969&amp;dopt=full_report","9969")</f>
        <v>9969</v>
      </c>
      <c r="B62" s="33" t="str">
        <f>HYPERLINK("http://www.ncbi.nlm.nih.gov/sites/entrez?cmd=retrieve&amp;db=gene&amp;list_uids=9969&amp;dopt=full_report", "MED13")</f>
        <v>MED13</v>
      </c>
      <c r="C62" s="31" t="s">
        <v>815</v>
      </c>
      <c r="D62" s="30"/>
      <c r="E62" s="33" t="s">
        <v>818</v>
      </c>
      <c r="F62" s="33" t="s">
        <v>819</v>
      </c>
      <c r="G62" s="33" t="s">
        <v>820</v>
      </c>
      <c r="H62" s="33" t="s">
        <v>1093</v>
      </c>
      <c r="I62" s="33" t="s">
        <v>1094</v>
      </c>
      <c r="J62" s="33" t="s">
        <v>1145</v>
      </c>
    </row>
    <row r="63" spans="1:10" ht="14">
      <c r="A63" s="3" t="str">
        <f>HYPERLINK("http://www.ncbi.nlm.nih.gov/sites/entrez?cmd=retrieve&amp;db=gene&amp;list_uids=84342&amp;dopt=full_report","84342")</f>
        <v>84342</v>
      </c>
      <c r="B63" s="3" t="str">
        <f>HYPERLINK("http://www.ncbi.nlm.nih.gov/sites/entrez?cmd=retrieve&amp;db=gene&amp;list_uids=84342&amp;dopt=full_report", "COG8")</f>
        <v>COG8</v>
      </c>
      <c r="C63" s="2" t="s">
        <v>821</v>
      </c>
      <c r="D63" t="s">
        <v>1633</v>
      </c>
      <c r="E63" s="3" t="s">
        <v>822</v>
      </c>
      <c r="F63" s="3" t="s">
        <v>1112</v>
      </c>
      <c r="G63" s="3" t="s">
        <v>755</v>
      </c>
      <c r="H63" s="3" t="s">
        <v>756</v>
      </c>
      <c r="I63" s="3" t="s">
        <v>1112</v>
      </c>
      <c r="J63" s="3" t="s">
        <v>1145</v>
      </c>
    </row>
    <row r="64" spans="1:10" ht="14">
      <c r="A64" s="3" t="str">
        <f>HYPERLINK("http://www.ncbi.nlm.nih.gov/sites/entrez?cmd=retrieve&amp;db=gene&amp;list_uids=9581&amp;dopt=full_report","9581")</f>
        <v>9581</v>
      </c>
      <c r="B64" s="3" t="str">
        <f>HYPERLINK("http://www.ncbi.nlm.nih.gov/sites/entrez?cmd=retrieve&amp;db=gene&amp;list_uids=9581&amp;dopt=full_report", "PREPL")</f>
        <v>PREPL</v>
      </c>
      <c r="C64" s="2" t="s">
        <v>757</v>
      </c>
      <c r="D64" t="s">
        <v>1633</v>
      </c>
      <c r="E64" s="3" t="s">
        <v>758</v>
      </c>
      <c r="F64" s="3" t="s">
        <v>759</v>
      </c>
      <c r="G64" s="3" t="s">
        <v>1112</v>
      </c>
      <c r="H64" s="3" t="s">
        <v>760</v>
      </c>
      <c r="I64" s="3" t="s">
        <v>761</v>
      </c>
      <c r="J64" s="3" t="s">
        <v>1100</v>
      </c>
    </row>
    <row r="65" spans="1:10" ht="14">
      <c r="A65" s="3" t="str">
        <f>HYPERLINK("http://www.ncbi.nlm.nih.gov/sites/entrez?cmd=retrieve&amp;db=gene&amp;list_uids=79733&amp;dopt=full_report","79733")</f>
        <v>79733</v>
      </c>
      <c r="B65" s="3" t="str">
        <f>HYPERLINK("http://www.ncbi.nlm.nih.gov/sites/entrez?cmd=retrieve&amp;db=gene&amp;list_uids=79733&amp;dopt=full_report", "E2F8")</f>
        <v>E2F8</v>
      </c>
      <c r="C65" s="2" t="s">
        <v>749</v>
      </c>
      <c r="D65" t="s">
        <v>1633</v>
      </c>
      <c r="E65" s="3" t="s">
        <v>750</v>
      </c>
      <c r="F65" s="3" t="s">
        <v>751</v>
      </c>
      <c r="G65" s="3" t="s">
        <v>752</v>
      </c>
      <c r="H65" s="3" t="s">
        <v>753</v>
      </c>
      <c r="I65" s="3" t="s">
        <v>754</v>
      </c>
      <c r="J65" s="3" t="s">
        <v>762</v>
      </c>
    </row>
    <row r="66" spans="1:10" s="14" customFormat="1" ht="14">
      <c r="A66" s="14" t="str">
        <f>HYPERLINK("http://www.ncbi.nlm.nih.gov/sites/entrez?cmd=retrieve&amp;db=gene&amp;list_uids=7145&amp;dopt=full_report","7145")</f>
        <v>7145</v>
      </c>
      <c r="B66" s="14" t="str">
        <f>HYPERLINK("http://www.ncbi.nlm.nih.gov/sites/entrez?cmd=retrieve&amp;db=gene&amp;list_uids=7145&amp;dopt=full_report", "TNS1")</f>
        <v>TNS1</v>
      </c>
      <c r="C66" s="15" t="s">
        <v>763</v>
      </c>
      <c r="D66" s="14" t="s">
        <v>1632</v>
      </c>
      <c r="E66" s="14" t="s">
        <v>764</v>
      </c>
      <c r="F66" s="14" t="s">
        <v>765</v>
      </c>
      <c r="G66" s="14" t="s">
        <v>823</v>
      </c>
      <c r="H66" s="14" t="s">
        <v>824</v>
      </c>
      <c r="I66" s="14" t="s">
        <v>825</v>
      </c>
      <c r="J66" s="14" t="s">
        <v>826</v>
      </c>
    </row>
    <row r="67" spans="1:10" ht="14">
      <c r="A67" s="3" t="str">
        <f>HYPERLINK("http://www.ncbi.nlm.nih.gov/sites/entrez?cmd=retrieve&amp;db=gene&amp;list_uids=339398&amp;dopt=full_report","339398")</f>
        <v>339398</v>
      </c>
      <c r="B67" s="3" t="str">
        <f>HYPERLINK("http://www.ncbi.nlm.nih.gov/sites/entrez?cmd=retrieve&amp;db=gene&amp;list_uids=339398&amp;dopt=full_report", "LINGO4")</f>
        <v>LINGO4</v>
      </c>
      <c r="C67" s="2" t="s">
        <v>827</v>
      </c>
      <c r="D67" t="s">
        <v>1633</v>
      </c>
      <c r="E67" s="3" t="s">
        <v>1112</v>
      </c>
      <c r="F67" s="3" t="s">
        <v>933</v>
      </c>
      <c r="G67" s="3" t="s">
        <v>1092</v>
      </c>
      <c r="H67" s="3" t="s">
        <v>1025</v>
      </c>
      <c r="I67" s="3" t="s">
        <v>828</v>
      </c>
      <c r="J67" s="3" t="s">
        <v>1027</v>
      </c>
    </row>
    <row r="68" spans="1:10" ht="14">
      <c r="A68" s="3" t="str">
        <f>HYPERLINK("http://www.ncbi.nlm.nih.gov/sites/entrez?cmd=retrieve&amp;db=gene&amp;list_uids=1259&amp;dopt=full_report","1259")</f>
        <v>1259</v>
      </c>
      <c r="B68" s="3" t="str">
        <f>HYPERLINK("http://www.ncbi.nlm.nih.gov/sites/entrez?cmd=retrieve&amp;db=gene&amp;list_uids=1259&amp;dopt=full_report", "CNGA1")</f>
        <v>CNGA1</v>
      </c>
      <c r="C68" s="2" t="s">
        <v>829</v>
      </c>
      <c r="D68" t="s">
        <v>1633</v>
      </c>
      <c r="E68" s="3" t="s">
        <v>830</v>
      </c>
      <c r="F68" s="3" t="s">
        <v>831</v>
      </c>
      <c r="G68" s="3" t="s">
        <v>832</v>
      </c>
      <c r="H68" s="3" t="s">
        <v>833</v>
      </c>
      <c r="I68" s="3" t="s">
        <v>834</v>
      </c>
      <c r="J68" s="3" t="s">
        <v>781</v>
      </c>
    </row>
    <row r="69" spans="1:10" s="14" customFormat="1" ht="14">
      <c r="A69" s="14" t="str">
        <f>HYPERLINK("http://www.ncbi.nlm.nih.gov/sites/entrez?cmd=retrieve&amp;db=gene&amp;list_uids=5826&amp;dopt=full_report","5826")</f>
        <v>5826</v>
      </c>
      <c r="B69" s="14" t="str">
        <f>HYPERLINK("http://www.ncbi.nlm.nih.gov/sites/entrez?cmd=retrieve&amp;db=gene&amp;list_uids=5826&amp;dopt=full_report", "ABCD4")</f>
        <v>ABCD4</v>
      </c>
      <c r="C69" s="15" t="s">
        <v>782</v>
      </c>
      <c r="D69" s="14" t="s">
        <v>1632</v>
      </c>
      <c r="E69" s="14" t="s">
        <v>783</v>
      </c>
      <c r="F69" s="14" t="s">
        <v>784</v>
      </c>
      <c r="G69" s="14" t="s">
        <v>785</v>
      </c>
      <c r="H69" s="14" t="s">
        <v>786</v>
      </c>
      <c r="I69" s="14" t="s">
        <v>787</v>
      </c>
      <c r="J69" s="14" t="s">
        <v>788</v>
      </c>
    </row>
    <row r="70" spans="1:10" ht="14">
      <c r="A70" s="3" t="str">
        <f>HYPERLINK("http://www.ncbi.nlm.nih.gov/sites/entrez?cmd=retrieve&amp;db=gene&amp;list_uids=256356&amp;dopt=full_report","256356")</f>
        <v>256356</v>
      </c>
      <c r="B70" s="3" t="str">
        <f>HYPERLINK("http://www.ncbi.nlm.nih.gov/sites/entrez?cmd=retrieve&amp;db=gene&amp;list_uids=256356&amp;dopt=full_report", "GK5")</f>
        <v>GK5</v>
      </c>
      <c r="C70" s="2" t="s">
        <v>789</v>
      </c>
      <c r="D70" t="s">
        <v>1633</v>
      </c>
      <c r="E70" s="3" t="s">
        <v>790</v>
      </c>
      <c r="F70" s="3" t="s">
        <v>721</v>
      </c>
      <c r="G70" s="3" t="s">
        <v>1112</v>
      </c>
      <c r="H70" s="3" t="s">
        <v>715</v>
      </c>
      <c r="I70" s="3" t="s">
        <v>716</v>
      </c>
      <c r="J70" s="3" t="s">
        <v>717</v>
      </c>
    </row>
    <row r="71" spans="1:10" s="14" customFormat="1" ht="14">
      <c r="A71" s="14" t="str">
        <f>HYPERLINK("http://www.ncbi.nlm.nih.gov/sites/entrez?cmd=retrieve&amp;db=gene&amp;list_uids=10026&amp;dopt=full_report","10026")</f>
        <v>10026</v>
      </c>
      <c r="B71" s="14" t="str">
        <f>HYPERLINK("http://www.ncbi.nlm.nih.gov/sites/entrez?cmd=retrieve&amp;db=gene&amp;list_uids=10026&amp;dopt=full_report", "PIGK")</f>
        <v>PIGK</v>
      </c>
      <c r="C71" s="15" t="s">
        <v>718</v>
      </c>
      <c r="D71" s="14" t="s">
        <v>1632</v>
      </c>
      <c r="E71" s="14" t="s">
        <v>719</v>
      </c>
      <c r="F71" s="14" t="s">
        <v>722</v>
      </c>
      <c r="G71" s="14" t="s">
        <v>723</v>
      </c>
      <c r="H71" s="14" t="s">
        <v>724</v>
      </c>
      <c r="I71" s="14" t="s">
        <v>725</v>
      </c>
      <c r="J71" s="14" t="s">
        <v>726</v>
      </c>
    </row>
    <row r="72" spans="1:10" s="14" customFormat="1" ht="14">
      <c r="A72" s="14" t="str">
        <f>HYPERLINK("http://www.ncbi.nlm.nih.gov/sites/entrez?cmd=retrieve&amp;db=gene&amp;list_uids=94239&amp;dopt=full_report","94239")</f>
        <v>94239</v>
      </c>
      <c r="B72" s="14" t="str">
        <f>HYPERLINK("http://www.ncbi.nlm.nih.gov/sites/entrez?cmd=retrieve&amp;db=gene&amp;list_uids=94239&amp;dopt=full_report", "H2AFV")</f>
        <v>H2AFV</v>
      </c>
      <c r="C72" s="15" t="s">
        <v>727</v>
      </c>
      <c r="D72" s="14" t="s">
        <v>1632</v>
      </c>
      <c r="E72" s="14" t="s">
        <v>728</v>
      </c>
      <c r="F72" s="14" t="s">
        <v>729</v>
      </c>
      <c r="G72" s="14" t="s">
        <v>795</v>
      </c>
      <c r="H72" s="14" t="s">
        <v>796</v>
      </c>
      <c r="I72" s="14" t="s">
        <v>1112</v>
      </c>
      <c r="J72" s="14" t="s">
        <v>797</v>
      </c>
    </row>
    <row r="73" spans="1:10" ht="14">
      <c r="A73" s="3" t="str">
        <f>HYPERLINK("http://www.ncbi.nlm.nih.gov/sites/entrez?cmd=retrieve&amp;db=gene&amp;list_uids=433&amp;dopt=full_report","433")</f>
        <v>433</v>
      </c>
      <c r="B73" s="3" t="str">
        <f>HYPERLINK("http://www.ncbi.nlm.nih.gov/sites/entrez?cmd=retrieve&amp;db=gene&amp;list_uids=433&amp;dopt=full_report", "ASGR2")</f>
        <v>ASGR2</v>
      </c>
      <c r="C73" s="2" t="s">
        <v>798</v>
      </c>
      <c r="D73" t="s">
        <v>1633</v>
      </c>
      <c r="E73" s="3" t="s">
        <v>799</v>
      </c>
      <c r="F73" s="3" t="s">
        <v>800</v>
      </c>
      <c r="G73" s="3" t="s">
        <v>801</v>
      </c>
      <c r="H73" s="3" t="s">
        <v>802</v>
      </c>
      <c r="I73" s="3" t="s">
        <v>803</v>
      </c>
      <c r="J73" s="3" t="s">
        <v>804</v>
      </c>
    </row>
    <row r="74" spans="1:10" s="14" customFormat="1" ht="14">
      <c r="A74" s="14" t="str">
        <f>HYPERLINK("http://www.ncbi.nlm.nih.gov/sites/entrez?cmd=retrieve&amp;db=gene&amp;list_uids=29127&amp;dopt=full_report","29127")</f>
        <v>29127</v>
      </c>
      <c r="B74" s="14" t="str">
        <f>HYPERLINK("http://www.ncbi.nlm.nih.gov/sites/entrez?cmd=retrieve&amp;db=gene&amp;list_uids=29127&amp;dopt=full_report", "RACGAP1")</f>
        <v>RACGAP1</v>
      </c>
      <c r="C74" s="15" t="s">
        <v>805</v>
      </c>
      <c r="D74" s="14" t="s">
        <v>1632</v>
      </c>
      <c r="E74" s="14" t="s">
        <v>806</v>
      </c>
      <c r="F74" s="14" t="s">
        <v>807</v>
      </c>
      <c r="G74" s="14" t="s">
        <v>808</v>
      </c>
      <c r="H74" s="14" t="s">
        <v>809</v>
      </c>
      <c r="I74" s="14" t="s">
        <v>744</v>
      </c>
      <c r="J74" s="14" t="s">
        <v>745</v>
      </c>
    </row>
    <row r="75" spans="1:10" ht="14">
      <c r="A75" s="3" t="str">
        <f>HYPERLINK("http://www.ncbi.nlm.nih.gov/sites/entrez?cmd=retrieve&amp;db=gene&amp;list_uids=3614&amp;dopt=full_report","3614")</f>
        <v>3614</v>
      </c>
      <c r="B75" s="3" t="str">
        <f>HYPERLINK("http://www.ncbi.nlm.nih.gov/sites/entrez?cmd=retrieve&amp;db=gene&amp;list_uids=3614&amp;dopt=full_report", "IMPDH1")</f>
        <v>IMPDH1</v>
      </c>
      <c r="C75" s="2" t="s">
        <v>747</v>
      </c>
      <c r="D75" t="s">
        <v>1633</v>
      </c>
      <c r="E75" s="3" t="s">
        <v>748</v>
      </c>
      <c r="F75" s="3" t="s">
        <v>746</v>
      </c>
      <c r="G75" s="3" t="s">
        <v>1112</v>
      </c>
      <c r="H75" s="3" t="s">
        <v>685</v>
      </c>
      <c r="I75" s="3" t="s">
        <v>686</v>
      </c>
      <c r="J75" s="3" t="s">
        <v>1020</v>
      </c>
    </row>
    <row r="76" spans="1:10" s="14" customFormat="1" ht="14">
      <c r="A76" s="14" t="str">
        <f>HYPERLINK("http://www.ncbi.nlm.nih.gov/sites/entrez?cmd=retrieve&amp;db=gene&amp;list_uids=10894&amp;dopt=full_report","10894")</f>
        <v>10894</v>
      </c>
      <c r="B76" s="14" t="str">
        <f>HYPERLINK("http://www.ncbi.nlm.nih.gov/sites/entrez?cmd=retrieve&amp;db=gene&amp;list_uids=10894&amp;dopt=full_report", "LYVE1")</f>
        <v>LYVE1</v>
      </c>
      <c r="C76" s="15" t="s">
        <v>687</v>
      </c>
      <c r="D76" s="14" t="s">
        <v>1632</v>
      </c>
      <c r="E76" s="14" t="s">
        <v>691</v>
      </c>
      <c r="F76" s="14" t="s">
        <v>692</v>
      </c>
      <c r="G76" s="14" t="s">
        <v>693</v>
      </c>
      <c r="H76" s="14" t="s">
        <v>694</v>
      </c>
      <c r="I76" s="14" t="s">
        <v>695</v>
      </c>
      <c r="J76" s="14" t="s">
        <v>1145</v>
      </c>
    </row>
    <row r="77" spans="1:10" s="14" customFormat="1" ht="14">
      <c r="A77" s="14" t="str">
        <f>HYPERLINK("http://www.ncbi.nlm.nih.gov/sites/entrez?cmd=retrieve&amp;db=gene&amp;list_uids=5563&amp;dopt=full_report","5563")</f>
        <v>5563</v>
      </c>
      <c r="B77" s="14" t="str">
        <f>HYPERLINK("http://www.ncbi.nlm.nih.gov/sites/entrez?cmd=retrieve&amp;db=gene&amp;list_uids=5563&amp;dopt=full_report", "PRKAA2")</f>
        <v>PRKAA2</v>
      </c>
      <c r="C77" s="15" t="s">
        <v>696</v>
      </c>
      <c r="D77" s="14" t="s">
        <v>1632</v>
      </c>
      <c r="E77" s="14" t="s">
        <v>766</v>
      </c>
      <c r="F77" s="14" t="s">
        <v>767</v>
      </c>
      <c r="G77" s="14" t="s">
        <v>1122</v>
      </c>
      <c r="H77" s="14" t="s">
        <v>865</v>
      </c>
      <c r="I77" s="14" t="s">
        <v>768</v>
      </c>
      <c r="J77" s="14" t="s">
        <v>816</v>
      </c>
    </row>
    <row r="78" spans="1:10" ht="14">
      <c r="A78" s="3" t="str">
        <f>HYPERLINK("http://www.ncbi.nlm.nih.gov/sites/entrez?cmd=retrieve&amp;db=gene&amp;list_uids=3939&amp;dopt=full_report","3939")</f>
        <v>3939</v>
      </c>
      <c r="B78" s="3" t="str">
        <f>HYPERLINK("http://www.ncbi.nlm.nih.gov/sites/entrez?cmd=retrieve&amp;db=gene&amp;list_uids=3939&amp;dopt=full_report", "LDHA")</f>
        <v>LDHA</v>
      </c>
      <c r="C78" s="2" t="s">
        <v>769</v>
      </c>
      <c r="D78" t="s">
        <v>1633</v>
      </c>
      <c r="E78" s="3" t="s">
        <v>770</v>
      </c>
      <c r="F78" s="3" t="s">
        <v>632</v>
      </c>
      <c r="G78" s="3" t="s">
        <v>1018</v>
      </c>
      <c r="H78" s="3" t="s">
        <v>633</v>
      </c>
      <c r="I78" s="3" t="s">
        <v>634</v>
      </c>
      <c r="J78" s="3" t="s">
        <v>1020</v>
      </c>
    </row>
    <row r="79" spans="1:10" ht="14">
      <c r="A79" s="3" t="str">
        <f>HYPERLINK("http://www.ncbi.nlm.nih.gov/sites/entrez?cmd=retrieve&amp;db=gene&amp;list_uids=59352&amp;dopt=full_report","59352")</f>
        <v>59352</v>
      </c>
      <c r="B79" s="3" t="str">
        <f>HYPERLINK("http://www.ncbi.nlm.nih.gov/sites/entrez?cmd=retrieve&amp;db=gene&amp;list_uids=59352&amp;dopt=full_report", "LGR6")</f>
        <v>LGR6</v>
      </c>
      <c r="C79" s="2" t="s">
        <v>771</v>
      </c>
      <c r="D79" t="s">
        <v>1633</v>
      </c>
      <c r="E79" s="3" t="s">
        <v>772</v>
      </c>
      <c r="F79" s="3" t="s">
        <v>773</v>
      </c>
      <c r="G79" s="3" t="s">
        <v>1092</v>
      </c>
      <c r="H79" s="3" t="s">
        <v>1025</v>
      </c>
      <c r="I79" s="3" t="s">
        <v>774</v>
      </c>
      <c r="J79" s="3" t="s">
        <v>1027</v>
      </c>
    </row>
    <row r="80" spans="1:10" ht="14">
      <c r="A80" s="3" t="str">
        <f>HYPERLINK("http://www.ncbi.nlm.nih.gov/sites/entrez?cmd=retrieve&amp;db=gene&amp;list_uids=347732&amp;dopt=full_report","347732")</f>
        <v>347732</v>
      </c>
      <c r="B80" s="3" t="str">
        <f>HYPERLINK("http://www.ncbi.nlm.nih.gov/sites/entrez?cmd=retrieve&amp;db=gene&amp;list_uids=347732&amp;dopt=full_report", "CATSPER3")</f>
        <v>CATSPER3</v>
      </c>
      <c r="C80" s="2" t="s">
        <v>775</v>
      </c>
      <c r="D80" t="s">
        <v>1633</v>
      </c>
      <c r="E80" s="3" t="s">
        <v>776</v>
      </c>
      <c r="F80" s="3" t="s">
        <v>777</v>
      </c>
      <c r="G80" s="3" t="s">
        <v>710</v>
      </c>
      <c r="H80" s="3" t="s">
        <v>1070</v>
      </c>
      <c r="I80" s="3" t="s">
        <v>711</v>
      </c>
      <c r="J80" s="3" t="s">
        <v>964</v>
      </c>
    </row>
    <row r="81" spans="1:10" ht="14">
      <c r="A81" s="3" t="str">
        <f>HYPERLINK("http://www.ncbi.nlm.nih.gov/sites/entrez?cmd=retrieve&amp;db=gene&amp;list_uids=55224&amp;dopt=full_report","55224")</f>
        <v>55224</v>
      </c>
      <c r="B81" s="3" t="str">
        <f>HYPERLINK("http://www.ncbi.nlm.nih.gov/sites/entrez?cmd=retrieve&amp;db=gene&amp;list_uids=55224&amp;dopt=full_report", "ETNK2")</f>
        <v>ETNK2</v>
      </c>
      <c r="C81" s="2" t="s">
        <v>712</v>
      </c>
      <c r="D81" t="s">
        <v>1633</v>
      </c>
      <c r="E81" s="3" t="s">
        <v>713</v>
      </c>
      <c r="F81" s="3" t="s">
        <v>779</v>
      </c>
      <c r="G81" s="3" t="s">
        <v>780</v>
      </c>
      <c r="H81" s="3" t="s">
        <v>714</v>
      </c>
      <c r="I81" s="3" t="s">
        <v>649</v>
      </c>
      <c r="J81" s="3" t="s">
        <v>650</v>
      </c>
    </row>
    <row r="82" spans="1:10" ht="14">
      <c r="A82" s="3" t="str">
        <f>HYPERLINK("http://www.ncbi.nlm.nih.gov/sites/entrez?cmd=retrieve&amp;db=gene&amp;list_uids=2203&amp;dopt=full_report","2203")</f>
        <v>2203</v>
      </c>
      <c r="B82" s="3" t="str">
        <f>HYPERLINK("http://www.ncbi.nlm.nih.gov/sites/entrez?cmd=retrieve&amp;db=gene&amp;list_uids=2203&amp;dopt=full_report", "FBP1")</f>
        <v>FBP1</v>
      </c>
      <c r="C82" s="2" t="s">
        <v>651</v>
      </c>
      <c r="D82" t="s">
        <v>1633</v>
      </c>
      <c r="E82" s="3" t="s">
        <v>652</v>
      </c>
      <c r="F82" s="3" t="s">
        <v>656</v>
      </c>
      <c r="G82" s="3" t="s">
        <v>1112</v>
      </c>
      <c r="H82" s="3" t="s">
        <v>720</v>
      </c>
      <c r="I82" s="3" t="s">
        <v>1112</v>
      </c>
      <c r="J82" s="3" t="s">
        <v>659</v>
      </c>
    </row>
    <row r="83" spans="1:10" s="14" customFormat="1" ht="14">
      <c r="A83" s="14" t="str">
        <f>HYPERLINK("http://www.ncbi.nlm.nih.gov/sites/entrez?cmd=retrieve&amp;db=gene&amp;list_uids=10267&amp;dopt=full_report","10267")</f>
        <v>10267</v>
      </c>
      <c r="B83" s="14" t="str">
        <f>HYPERLINK("http://www.ncbi.nlm.nih.gov/sites/entrez?cmd=retrieve&amp;db=gene&amp;list_uids=10267&amp;dopt=full_report", "RAMP1")</f>
        <v>RAMP1</v>
      </c>
      <c r="C83" s="15" t="s">
        <v>660</v>
      </c>
      <c r="D83" s="14" t="s">
        <v>1632</v>
      </c>
      <c r="E83" s="14" t="s">
        <v>661</v>
      </c>
      <c r="F83" s="14" t="s">
        <v>662</v>
      </c>
      <c r="G83" s="14" t="s">
        <v>1130</v>
      </c>
      <c r="H83" s="14" t="s">
        <v>663</v>
      </c>
      <c r="I83" s="14" t="s">
        <v>664</v>
      </c>
      <c r="J83" s="14" t="s">
        <v>804</v>
      </c>
    </row>
    <row r="84" spans="1:10" s="14" customFormat="1" ht="14">
      <c r="A84" s="14" t="str">
        <f>HYPERLINK("http://www.ncbi.nlm.nih.gov/sites/entrez?cmd=retrieve&amp;db=gene&amp;list_uids=9639&amp;dopt=full_report","9639")</f>
        <v>9639</v>
      </c>
      <c r="B84" s="14" t="str">
        <f>HYPERLINK("http://www.ncbi.nlm.nih.gov/sites/entrez?cmd=retrieve&amp;db=gene&amp;list_uids=9639&amp;dopt=full_report", "ARHGEF10")</f>
        <v>ARHGEF10</v>
      </c>
      <c r="C84" s="15" t="s">
        <v>665</v>
      </c>
      <c r="D84" s="14" t="s">
        <v>1632</v>
      </c>
      <c r="E84" s="14" t="s">
        <v>666</v>
      </c>
      <c r="F84" s="14" t="s">
        <v>730</v>
      </c>
      <c r="G84" s="14" t="s">
        <v>957</v>
      </c>
      <c r="H84" s="14" t="s">
        <v>600</v>
      </c>
      <c r="I84" s="14" t="s">
        <v>601</v>
      </c>
      <c r="J84" s="14" t="s">
        <v>602</v>
      </c>
    </row>
    <row r="85" spans="1:10" s="14" customFormat="1" ht="14">
      <c r="A85" s="14" t="str">
        <f>HYPERLINK("http://www.ncbi.nlm.nih.gov/sites/entrez?cmd=retrieve&amp;db=gene&amp;list_uids=3570&amp;dopt=full_report","3570")</f>
        <v>3570</v>
      </c>
      <c r="B85" s="14" t="str">
        <f>HYPERLINK("http://www.ncbi.nlm.nih.gov/sites/entrez?cmd=retrieve&amp;db=gene&amp;list_uids=3570&amp;dopt=full_report", "IL6R")</f>
        <v>IL6R</v>
      </c>
      <c r="C85" s="15" t="s">
        <v>603</v>
      </c>
      <c r="D85" s="14" t="s">
        <v>1632</v>
      </c>
      <c r="E85" s="14" t="s">
        <v>731</v>
      </c>
      <c r="F85" s="14" t="s">
        <v>732</v>
      </c>
      <c r="G85" s="14" t="s">
        <v>733</v>
      </c>
      <c r="H85" s="14" t="s">
        <v>734</v>
      </c>
      <c r="I85" s="14" t="s">
        <v>735</v>
      </c>
      <c r="J85" s="14" t="s">
        <v>736</v>
      </c>
    </row>
    <row r="86" spans="1:10" ht="14">
      <c r="A86" s="3" t="str">
        <f>HYPERLINK("http://www.ncbi.nlm.nih.gov/sites/entrez?cmd=retrieve&amp;db=gene&amp;list_uids=7473&amp;dopt=full_report","7473")</f>
        <v>7473</v>
      </c>
      <c r="B86" s="3" t="str">
        <f>HYPERLINK("http://www.ncbi.nlm.nih.gov/sites/entrez?cmd=retrieve&amp;db=gene&amp;list_uids=7473&amp;dopt=full_report", "WNT3")</f>
        <v>WNT3</v>
      </c>
      <c r="C86" s="2" t="s">
        <v>737</v>
      </c>
      <c r="D86" t="s">
        <v>1633</v>
      </c>
      <c r="E86" s="3" t="s">
        <v>738</v>
      </c>
      <c r="F86" s="3" t="s">
        <v>739</v>
      </c>
      <c r="G86" s="3" t="s">
        <v>740</v>
      </c>
      <c r="H86" s="3" t="s">
        <v>741</v>
      </c>
      <c r="I86" s="3" t="s">
        <v>742</v>
      </c>
      <c r="J86" s="3" t="s">
        <v>1090</v>
      </c>
    </row>
    <row r="87" spans="1:10" ht="14">
      <c r="A87" s="3" t="str">
        <f>HYPERLINK("http://www.ncbi.nlm.nih.gov/sites/entrez?cmd=retrieve&amp;db=gene&amp;list_uids=55277&amp;dopt=full_report","55277")</f>
        <v>55277</v>
      </c>
      <c r="B87" s="3" t="str">
        <f>HYPERLINK("http://www.ncbi.nlm.nih.gov/sites/entrez?cmd=retrieve&amp;db=gene&amp;list_uids=55277&amp;dopt=full_report", "FLJ10986")</f>
        <v>FLJ10986</v>
      </c>
      <c r="C87" s="2" t="s">
        <v>743</v>
      </c>
      <c r="D87" t="s">
        <v>1633</v>
      </c>
      <c r="E87" s="3" t="s">
        <v>680</v>
      </c>
      <c r="F87" s="3" t="s">
        <v>1112</v>
      </c>
      <c r="G87" s="3" t="s">
        <v>1112</v>
      </c>
      <c r="H87" s="3" t="s">
        <v>715</v>
      </c>
      <c r="I87" s="3" t="s">
        <v>681</v>
      </c>
      <c r="J87" s="3" t="s">
        <v>717</v>
      </c>
    </row>
    <row r="88" spans="1:10" s="14" customFormat="1" ht="14">
      <c r="A88" s="14" t="str">
        <f>HYPERLINK("http://www.ncbi.nlm.nih.gov/sites/entrez?cmd=retrieve&amp;db=gene&amp;list_uids=11082&amp;dopt=full_report","11082")</f>
        <v>11082</v>
      </c>
      <c r="B88" s="14" t="str">
        <f>HYPERLINK("http://www.ncbi.nlm.nih.gov/sites/entrez?cmd=retrieve&amp;db=gene&amp;list_uids=11082&amp;dopt=full_report", "ESM1")</f>
        <v>ESM1</v>
      </c>
      <c r="C88" s="15" t="s">
        <v>682</v>
      </c>
      <c r="D88" s="14" t="s">
        <v>1632</v>
      </c>
      <c r="E88" s="14" t="s">
        <v>683</v>
      </c>
      <c r="F88" s="14" t="s">
        <v>616</v>
      </c>
      <c r="G88" s="14" t="s">
        <v>617</v>
      </c>
      <c r="H88" s="14" t="s">
        <v>618</v>
      </c>
      <c r="I88" s="14" t="s">
        <v>1112</v>
      </c>
      <c r="J88" s="14" t="s">
        <v>1056</v>
      </c>
    </row>
    <row r="89" spans="1:10" ht="14">
      <c r="A89" s="3" t="str">
        <f>HYPERLINK("http://www.ncbi.nlm.nih.gov/sites/entrez?cmd=retrieve&amp;db=gene&amp;list_uids=174&amp;dopt=full_report","174")</f>
        <v>174</v>
      </c>
      <c r="B89" s="3" t="str">
        <f>HYPERLINK("http://www.ncbi.nlm.nih.gov/sites/entrez?cmd=retrieve&amp;db=gene&amp;list_uids=174&amp;dopt=full_report", "AFP")</f>
        <v>AFP</v>
      </c>
      <c r="C89" s="2" t="s">
        <v>619</v>
      </c>
      <c r="D89" t="s">
        <v>1633</v>
      </c>
      <c r="E89" s="3" t="s">
        <v>620</v>
      </c>
      <c r="F89" s="3" t="s">
        <v>688</v>
      </c>
      <c r="G89" s="3" t="s">
        <v>1118</v>
      </c>
      <c r="H89" s="3" t="s">
        <v>689</v>
      </c>
      <c r="I89" s="3" t="s">
        <v>690</v>
      </c>
      <c r="J89" s="3" t="s">
        <v>625</v>
      </c>
    </row>
    <row r="90" spans="1:10" s="14" customFormat="1" ht="14">
      <c r="A90" s="14" t="str">
        <f>HYPERLINK("http://www.ncbi.nlm.nih.gov/sites/entrez?cmd=retrieve&amp;db=gene&amp;list_uids=5684&amp;dopt=full_report","5684")</f>
        <v>5684</v>
      </c>
      <c r="B90" s="14" t="str">
        <f>HYPERLINK("http://www.ncbi.nlm.nih.gov/sites/entrez?cmd=retrieve&amp;db=gene&amp;list_uids=5684&amp;dopt=full_report", "PSMA3")</f>
        <v>PSMA3</v>
      </c>
      <c r="C90" s="15" t="s">
        <v>626</v>
      </c>
      <c r="D90" s="14" t="s">
        <v>1632</v>
      </c>
      <c r="E90" s="14" t="s">
        <v>627</v>
      </c>
      <c r="F90" s="14" t="s">
        <v>628</v>
      </c>
      <c r="G90" s="14" t="s">
        <v>629</v>
      </c>
      <c r="H90" s="14" t="s">
        <v>630</v>
      </c>
      <c r="I90" s="14" t="s">
        <v>631</v>
      </c>
      <c r="J90" s="14" t="s">
        <v>572</v>
      </c>
    </row>
    <row r="91" spans="1:10" ht="14">
      <c r="A91" s="3" t="str">
        <f>HYPERLINK("http://www.ncbi.nlm.nih.gov/sites/entrez?cmd=retrieve&amp;db=gene&amp;list_uids=438&amp;dopt=full_report","438")</f>
        <v>438</v>
      </c>
      <c r="B91" s="3" t="str">
        <f>HYPERLINK("http://www.ncbi.nlm.nih.gov/sites/entrez?cmd=retrieve&amp;db=gene&amp;list_uids=438&amp;dopt=full_report", "ASMT")</f>
        <v>ASMT</v>
      </c>
      <c r="C91" s="2" t="s">
        <v>697</v>
      </c>
      <c r="D91" t="s">
        <v>1633</v>
      </c>
      <c r="E91" s="3" t="s">
        <v>698</v>
      </c>
      <c r="F91" s="3" t="s">
        <v>699</v>
      </c>
      <c r="G91" s="3" t="s">
        <v>1112</v>
      </c>
      <c r="H91" s="3" t="s">
        <v>700</v>
      </c>
      <c r="I91" s="3" t="s">
        <v>1112</v>
      </c>
      <c r="J91" s="3" t="s">
        <v>701</v>
      </c>
    </row>
    <row r="92" spans="1:10" s="14" customFormat="1" ht="14">
      <c r="A92" s="14" t="str">
        <f>HYPERLINK("http://www.ncbi.nlm.nih.gov/sites/entrez?cmd=retrieve&amp;db=gene&amp;list_uids=34&amp;dopt=full_report","34")</f>
        <v>34</v>
      </c>
      <c r="B92" s="14" t="str">
        <f>HYPERLINK("http://www.ncbi.nlm.nih.gov/sites/entrez?cmd=retrieve&amp;db=gene&amp;list_uids=34&amp;dopt=full_report", "ACADM")</f>
        <v>ACADM</v>
      </c>
      <c r="C92" s="15" t="s">
        <v>702</v>
      </c>
      <c r="D92" s="14" t="s">
        <v>1632</v>
      </c>
      <c r="E92" s="14" t="s">
        <v>703</v>
      </c>
      <c r="F92" s="14" t="s">
        <v>704</v>
      </c>
      <c r="G92" s="14" t="s">
        <v>705</v>
      </c>
      <c r="H92" s="14" t="s">
        <v>706</v>
      </c>
      <c r="I92" s="14" t="s">
        <v>707</v>
      </c>
      <c r="J92" s="14" t="s">
        <v>1020</v>
      </c>
    </row>
    <row r="93" spans="1:10" ht="14">
      <c r="A93" s="3" t="str">
        <f>HYPERLINK("http://www.ncbi.nlm.nih.gov/sites/entrez?cmd=retrieve&amp;db=gene&amp;list_uids=1903&amp;dopt=full_report","1903")</f>
        <v>1903</v>
      </c>
      <c r="B93" s="3" t="str">
        <f>HYPERLINK("http://www.ncbi.nlm.nih.gov/sites/entrez?cmd=retrieve&amp;db=gene&amp;list_uids=1903&amp;dopt=full_report", "EDG3")</f>
        <v>EDG3</v>
      </c>
      <c r="C93" s="2" t="s">
        <v>708</v>
      </c>
      <c r="D93" t="s">
        <v>1633</v>
      </c>
      <c r="E93" s="4" t="s">
        <v>709</v>
      </c>
      <c r="F93" s="3" t="s">
        <v>648</v>
      </c>
      <c r="G93" s="3" t="s">
        <v>1130</v>
      </c>
      <c r="H93" s="3" t="s">
        <v>588</v>
      </c>
      <c r="I93" s="3" t="s">
        <v>589</v>
      </c>
      <c r="J93" s="3" t="s">
        <v>590</v>
      </c>
    </row>
    <row r="94" spans="1:10" ht="14">
      <c r="A94" s="3" t="str">
        <f>HYPERLINK("http://www.ncbi.nlm.nih.gov/sites/entrez?cmd=retrieve&amp;db=gene&amp;list_uids=8683&amp;dopt=full_report","8683")</f>
        <v>8683</v>
      </c>
      <c r="B94" s="3" t="str">
        <f>HYPERLINK("http://www.ncbi.nlm.nih.gov/sites/entrez?cmd=retrieve&amp;db=gene&amp;list_uids=8683&amp;dopt=full_report", "SFRS9")</f>
        <v>SFRS9</v>
      </c>
      <c r="C94" s="2" t="s">
        <v>591</v>
      </c>
      <c r="D94" t="s">
        <v>1633</v>
      </c>
      <c r="E94" s="3" t="s">
        <v>657</v>
      </c>
      <c r="F94" s="3" t="s">
        <v>658</v>
      </c>
      <c r="G94" s="3" t="s">
        <v>1112</v>
      </c>
      <c r="H94" s="3" t="s">
        <v>593</v>
      </c>
      <c r="I94" s="3" t="s">
        <v>1112</v>
      </c>
      <c r="J94" s="3" t="s">
        <v>653</v>
      </c>
    </row>
    <row r="95" spans="1:10" s="14" customFormat="1" ht="14">
      <c r="A95" s="14" t="str">
        <f>HYPERLINK("http://www.ncbi.nlm.nih.gov/sites/entrez?cmd=retrieve&amp;db=gene&amp;list_uids=3082&amp;dopt=full_report","3082")</f>
        <v>3082</v>
      </c>
      <c r="B95" s="14" t="str">
        <f>HYPERLINK("http://www.ncbi.nlm.nih.gov/sites/entrez?cmd=retrieve&amp;db=gene&amp;list_uids=3082&amp;dopt=full_report", "HGF")</f>
        <v>HGF</v>
      </c>
      <c r="C95" s="15" t="s">
        <v>654</v>
      </c>
      <c r="D95" s="14" t="s">
        <v>1632</v>
      </c>
      <c r="E95" s="14" t="s">
        <v>655</v>
      </c>
      <c r="F95" s="14" t="s">
        <v>598</v>
      </c>
      <c r="G95" s="14" t="s">
        <v>780</v>
      </c>
      <c r="H95" s="14" t="s">
        <v>1098</v>
      </c>
      <c r="I95" s="14" t="s">
        <v>599</v>
      </c>
      <c r="J95" s="17" t="s">
        <v>667</v>
      </c>
    </row>
    <row r="96" spans="1:10" s="14" customFormat="1" ht="14">
      <c r="A96" s="14" t="str">
        <f>HYPERLINK("http://www.ncbi.nlm.nih.gov/sites/entrez?cmd=retrieve&amp;db=gene&amp;list_uids=9256&amp;dopt=full_report","9256")</f>
        <v>9256</v>
      </c>
      <c r="B96" s="14" t="str">
        <f>HYPERLINK("http://www.ncbi.nlm.nih.gov/sites/entrez?cmd=retrieve&amp;db=gene&amp;list_uids=9256&amp;dopt=full_report", "BZRAP1")</f>
        <v>BZRAP1</v>
      </c>
      <c r="C96" s="15" t="s">
        <v>668</v>
      </c>
      <c r="D96" s="14" t="s">
        <v>1632</v>
      </c>
      <c r="E96" s="14" t="s">
        <v>713</v>
      </c>
      <c r="F96" s="14" t="s">
        <v>669</v>
      </c>
      <c r="G96" s="14" t="s">
        <v>670</v>
      </c>
      <c r="H96" s="14" t="s">
        <v>671</v>
      </c>
      <c r="I96" s="14" t="s">
        <v>672</v>
      </c>
      <c r="J96" s="14" t="s">
        <v>1145</v>
      </c>
    </row>
    <row r="97" spans="1:10" s="14" customFormat="1" ht="14">
      <c r="A97" s="14" t="str">
        <f>HYPERLINK("http://www.ncbi.nlm.nih.gov/sites/entrez?cmd=retrieve&amp;db=gene&amp;list_uids=8301&amp;dopt=full_report","8301")</f>
        <v>8301</v>
      </c>
      <c r="B97" s="14" t="str">
        <f>HYPERLINK("http://www.ncbi.nlm.nih.gov/sites/entrez?cmd=retrieve&amp;db=gene&amp;list_uids=8301&amp;dopt=full_report", "PICALM")</f>
        <v>PICALM</v>
      </c>
      <c r="C97" s="15" t="s">
        <v>673</v>
      </c>
      <c r="D97" s="14" t="s">
        <v>1632</v>
      </c>
      <c r="E97" s="14" t="s">
        <v>674</v>
      </c>
      <c r="F97" s="14" t="s">
        <v>675</v>
      </c>
      <c r="G97" s="14" t="s">
        <v>676</v>
      </c>
      <c r="H97" s="14" t="s">
        <v>677</v>
      </c>
      <c r="I97" s="14" t="s">
        <v>678</v>
      </c>
      <c r="J97" s="14" t="s">
        <v>679</v>
      </c>
    </row>
    <row r="98" spans="1:10" ht="14">
      <c r="A98" s="3" t="str">
        <f>HYPERLINK("http://www.ncbi.nlm.nih.gov/sites/entrez?cmd=retrieve&amp;db=gene&amp;list_uids=3760&amp;dopt=full_report","3760")</f>
        <v>3760</v>
      </c>
      <c r="B98" s="3" t="str">
        <f>HYPERLINK("http://www.ncbi.nlm.nih.gov/sites/entrez?cmd=retrieve&amp;db=gene&amp;list_uids=3760&amp;dopt=full_report", "KCNJ3")</f>
        <v>KCNJ3</v>
      </c>
      <c r="C98" s="2" t="s">
        <v>560</v>
      </c>
      <c r="D98" t="s">
        <v>1633</v>
      </c>
      <c r="E98" s="3" t="s">
        <v>561</v>
      </c>
      <c r="F98" s="3" t="s">
        <v>562</v>
      </c>
      <c r="G98" s="3" t="s">
        <v>684</v>
      </c>
      <c r="H98" s="3" t="s">
        <v>624</v>
      </c>
      <c r="I98" s="3" t="s">
        <v>563</v>
      </c>
      <c r="J98" s="3" t="s">
        <v>902</v>
      </c>
    </row>
    <row r="99" spans="1:10" s="14" customFormat="1" ht="14">
      <c r="A99" s="14" t="str">
        <f>HYPERLINK("http://www.ncbi.nlm.nih.gov/sites/entrez?cmd=retrieve&amp;db=gene&amp;list_uids=60386&amp;dopt=full_report","60386")</f>
        <v>60386</v>
      </c>
      <c r="B99" s="14" t="str">
        <f>HYPERLINK("http://www.ncbi.nlm.nih.gov/sites/entrez?cmd=retrieve&amp;db=gene&amp;list_uids=60386&amp;dopt=full_report", "SLC25A19")</f>
        <v>SLC25A19</v>
      </c>
      <c r="C99" s="15" t="s">
        <v>621</v>
      </c>
      <c r="D99" s="14" t="s">
        <v>1632</v>
      </c>
      <c r="E99" s="14" t="s">
        <v>622</v>
      </c>
      <c r="F99" s="14" t="s">
        <v>623</v>
      </c>
      <c r="G99" s="14" t="s">
        <v>566</v>
      </c>
      <c r="H99" s="14" t="s">
        <v>567</v>
      </c>
      <c r="I99" s="14" t="s">
        <v>568</v>
      </c>
      <c r="J99" s="14" t="s">
        <v>569</v>
      </c>
    </row>
    <row r="100" spans="1:10" ht="14">
      <c r="A100" s="3" t="str">
        <f>HYPERLINK("http://www.ncbi.nlm.nih.gov/sites/entrez?cmd=retrieve&amp;db=gene&amp;list_uids=23284&amp;dopt=full_report","23284")</f>
        <v>23284</v>
      </c>
      <c r="B100" s="3" t="str">
        <f>HYPERLINK("http://www.ncbi.nlm.nih.gov/sites/entrez?cmd=retrieve&amp;db=gene&amp;list_uids=23284&amp;dopt=full_report", "LPHN3")</f>
        <v>LPHN3</v>
      </c>
      <c r="C100" s="2" t="s">
        <v>570</v>
      </c>
      <c r="D100" t="s">
        <v>1633</v>
      </c>
      <c r="E100" s="3" t="s">
        <v>571</v>
      </c>
      <c r="F100" s="3" t="s">
        <v>635</v>
      </c>
      <c r="G100" s="3" t="s">
        <v>839</v>
      </c>
      <c r="H100" s="3" t="s">
        <v>588</v>
      </c>
      <c r="I100" s="3" t="s">
        <v>636</v>
      </c>
      <c r="J100" s="3" t="s">
        <v>590</v>
      </c>
    </row>
    <row r="101" spans="1:10" s="14" customFormat="1" ht="14">
      <c r="A101" s="14" t="str">
        <f>HYPERLINK("http://www.ncbi.nlm.nih.gov/sites/entrez?cmd=retrieve&amp;db=gene&amp;list_uids=28983&amp;dopt=full_report","28983")</f>
        <v>28983</v>
      </c>
      <c r="B101" s="14" t="str">
        <f>HYPERLINK("http://www.ncbi.nlm.nih.gov/sites/entrez?cmd=retrieve&amp;db=gene&amp;list_uids=28983&amp;dopt=full_report", "TMPRSS11E")</f>
        <v>TMPRSS11E</v>
      </c>
      <c r="C101" s="15" t="s">
        <v>637</v>
      </c>
      <c r="D101" s="14" t="s">
        <v>1632</v>
      </c>
      <c r="E101" s="14" t="s">
        <v>758</v>
      </c>
      <c r="F101" s="14" t="s">
        <v>638</v>
      </c>
      <c r="G101" s="14" t="s">
        <v>639</v>
      </c>
      <c r="H101" s="14" t="s">
        <v>1098</v>
      </c>
      <c r="I101" s="14" t="s">
        <v>640</v>
      </c>
      <c r="J101" s="14" t="s">
        <v>1100</v>
      </c>
    </row>
    <row r="102" spans="1:10" s="14" customFormat="1" ht="14">
      <c r="A102" s="14" t="str">
        <f>HYPERLINK("http://www.ncbi.nlm.nih.gov/sites/entrez?cmd=retrieve&amp;db=gene&amp;list_uids=914&amp;dopt=full_report","914")</f>
        <v>914</v>
      </c>
      <c r="B102" s="14" t="str">
        <f>HYPERLINK("http://www.ncbi.nlm.nih.gov/sites/entrez?cmd=retrieve&amp;db=gene&amp;list_uids=914&amp;dopt=full_report", "CD2")</f>
        <v>CD2</v>
      </c>
      <c r="C102" s="15" t="s">
        <v>641</v>
      </c>
      <c r="D102" s="14" t="s">
        <v>1632</v>
      </c>
      <c r="E102" s="17" t="s">
        <v>642</v>
      </c>
      <c r="F102" s="14" t="s">
        <v>643</v>
      </c>
      <c r="G102" s="14" t="s">
        <v>639</v>
      </c>
      <c r="H102" s="14" t="s">
        <v>644</v>
      </c>
      <c r="I102" s="14" t="s">
        <v>645</v>
      </c>
      <c r="J102" s="14" t="s">
        <v>646</v>
      </c>
    </row>
    <row r="103" spans="1:10" s="33" customFormat="1" ht="14">
      <c r="A103" s="33" t="str">
        <f>HYPERLINK("http://www.ncbi.nlm.nih.gov/sites/entrez?cmd=retrieve&amp;db=gene&amp;list_uids=9457&amp;dopt=full_report","9457")</f>
        <v>9457</v>
      </c>
      <c r="B103" s="33" t="str">
        <f>HYPERLINK("http://www.ncbi.nlm.nih.gov/sites/entrez?cmd=retrieve&amp;db=gene&amp;list_uids=9457&amp;dopt=full_report", "FHL5")</f>
        <v>FHL5</v>
      </c>
      <c r="C103" s="31" t="s">
        <v>647</v>
      </c>
      <c r="D103" s="30"/>
      <c r="E103" s="33" t="s">
        <v>1112</v>
      </c>
      <c r="F103" s="33" t="s">
        <v>594</v>
      </c>
      <c r="G103" s="33" t="s">
        <v>1112</v>
      </c>
      <c r="H103" s="33" t="s">
        <v>595</v>
      </c>
      <c r="I103" s="33" t="s">
        <v>596</v>
      </c>
      <c r="J103" s="33" t="s">
        <v>592</v>
      </c>
    </row>
    <row r="104" spans="1:10" s="14" customFormat="1" ht="14">
      <c r="A104" s="14" t="str">
        <f>HYPERLINK("http://www.ncbi.nlm.nih.gov/sites/entrez?cmd=retrieve&amp;db=gene&amp;list_uids=10013&amp;dopt=full_report","10013")</f>
        <v>10013</v>
      </c>
      <c r="B104" s="14" t="str">
        <f>HYPERLINK("http://www.ncbi.nlm.nih.gov/sites/entrez?cmd=retrieve&amp;db=gene&amp;list_uids=10013&amp;dopt=full_report", "HDAC6")</f>
        <v>HDAC6</v>
      </c>
      <c r="C104" s="15" t="s">
        <v>597</v>
      </c>
      <c r="D104" s="14" t="s">
        <v>1632</v>
      </c>
      <c r="E104" s="14" t="s">
        <v>541</v>
      </c>
      <c r="F104" s="14" t="s">
        <v>542</v>
      </c>
      <c r="G104" s="14" t="s">
        <v>543</v>
      </c>
      <c r="H104" s="14" t="s">
        <v>1078</v>
      </c>
      <c r="I104" s="14" t="s">
        <v>544</v>
      </c>
      <c r="J104" s="14" t="s">
        <v>1080</v>
      </c>
    </row>
    <row r="105" spans="1:10" s="14" customFormat="1" ht="14">
      <c r="A105" s="14" t="str">
        <f>HYPERLINK("http://www.ncbi.nlm.nih.gov/sites/entrez?cmd=retrieve&amp;db=gene&amp;list_uids=3001&amp;dopt=full_report","3001")</f>
        <v>3001</v>
      </c>
      <c r="B105" s="14" t="str">
        <f>HYPERLINK("http://www.ncbi.nlm.nih.gov/sites/entrez?cmd=retrieve&amp;db=gene&amp;list_uids=3001&amp;dopt=full_report", "GZMA")</f>
        <v>GZMA</v>
      </c>
      <c r="C105" s="15" t="s">
        <v>545</v>
      </c>
      <c r="D105" s="14" t="s">
        <v>1632</v>
      </c>
      <c r="E105" s="14" t="s">
        <v>604</v>
      </c>
      <c r="F105" s="14" t="s">
        <v>605</v>
      </c>
      <c r="G105" s="14" t="s">
        <v>606</v>
      </c>
      <c r="H105" s="14" t="s">
        <v>1098</v>
      </c>
      <c r="I105" s="14" t="s">
        <v>607</v>
      </c>
      <c r="J105" s="14" t="s">
        <v>1100</v>
      </c>
    </row>
    <row r="106" spans="1:10" ht="14">
      <c r="A106" s="3" t="str">
        <f>HYPERLINK("http://www.ncbi.nlm.nih.gov/sites/entrez?cmd=retrieve&amp;db=gene&amp;list_uids=29108&amp;dopt=full_report","29108")</f>
        <v>29108</v>
      </c>
      <c r="B106" s="3" t="str">
        <f>HYPERLINK("http://www.ncbi.nlm.nih.gov/sites/entrez?cmd=retrieve&amp;db=gene&amp;list_uids=29108&amp;dopt=full_report", "PYCARD")</f>
        <v>PYCARD</v>
      </c>
      <c r="C106" s="2" t="s">
        <v>608</v>
      </c>
      <c r="D106" t="s">
        <v>1633</v>
      </c>
      <c r="E106" s="3" t="s">
        <v>609</v>
      </c>
      <c r="F106" s="3" t="s">
        <v>610</v>
      </c>
      <c r="G106" s="3" t="s">
        <v>1164</v>
      </c>
      <c r="H106" s="3" t="s">
        <v>611</v>
      </c>
      <c r="I106" s="3" t="s">
        <v>612</v>
      </c>
      <c r="J106" s="3" t="s">
        <v>1114</v>
      </c>
    </row>
    <row r="107" spans="1:10" s="33" customFormat="1" ht="14">
      <c r="A107" s="33" t="str">
        <f>HYPERLINK("http://www.ncbi.nlm.nih.gov/sites/entrez?cmd=retrieve&amp;db=gene&amp;list_uids=9862&amp;dopt=full_report","9862")</f>
        <v>9862</v>
      </c>
      <c r="B107" s="33" t="str">
        <f>HYPERLINK("http://www.ncbi.nlm.nih.gov/sites/entrez?cmd=retrieve&amp;db=gene&amp;list_uids=9862&amp;dopt=full_report", "MED24")</f>
        <v>MED24</v>
      </c>
      <c r="C107" s="31" t="s">
        <v>613</v>
      </c>
      <c r="D107" s="30"/>
      <c r="E107" s="33" t="s">
        <v>614</v>
      </c>
      <c r="F107" s="37" t="s">
        <v>615</v>
      </c>
      <c r="G107" s="33" t="s">
        <v>820</v>
      </c>
      <c r="H107" s="33" t="s">
        <v>512</v>
      </c>
      <c r="I107" s="33" t="s">
        <v>1112</v>
      </c>
      <c r="J107" s="33" t="s">
        <v>938</v>
      </c>
    </row>
    <row r="108" spans="1:10" s="14" customFormat="1" ht="14">
      <c r="A108" s="14" t="str">
        <f>HYPERLINK("http://www.ncbi.nlm.nih.gov/sites/entrez?cmd=retrieve&amp;db=gene&amp;list_uids=3843&amp;dopt=full_report","3843")</f>
        <v>3843</v>
      </c>
      <c r="B108" s="21" t="str">
        <f>HYPERLINK("http://www.ncbi.nlm.nih.gov/sites/entrez?cmd=retrieve&amp;db=gene&amp;list_uids=3843&amp;dopt=full_report", "IPO5")</f>
        <v>IPO5</v>
      </c>
      <c r="C108" s="15" t="s">
        <v>564</v>
      </c>
      <c r="D108" s="14" t="s">
        <v>1632</v>
      </c>
      <c r="E108" s="14" t="s">
        <v>565</v>
      </c>
      <c r="F108" s="14" t="s">
        <v>514</v>
      </c>
      <c r="G108" s="14" t="s">
        <v>515</v>
      </c>
      <c r="H108" s="14" t="s">
        <v>516</v>
      </c>
      <c r="I108" s="14" t="s">
        <v>517</v>
      </c>
      <c r="J108" s="14" t="s">
        <v>518</v>
      </c>
    </row>
    <row r="109" spans="1:10" s="14" customFormat="1" ht="14">
      <c r="A109" s="14" t="str">
        <f>HYPERLINK("http://www.ncbi.nlm.nih.gov/sites/entrez?cmd=retrieve&amp;db=gene&amp;list_uids=31&amp;dopt=full_report","31")</f>
        <v>31</v>
      </c>
      <c r="B109" s="14" t="str">
        <f>HYPERLINK("http://www.ncbi.nlm.nih.gov/sites/entrez?cmd=retrieve&amp;db=gene&amp;list_uids=31&amp;dopt=full_report", "ACACA")</f>
        <v>ACACA</v>
      </c>
      <c r="C109" s="15" t="s">
        <v>519</v>
      </c>
      <c r="D109" s="14" t="s">
        <v>1632</v>
      </c>
      <c r="E109" s="14" t="s">
        <v>520</v>
      </c>
      <c r="F109" s="14" t="s">
        <v>573</v>
      </c>
      <c r="G109" s="14" t="s">
        <v>1104</v>
      </c>
      <c r="H109" s="14" t="s">
        <v>574</v>
      </c>
      <c r="I109" s="14" t="s">
        <v>575</v>
      </c>
      <c r="J109" s="14" t="s">
        <v>576</v>
      </c>
    </row>
    <row r="110" spans="1:10" s="14" customFormat="1" ht="14">
      <c r="A110" s="14" t="str">
        <f>HYPERLINK("http://www.ncbi.nlm.nih.gov/sites/entrez?cmd=retrieve&amp;db=gene&amp;list_uids=316&amp;dopt=full_report","316")</f>
        <v>316</v>
      </c>
      <c r="B110" s="14" t="str">
        <f>HYPERLINK("http://www.ncbi.nlm.nih.gov/sites/entrez?cmd=retrieve&amp;db=gene&amp;list_uids=316&amp;dopt=full_report", "AOX1")</f>
        <v>AOX1</v>
      </c>
      <c r="C110" s="15" t="s">
        <v>577</v>
      </c>
      <c r="D110" s="14" t="s">
        <v>1632</v>
      </c>
      <c r="E110" s="14" t="s">
        <v>579</v>
      </c>
      <c r="F110" s="14" t="s">
        <v>580</v>
      </c>
      <c r="G110" s="14" t="s">
        <v>1104</v>
      </c>
      <c r="H110" s="14" t="s">
        <v>581</v>
      </c>
      <c r="I110" s="14" t="s">
        <v>582</v>
      </c>
      <c r="J110" s="14" t="s">
        <v>1145</v>
      </c>
    </row>
    <row r="111" spans="1:10" s="19" customFormat="1" ht="14">
      <c r="A111" s="19" t="str">
        <f>HYPERLINK("http://www.ncbi.nlm.nih.gov/sites/entrez?cmd=retrieve&amp;db=gene&amp;list_uids=4005&amp;dopt=full_report","4005")</f>
        <v>4005</v>
      </c>
      <c r="B111" s="19" t="str">
        <f>HYPERLINK("http://www.ncbi.nlm.nih.gov/sites/entrez?cmd=retrieve&amp;db=gene&amp;list_uids=4005&amp;dopt=full_report", "LMO2")</f>
        <v>LMO2</v>
      </c>
      <c r="C111" s="20" t="s">
        <v>583</v>
      </c>
      <c r="D111" s="14" t="s">
        <v>1632</v>
      </c>
      <c r="E111" s="19" t="s">
        <v>584</v>
      </c>
      <c r="F111" s="19" t="s">
        <v>1143</v>
      </c>
      <c r="G111" s="19" t="s">
        <v>1112</v>
      </c>
      <c r="H111" s="19" t="s">
        <v>595</v>
      </c>
      <c r="I111" s="19" t="s">
        <v>585</v>
      </c>
      <c r="J111" s="19" t="s">
        <v>930</v>
      </c>
    </row>
    <row r="112" spans="1:10" s="33" customFormat="1" ht="14">
      <c r="A112" s="33" t="str">
        <f>HYPERLINK("http://www.ncbi.nlm.nih.gov/sites/entrez?cmd=retrieve&amp;db=gene&amp;list_uids=3184&amp;dopt=full_report","3184")</f>
        <v>3184</v>
      </c>
      <c r="B112" s="33" t="str">
        <f>HYPERLINK("http://www.ncbi.nlm.nih.gov/sites/entrez?cmd=retrieve&amp;db=gene&amp;list_uids=3184&amp;dopt=full_report", "HNRPD")</f>
        <v>HNRPD</v>
      </c>
      <c r="C112" s="31" t="s">
        <v>586</v>
      </c>
      <c r="D112" s="30"/>
      <c r="E112" s="33" t="s">
        <v>587</v>
      </c>
      <c r="F112" s="33" t="s">
        <v>536</v>
      </c>
      <c r="G112" s="33" t="s">
        <v>537</v>
      </c>
      <c r="H112" s="33" t="s">
        <v>484</v>
      </c>
      <c r="I112" s="33" t="s">
        <v>485</v>
      </c>
      <c r="J112" s="33" t="s">
        <v>486</v>
      </c>
    </row>
    <row r="113" spans="1:10" s="14" customFormat="1" ht="14">
      <c r="A113" s="14" t="str">
        <f>HYPERLINK("http://www.ncbi.nlm.nih.gov/sites/entrez?cmd=retrieve&amp;db=gene&amp;list_uids=9547&amp;dopt=full_report","9547")</f>
        <v>9547</v>
      </c>
      <c r="B113" s="14" t="str">
        <f>HYPERLINK("http://www.ncbi.nlm.nih.gov/sites/entrez?cmd=retrieve&amp;db=gene&amp;list_uids=9547&amp;dopt=full_report", "CXCL14")</f>
        <v>CXCL14</v>
      </c>
      <c r="C113" s="15" t="s">
        <v>487</v>
      </c>
      <c r="D113" s="14" t="s">
        <v>1632</v>
      </c>
      <c r="E113" s="14" t="s">
        <v>488</v>
      </c>
      <c r="F113" s="14" t="s">
        <v>538</v>
      </c>
      <c r="G113" s="14" t="s">
        <v>539</v>
      </c>
      <c r="H113" s="14" t="s">
        <v>1093</v>
      </c>
      <c r="I113" s="14" t="s">
        <v>1112</v>
      </c>
      <c r="J113" s="14" t="s">
        <v>1145</v>
      </c>
    </row>
    <row r="114" spans="1:10" s="33" customFormat="1" ht="14">
      <c r="A114" s="33" t="str">
        <f>HYPERLINK("http://www.ncbi.nlm.nih.gov/sites/entrez?cmd=retrieve&amp;db=gene&amp;list_uids=8648&amp;dopt=full_report","8648")</f>
        <v>8648</v>
      </c>
      <c r="B114" s="33" t="str">
        <f>HYPERLINK("http://www.ncbi.nlm.nih.gov/sites/entrez?cmd=retrieve&amp;db=gene&amp;list_uids=8648&amp;dopt=full_report", "NCOA1")</f>
        <v>NCOA1</v>
      </c>
      <c r="C114" s="31" t="s">
        <v>540</v>
      </c>
      <c r="D114" s="30"/>
      <c r="E114" s="33" t="s">
        <v>489</v>
      </c>
      <c r="F114" s="37" t="s">
        <v>490</v>
      </c>
      <c r="G114" s="33" t="s">
        <v>546</v>
      </c>
      <c r="H114" s="33" t="s">
        <v>547</v>
      </c>
      <c r="I114" s="33" t="s">
        <v>548</v>
      </c>
      <c r="J114" s="33" t="s">
        <v>549</v>
      </c>
    </row>
    <row r="115" spans="1:10" s="14" customFormat="1" ht="14">
      <c r="A115" s="14" t="str">
        <f>HYPERLINK("http://www.ncbi.nlm.nih.gov/sites/entrez?cmd=retrieve&amp;db=gene&amp;list_uids=5311&amp;dopt=full_report","5311")</f>
        <v>5311</v>
      </c>
      <c r="B115" s="14" t="str">
        <f>HYPERLINK("http://www.ncbi.nlm.nih.gov/sites/entrez?cmd=retrieve&amp;db=gene&amp;list_uids=5311&amp;dopt=full_report", "PKD2")</f>
        <v>PKD2</v>
      </c>
      <c r="C115" s="15" t="s">
        <v>550</v>
      </c>
      <c r="D115" s="14" t="s">
        <v>1632</v>
      </c>
      <c r="E115" s="14" t="s">
        <v>551</v>
      </c>
      <c r="F115" s="14" t="s">
        <v>552</v>
      </c>
      <c r="G115" s="14" t="s">
        <v>553</v>
      </c>
      <c r="H115" s="14" t="s">
        <v>554</v>
      </c>
      <c r="I115" s="14" t="s">
        <v>555</v>
      </c>
      <c r="J115" s="14" t="s">
        <v>964</v>
      </c>
    </row>
    <row r="116" spans="1:10" s="14" customFormat="1" ht="14">
      <c r="A116" s="14" t="str">
        <f>HYPERLINK("http://www.ncbi.nlm.nih.gov/sites/entrez?cmd=retrieve&amp;db=gene&amp;list_uids=59067&amp;dopt=full_report","59067")</f>
        <v>59067</v>
      </c>
      <c r="B116" s="14" t="str">
        <f>HYPERLINK("http://www.ncbi.nlm.nih.gov/sites/entrez?cmd=retrieve&amp;db=gene&amp;list_uids=59067&amp;dopt=full_report", "IL21")</f>
        <v>IL21</v>
      </c>
      <c r="C116" s="15" t="s">
        <v>556</v>
      </c>
      <c r="D116" s="14" t="s">
        <v>1632</v>
      </c>
      <c r="E116" s="14" t="s">
        <v>557</v>
      </c>
      <c r="F116" s="14" t="s">
        <v>558</v>
      </c>
      <c r="G116" s="14" t="s">
        <v>1085</v>
      </c>
      <c r="H116" s="14" t="s">
        <v>1093</v>
      </c>
      <c r="I116" s="14" t="s">
        <v>1112</v>
      </c>
      <c r="J116" s="14" t="s">
        <v>1145</v>
      </c>
    </row>
    <row r="117" spans="1:10" s="14" customFormat="1" ht="14">
      <c r="A117" s="14" t="str">
        <f>HYPERLINK("http://www.ncbi.nlm.nih.gov/sites/entrez?cmd=retrieve&amp;db=gene&amp;list_uids=4939&amp;dopt=full_report","4939")</f>
        <v>4939</v>
      </c>
      <c r="B117" s="14" t="str">
        <f>HYPERLINK("http://www.ncbi.nlm.nih.gov/sites/entrez?cmd=retrieve&amp;db=gene&amp;list_uids=4939&amp;dopt=full_report", "OAS2")</f>
        <v>OAS2</v>
      </c>
      <c r="C117" s="15" t="s">
        <v>559</v>
      </c>
      <c r="D117" s="14" t="s">
        <v>1632</v>
      </c>
      <c r="E117" s="14" t="s">
        <v>511</v>
      </c>
      <c r="F117" s="14" t="s">
        <v>456</v>
      </c>
      <c r="G117" s="14" t="s">
        <v>457</v>
      </c>
      <c r="H117" s="14" t="s">
        <v>458</v>
      </c>
      <c r="I117" s="14" t="s">
        <v>459</v>
      </c>
      <c r="J117" s="14" t="s">
        <v>513</v>
      </c>
    </row>
    <row r="118" spans="1:10" s="14" customFormat="1" ht="14">
      <c r="A118" s="14" t="str">
        <f>HYPERLINK("http://www.ncbi.nlm.nih.gov/sites/entrez?cmd=retrieve&amp;db=gene&amp;list_uids=3064&amp;dopt=full_report","3064")</f>
        <v>3064</v>
      </c>
      <c r="B118" s="14" t="str">
        <f>HYPERLINK("http://www.ncbi.nlm.nih.gov/sites/entrez?cmd=retrieve&amp;db=gene&amp;list_uids=3064&amp;dopt=full_report", "HD")</f>
        <v>HD</v>
      </c>
      <c r="C118" s="15" t="s">
        <v>460</v>
      </c>
      <c r="D118" s="14" t="s">
        <v>1632</v>
      </c>
      <c r="E118" s="14" t="s">
        <v>461</v>
      </c>
      <c r="F118" s="14" t="s">
        <v>462</v>
      </c>
      <c r="G118" s="14" t="s">
        <v>463</v>
      </c>
      <c r="H118" s="14" t="s">
        <v>464</v>
      </c>
      <c r="I118" s="14" t="s">
        <v>464</v>
      </c>
      <c r="J118" s="14" t="s">
        <v>1145</v>
      </c>
    </row>
    <row r="119" spans="1:10" s="14" customFormat="1" ht="14">
      <c r="A119" s="14" t="str">
        <f>HYPERLINK("http://www.ncbi.nlm.nih.gov/sites/entrez?cmd=retrieve&amp;db=gene&amp;list_uids=1244&amp;dopt=full_report","1244")</f>
        <v>1244</v>
      </c>
      <c r="B119" s="14" t="str">
        <f>HYPERLINK("http://www.ncbi.nlm.nih.gov/sites/entrez?cmd=retrieve&amp;db=gene&amp;list_uids=1244&amp;dopt=full_report", "ABCC2")</f>
        <v>ABCC2</v>
      </c>
      <c r="C119" s="15" t="s">
        <v>521</v>
      </c>
      <c r="D119" s="14" t="s">
        <v>1632</v>
      </c>
      <c r="E119" s="14" t="s">
        <v>960</v>
      </c>
      <c r="F119" s="14" t="s">
        <v>522</v>
      </c>
      <c r="G119" s="14" t="s">
        <v>639</v>
      </c>
      <c r="H119" s="14" t="s">
        <v>578</v>
      </c>
      <c r="I119" s="14" t="s">
        <v>406</v>
      </c>
      <c r="J119" s="14" t="s">
        <v>407</v>
      </c>
    </row>
    <row r="120" spans="1:10" ht="14">
      <c r="A120" s="3" t="str">
        <f>HYPERLINK("http://www.ncbi.nlm.nih.gov/sites/entrez?cmd=retrieve&amp;db=gene&amp;list_uids=89845&amp;dopt=full_report","89845")</f>
        <v>89845</v>
      </c>
      <c r="B120" s="3" t="str">
        <f>HYPERLINK("http://www.ncbi.nlm.nih.gov/sites/entrez?cmd=retrieve&amp;db=gene&amp;list_uids=89845&amp;dopt=full_report", "ABCC10")</f>
        <v>ABCC10</v>
      </c>
      <c r="C120" s="2" t="s">
        <v>465</v>
      </c>
      <c r="D120" t="s">
        <v>1633</v>
      </c>
      <c r="E120" s="3" t="s">
        <v>960</v>
      </c>
      <c r="F120" s="3" t="s">
        <v>523</v>
      </c>
      <c r="G120" s="3" t="s">
        <v>1092</v>
      </c>
      <c r="H120" s="3" t="s">
        <v>578</v>
      </c>
      <c r="I120" s="3" t="s">
        <v>524</v>
      </c>
      <c r="J120" s="3" t="s">
        <v>407</v>
      </c>
    </row>
    <row r="121" spans="1:10" s="14" customFormat="1" ht="14">
      <c r="A121" s="14" t="str">
        <f>HYPERLINK("http://www.ncbi.nlm.nih.gov/sites/entrez?cmd=retrieve&amp;db=gene&amp;list_uids=6717&amp;dopt=full_report","6717")</f>
        <v>6717</v>
      </c>
      <c r="B121" s="14" t="str">
        <f>HYPERLINK("http://www.ncbi.nlm.nih.gov/sites/entrez?cmd=retrieve&amp;db=gene&amp;list_uids=6717&amp;dopt=full_report", "SRI")</f>
        <v>SRI</v>
      </c>
      <c r="C121" s="15" t="s">
        <v>525</v>
      </c>
      <c r="D121" s="14" t="s">
        <v>1632</v>
      </c>
      <c r="E121" s="14" t="s">
        <v>526</v>
      </c>
      <c r="F121" s="14" t="s">
        <v>527</v>
      </c>
      <c r="G121" s="14" t="s">
        <v>1037</v>
      </c>
      <c r="H121" s="14" t="s">
        <v>528</v>
      </c>
      <c r="I121" s="14" t="s">
        <v>529</v>
      </c>
      <c r="J121" s="14" t="s">
        <v>530</v>
      </c>
    </row>
    <row r="122" spans="1:10" s="14" customFormat="1" ht="14">
      <c r="A122" s="14" t="str">
        <f>HYPERLINK("http://www.ncbi.nlm.nih.gov/sites/entrez?cmd=retrieve&amp;db=gene&amp;list_uids=10008&amp;dopt=full_report","10008")</f>
        <v>10008</v>
      </c>
      <c r="B122" s="14" t="str">
        <f>HYPERLINK("http://www.ncbi.nlm.nih.gov/sites/entrez?cmd=retrieve&amp;db=gene&amp;list_uids=10008&amp;dopt=full_report", "KCNE3")</f>
        <v>KCNE3</v>
      </c>
      <c r="C122" s="15" t="s">
        <v>531</v>
      </c>
      <c r="D122" s="14" t="s">
        <v>1632</v>
      </c>
      <c r="E122" s="14" t="s">
        <v>561</v>
      </c>
      <c r="F122" s="14" t="s">
        <v>532</v>
      </c>
      <c r="G122" s="14" t="s">
        <v>684</v>
      </c>
      <c r="H122" s="14" t="s">
        <v>533</v>
      </c>
      <c r="I122" s="14" t="s">
        <v>534</v>
      </c>
      <c r="J122" s="14" t="s">
        <v>902</v>
      </c>
    </row>
    <row r="123" spans="1:10" s="14" customFormat="1" ht="14">
      <c r="A123" s="14" t="str">
        <f>HYPERLINK("http://www.ncbi.nlm.nih.gov/sites/entrez?cmd=retrieve&amp;db=gene&amp;list_uids=2776&amp;dopt=full_report","2776")</f>
        <v>2776</v>
      </c>
      <c r="B123" s="14" t="str">
        <f>HYPERLINK("http://www.ncbi.nlm.nih.gov/sites/entrez?cmd=retrieve&amp;db=gene&amp;list_uids=2776&amp;dopt=full_report", "GNAQ")</f>
        <v>GNAQ</v>
      </c>
      <c r="C123" s="15" t="s">
        <v>535</v>
      </c>
      <c r="D123" s="14" t="s">
        <v>1632</v>
      </c>
      <c r="E123" s="17" t="s">
        <v>437</v>
      </c>
      <c r="F123" s="14" t="s">
        <v>438</v>
      </c>
      <c r="G123" s="14" t="s">
        <v>439</v>
      </c>
      <c r="H123" s="14" t="s">
        <v>440</v>
      </c>
      <c r="I123" s="14" t="s">
        <v>441</v>
      </c>
      <c r="J123" s="14" t="s">
        <v>1113</v>
      </c>
    </row>
    <row r="124" spans="1:10" s="14" customFormat="1" ht="14">
      <c r="A124" s="14" t="str">
        <f>HYPERLINK("http://www.ncbi.nlm.nih.gov/sites/entrez?cmd=retrieve&amp;db=gene&amp;list_uids=1875&amp;dopt=full_report","1875")</f>
        <v>1875</v>
      </c>
      <c r="B124" s="14" t="str">
        <f>HYPERLINK("http://www.ncbi.nlm.nih.gov/sites/entrez?cmd=retrieve&amp;db=gene&amp;list_uids=1875&amp;dopt=full_report", "E2F5")</f>
        <v>E2F5</v>
      </c>
      <c r="C124" s="15" t="s">
        <v>491</v>
      </c>
      <c r="D124" s="14" t="s">
        <v>1632</v>
      </c>
      <c r="E124" s="14" t="s">
        <v>492</v>
      </c>
      <c r="F124" s="14" t="s">
        <v>433</v>
      </c>
      <c r="G124" s="14" t="s">
        <v>434</v>
      </c>
      <c r="H124" s="14" t="s">
        <v>753</v>
      </c>
      <c r="I124" s="14" t="s">
        <v>435</v>
      </c>
      <c r="J124" s="14" t="s">
        <v>762</v>
      </c>
    </row>
    <row r="125" spans="1:10" s="14" customFormat="1" ht="14">
      <c r="A125" s="14" t="str">
        <f>HYPERLINK("http://www.ncbi.nlm.nih.gov/sites/entrez?cmd=retrieve&amp;db=gene&amp;list_uids=9530&amp;dopt=full_report","9530")</f>
        <v>9530</v>
      </c>
      <c r="B125" s="14" t="str">
        <f>HYPERLINK("http://www.ncbi.nlm.nih.gov/sites/entrez?cmd=retrieve&amp;db=gene&amp;list_uids=9530&amp;dopt=full_report", "BAG4")</f>
        <v>BAG4</v>
      </c>
      <c r="C125" s="15" t="s">
        <v>436</v>
      </c>
      <c r="D125" s="14" t="s">
        <v>1632</v>
      </c>
      <c r="E125" s="14" t="s">
        <v>371</v>
      </c>
      <c r="F125" s="14" t="s">
        <v>372</v>
      </c>
      <c r="G125" s="14" t="s">
        <v>1104</v>
      </c>
      <c r="H125" s="14" t="s">
        <v>373</v>
      </c>
      <c r="I125" s="14" t="s">
        <v>493</v>
      </c>
      <c r="J125" s="14" t="s">
        <v>494</v>
      </c>
    </row>
    <row r="126" spans="1:10" s="14" customFormat="1" ht="14">
      <c r="A126" s="14" t="str">
        <f>HYPERLINK("http://www.ncbi.nlm.nih.gov/sites/entrez?cmd=retrieve&amp;db=gene&amp;list_uids=3834&amp;dopt=full_report","3834")</f>
        <v>3834</v>
      </c>
      <c r="B126" s="14" t="str">
        <f>HYPERLINK("http://www.ncbi.nlm.nih.gov/sites/entrez?cmd=retrieve&amp;db=gene&amp;list_uids=3834&amp;dopt=full_report", "KIF25")</f>
        <v>KIF25</v>
      </c>
      <c r="C126" s="15" t="s">
        <v>495</v>
      </c>
      <c r="D126" s="14" t="s">
        <v>1632</v>
      </c>
      <c r="E126" s="14" t="s">
        <v>496</v>
      </c>
      <c r="F126" s="14" t="s">
        <v>497</v>
      </c>
      <c r="G126" s="14" t="s">
        <v>498</v>
      </c>
      <c r="H126" s="14" t="s">
        <v>499</v>
      </c>
      <c r="I126" s="14" t="s">
        <v>500</v>
      </c>
      <c r="J126" s="14" t="s">
        <v>501</v>
      </c>
    </row>
    <row r="127" spans="1:10" s="14" customFormat="1" ht="14">
      <c r="A127" s="14" t="str">
        <f>HYPERLINK("http://www.ncbi.nlm.nih.gov/sites/entrez?cmd=retrieve&amp;db=gene&amp;list_uids=341370&amp;dopt=full_report","341370")</f>
        <v>341370</v>
      </c>
      <c r="B127" s="14" t="str">
        <f>HYPERLINK("http://www.ncbi.nlm.nih.gov/sites/entrez?cmd=retrieve&amp;db=gene&amp;list_uids=341370&amp;dopt=full_report", "LOC341370")</f>
        <v>LOC341370</v>
      </c>
      <c r="C127" s="15" t="s">
        <v>1112</v>
      </c>
      <c r="D127" s="14" t="s">
        <v>1632</v>
      </c>
      <c r="E127" s="14" t="s">
        <v>1112</v>
      </c>
      <c r="F127" s="14" t="s">
        <v>1112</v>
      </c>
      <c r="G127" s="14" t="s">
        <v>1112</v>
      </c>
      <c r="H127" s="14" t="s">
        <v>1112</v>
      </c>
      <c r="I127" s="14" t="s">
        <v>1112</v>
      </c>
      <c r="J127" s="14" t="s">
        <v>1112</v>
      </c>
    </row>
    <row r="128" spans="1:10" s="14" customFormat="1" ht="14">
      <c r="A128" s="14" t="str">
        <f>HYPERLINK("http://www.ncbi.nlm.nih.gov/sites/entrez?cmd=retrieve&amp;db=gene&amp;list_uids=1545&amp;dopt=full_report","1545")</f>
        <v>1545</v>
      </c>
      <c r="B128" s="14" t="str">
        <f>HYPERLINK("http://www.ncbi.nlm.nih.gov/sites/entrez?cmd=retrieve&amp;db=gene&amp;list_uids=1545&amp;dopt=full_report", "CYP1B1")</f>
        <v>CYP1B1</v>
      </c>
      <c r="C128" s="15" t="s">
        <v>502</v>
      </c>
      <c r="D128" s="14" t="s">
        <v>1632</v>
      </c>
      <c r="E128" s="14" t="s">
        <v>503</v>
      </c>
      <c r="F128" s="14" t="s">
        <v>504</v>
      </c>
      <c r="G128" s="14" t="s">
        <v>883</v>
      </c>
      <c r="H128" s="14" t="s">
        <v>884</v>
      </c>
      <c r="I128" s="14" t="s">
        <v>505</v>
      </c>
      <c r="J128" s="14" t="s">
        <v>914</v>
      </c>
    </row>
    <row r="129" spans="1:10" s="14" customFormat="1" ht="14">
      <c r="A129" s="14" t="str">
        <f>HYPERLINK("http://www.ncbi.nlm.nih.gov/sites/entrez?cmd=retrieve&amp;db=gene&amp;list_uids=157574&amp;dopt=full_report","157574")</f>
        <v>157574</v>
      </c>
      <c r="B129" s="14" t="str">
        <f>HYPERLINK("http://www.ncbi.nlm.nih.gov/sites/entrez?cmd=retrieve&amp;db=gene&amp;list_uids=157574&amp;dopt=full_report", "FBXO16")</f>
        <v>FBXO16</v>
      </c>
      <c r="C129" s="15" t="s">
        <v>506</v>
      </c>
      <c r="D129" s="14" t="s">
        <v>1632</v>
      </c>
      <c r="E129" s="14" t="s">
        <v>507</v>
      </c>
      <c r="F129" s="14" t="s">
        <v>1112</v>
      </c>
      <c r="G129" s="14" t="s">
        <v>1112</v>
      </c>
      <c r="H129" s="14" t="s">
        <v>508</v>
      </c>
      <c r="I129" s="14" t="s">
        <v>509</v>
      </c>
      <c r="J129" s="14" t="s">
        <v>895</v>
      </c>
    </row>
    <row r="130" spans="1:10" s="14" customFormat="1" ht="14">
      <c r="A130" s="14" t="str">
        <f>HYPERLINK("http://www.ncbi.nlm.nih.gov/sites/entrez?cmd=retrieve&amp;db=gene&amp;list_uids=8518&amp;dopt=full_report","8518")</f>
        <v>8518</v>
      </c>
      <c r="B130" s="14" t="str">
        <f>HYPERLINK("http://www.ncbi.nlm.nih.gov/sites/entrez?cmd=retrieve&amp;db=gene&amp;list_uids=8518&amp;dopt=full_report", "IKBKAP")</f>
        <v>IKBKAP</v>
      </c>
      <c r="C130" s="15" t="s">
        <v>510</v>
      </c>
      <c r="D130" s="14" t="s">
        <v>1632</v>
      </c>
      <c r="E130" s="14" t="s">
        <v>386</v>
      </c>
      <c r="F130" s="14" t="s">
        <v>388</v>
      </c>
      <c r="G130" s="14" t="s">
        <v>389</v>
      </c>
      <c r="H130" s="14" t="s">
        <v>390</v>
      </c>
      <c r="I130" s="14" t="s">
        <v>1112</v>
      </c>
      <c r="J130" s="14" t="s">
        <v>397</v>
      </c>
    </row>
    <row r="131" spans="1:10" ht="14">
      <c r="A131" s="3" t="str">
        <f>HYPERLINK("http://www.ncbi.nlm.nih.gov/sites/entrez?cmd=retrieve&amp;db=gene&amp;list_uids=23341&amp;dopt=full_report","23341")</f>
        <v>23341</v>
      </c>
      <c r="B131" s="3" t="str">
        <f>HYPERLINK("http://www.ncbi.nlm.nih.gov/sites/entrez?cmd=retrieve&amp;db=gene&amp;list_uids=23341&amp;dopt=full_report", "DNAJC16")</f>
        <v>DNAJC16</v>
      </c>
      <c r="C131" s="2" t="s">
        <v>398</v>
      </c>
      <c r="D131" t="s">
        <v>1633</v>
      </c>
      <c r="E131" s="3" t="s">
        <v>399</v>
      </c>
      <c r="F131" s="3" t="s">
        <v>400</v>
      </c>
      <c r="G131" s="3" t="s">
        <v>1092</v>
      </c>
      <c r="H131" s="3" t="s">
        <v>401</v>
      </c>
      <c r="I131" s="3" t="s">
        <v>402</v>
      </c>
      <c r="J131" s="3" t="s">
        <v>403</v>
      </c>
    </row>
    <row r="132" spans="1:10" ht="14">
      <c r="A132" s="3" t="str">
        <f>HYPERLINK("http://www.ncbi.nlm.nih.gov/sites/entrez?cmd=retrieve&amp;db=gene&amp;list_uids=3581&amp;dopt=full_report","3581")</f>
        <v>3581</v>
      </c>
      <c r="B132" s="3" t="str">
        <f>HYPERLINK("http://www.ncbi.nlm.nih.gov/sites/entrez?cmd=retrieve&amp;db=gene&amp;list_uids=3581&amp;dopt=full_report", "IL9R")</f>
        <v>IL9R</v>
      </c>
      <c r="C132" s="2" t="s">
        <v>404</v>
      </c>
      <c r="D132" t="s">
        <v>1633</v>
      </c>
      <c r="E132" s="3" t="s">
        <v>405</v>
      </c>
      <c r="F132" s="3" t="s">
        <v>343</v>
      </c>
      <c r="G132" s="3" t="s">
        <v>408</v>
      </c>
      <c r="H132" s="3" t="s">
        <v>734</v>
      </c>
      <c r="I132" s="3" t="s">
        <v>409</v>
      </c>
      <c r="J132" s="3" t="s">
        <v>736</v>
      </c>
    </row>
    <row r="133" spans="1:10" s="14" customFormat="1" ht="14">
      <c r="A133" s="14" t="str">
        <f>HYPERLINK("http://www.ncbi.nlm.nih.gov/sites/entrez?cmd=retrieve&amp;db=gene&amp;list_uids=85481&amp;dopt=full_report","85481")</f>
        <v>85481</v>
      </c>
      <c r="B133" s="14" t="str">
        <f>HYPERLINK("http://www.ncbi.nlm.nih.gov/sites/entrez?cmd=retrieve&amp;db=gene&amp;list_uids=85481&amp;dopt=full_report", "PSKH2")</f>
        <v>PSKH2</v>
      </c>
      <c r="C133" s="15" t="s">
        <v>410</v>
      </c>
      <c r="D133" s="14" t="s">
        <v>1632</v>
      </c>
      <c r="E133" s="14" t="s">
        <v>890</v>
      </c>
      <c r="F133" s="14" t="s">
        <v>466</v>
      </c>
      <c r="G133" s="14" t="s">
        <v>1112</v>
      </c>
      <c r="H133" s="14" t="s">
        <v>865</v>
      </c>
      <c r="I133" s="14" t="s">
        <v>467</v>
      </c>
      <c r="J133" s="14" t="s">
        <v>816</v>
      </c>
    </row>
    <row r="134" spans="1:10" s="14" customFormat="1" ht="14">
      <c r="A134" s="14" t="str">
        <f>HYPERLINK("http://www.ncbi.nlm.nih.gov/sites/entrez?cmd=retrieve&amp;db=gene&amp;list_uids=79872&amp;dopt=full_report","79872")</f>
        <v>79872</v>
      </c>
      <c r="B134" s="14" t="str">
        <f>HYPERLINK("http://www.ncbi.nlm.nih.gov/sites/entrez?cmd=retrieve&amp;db=gene&amp;list_uids=79872&amp;dopt=full_report", "CBLL1")</f>
        <v>CBLL1</v>
      </c>
      <c r="C134" s="15" t="s">
        <v>468</v>
      </c>
      <c r="D134" s="14" t="s">
        <v>1632</v>
      </c>
      <c r="E134" s="14" t="s">
        <v>469</v>
      </c>
      <c r="F134" s="14" t="s">
        <v>470</v>
      </c>
      <c r="G134" s="14" t="s">
        <v>957</v>
      </c>
      <c r="H134" s="14" t="s">
        <v>471</v>
      </c>
      <c r="I134" s="14" t="s">
        <v>1112</v>
      </c>
      <c r="J134" s="14" t="s">
        <v>576</v>
      </c>
    </row>
    <row r="135" spans="1:10" s="14" customFormat="1" ht="14">
      <c r="A135" s="14" t="str">
        <f>HYPERLINK("http://www.ncbi.nlm.nih.gov/sites/entrez?cmd=retrieve&amp;db=gene&amp;list_uids=11201&amp;dopt=full_report","11201")</f>
        <v>11201</v>
      </c>
      <c r="B135" s="14" t="str">
        <f>HYPERLINK("http://www.ncbi.nlm.nih.gov/sites/entrez?cmd=retrieve&amp;db=gene&amp;list_uids=11201&amp;dopt=full_report", "POLI")</f>
        <v>POLI</v>
      </c>
      <c r="C135" s="15" t="s">
        <v>472</v>
      </c>
      <c r="D135" s="14" t="s">
        <v>1632</v>
      </c>
      <c r="E135" s="14" t="s">
        <v>473</v>
      </c>
      <c r="F135" s="14" t="s">
        <v>474</v>
      </c>
      <c r="G135" s="14" t="s">
        <v>475</v>
      </c>
      <c r="H135" s="14" t="s">
        <v>476</v>
      </c>
      <c r="I135" s="14" t="s">
        <v>477</v>
      </c>
      <c r="J135" s="14" t="s">
        <v>478</v>
      </c>
    </row>
    <row r="136" spans="1:10" s="14" customFormat="1" ht="14">
      <c r="A136" s="14" t="str">
        <f>HYPERLINK("http://www.ncbi.nlm.nih.gov/sites/entrez?cmd=retrieve&amp;db=gene&amp;list_uids=1674&amp;dopt=full_report","1674")</f>
        <v>1674</v>
      </c>
      <c r="B136" s="14" t="str">
        <f>HYPERLINK("http://www.ncbi.nlm.nih.gov/sites/entrez?cmd=retrieve&amp;db=gene&amp;list_uids=1674&amp;dopt=full_report", "DES")</f>
        <v>DES</v>
      </c>
      <c r="C136" s="15" t="s">
        <v>479</v>
      </c>
      <c r="D136" s="14" t="s">
        <v>1632</v>
      </c>
      <c r="E136" s="14" t="s">
        <v>480</v>
      </c>
      <c r="F136" s="14" t="s">
        <v>481</v>
      </c>
      <c r="G136" s="14" t="s">
        <v>482</v>
      </c>
      <c r="H136" s="14" t="s">
        <v>483</v>
      </c>
      <c r="I136" s="14" t="s">
        <v>362</v>
      </c>
      <c r="J136" s="14" t="s">
        <v>363</v>
      </c>
    </row>
    <row r="137" spans="1:10" s="33" customFormat="1" ht="14">
      <c r="A137" s="33" t="str">
        <f>HYPERLINK("http://www.ncbi.nlm.nih.gov/sites/entrez?cmd=retrieve&amp;db=gene&amp;list_uids=79697&amp;dopt=full_report","79697")</f>
        <v>79697</v>
      </c>
      <c r="B137" s="33" t="str">
        <f>HYPERLINK("http://www.ncbi.nlm.nih.gov/sites/entrez?cmd=retrieve&amp;db=gene&amp;list_uids=79697&amp;dopt=full_report", "C14orf169")</f>
        <v>C14orf169</v>
      </c>
      <c r="C137" s="31" t="s">
        <v>364</v>
      </c>
      <c r="D137" s="30"/>
      <c r="E137" s="33" t="s">
        <v>428</v>
      </c>
      <c r="F137" s="33" t="s">
        <v>1112</v>
      </c>
      <c r="G137" s="33" t="s">
        <v>1112</v>
      </c>
      <c r="H137" s="33" t="s">
        <v>429</v>
      </c>
      <c r="I137" s="33" t="s">
        <v>1112</v>
      </c>
      <c r="J137" s="33" t="s">
        <v>1145</v>
      </c>
    </row>
    <row r="138" spans="1:10" s="14" customFormat="1" ht="14">
      <c r="A138" s="14" t="str">
        <f>HYPERLINK("http://www.ncbi.nlm.nih.gov/sites/entrez?cmd=retrieve&amp;db=gene&amp;list_uids=284021&amp;dopt=full_report","284021")</f>
        <v>284021</v>
      </c>
      <c r="B138" s="14" t="str">
        <f>HYPERLINK("http://www.ncbi.nlm.nih.gov/sites/entrez?cmd=retrieve&amp;db=gene&amp;list_uids=284021&amp;dopt=full_report", "C17orf60")</f>
        <v>C17orf60</v>
      </c>
      <c r="C138" s="15" t="s">
        <v>365</v>
      </c>
      <c r="D138" s="14" t="s">
        <v>1632</v>
      </c>
      <c r="E138" s="14" t="s">
        <v>1112</v>
      </c>
      <c r="F138" s="14" t="s">
        <v>1112</v>
      </c>
      <c r="G138" s="14" t="s">
        <v>1112</v>
      </c>
      <c r="H138" s="14" t="s">
        <v>366</v>
      </c>
      <c r="I138" s="14" t="s">
        <v>367</v>
      </c>
      <c r="J138" s="14" t="s">
        <v>430</v>
      </c>
    </row>
    <row r="139" spans="1:10" s="14" customFormat="1" ht="14">
      <c r="A139" s="14" t="str">
        <f>HYPERLINK("http://www.ncbi.nlm.nih.gov/sites/entrez?cmd=retrieve&amp;db=gene&amp;list_uids=64241&amp;dopt=full_report","64241")</f>
        <v>64241</v>
      </c>
      <c r="B139" s="14" t="str">
        <f>HYPERLINK("http://www.ncbi.nlm.nih.gov/sites/entrez?cmd=retrieve&amp;db=gene&amp;list_uids=64241&amp;dopt=full_report", "ABCG8")</f>
        <v>ABCG8</v>
      </c>
      <c r="C139" s="15" t="s">
        <v>431</v>
      </c>
      <c r="D139" s="14" t="s">
        <v>1632</v>
      </c>
      <c r="E139" s="14" t="s">
        <v>960</v>
      </c>
      <c r="F139" s="14" t="s">
        <v>432</v>
      </c>
      <c r="G139" s="14" t="s">
        <v>1092</v>
      </c>
      <c r="H139" s="14" t="s">
        <v>578</v>
      </c>
      <c r="I139" s="14" t="s">
        <v>319</v>
      </c>
      <c r="J139" s="14" t="s">
        <v>788</v>
      </c>
    </row>
    <row r="140" spans="1:10" s="33" customFormat="1" ht="14">
      <c r="A140" s="33" t="str">
        <f>HYPERLINK("http://www.ncbi.nlm.nih.gov/sites/entrez?cmd=retrieve&amp;db=gene&amp;list_uids=7023&amp;dopt=full_report","7023")</f>
        <v>7023</v>
      </c>
      <c r="B140" s="33" t="str">
        <f>HYPERLINK("http://www.ncbi.nlm.nih.gov/sites/entrez?cmd=retrieve&amp;db=gene&amp;list_uids=7023&amp;dopt=full_report", "TFAP4")</f>
        <v>TFAP4</v>
      </c>
      <c r="C140" s="31" t="s">
        <v>320</v>
      </c>
      <c r="D140" s="30"/>
      <c r="E140" s="33" t="s">
        <v>321</v>
      </c>
      <c r="F140" s="33" t="s">
        <v>442</v>
      </c>
      <c r="G140" s="33" t="s">
        <v>1122</v>
      </c>
      <c r="H140" s="33" t="s">
        <v>443</v>
      </c>
      <c r="I140" s="33" t="s">
        <v>444</v>
      </c>
      <c r="J140" s="33" t="s">
        <v>1124</v>
      </c>
    </row>
    <row r="141" spans="1:10" s="14" customFormat="1" ht="14">
      <c r="A141" s="14" t="str">
        <f>HYPERLINK("http://www.ncbi.nlm.nih.gov/sites/entrez?cmd=retrieve&amp;db=gene&amp;list_uids=5290&amp;dopt=full_report","5290")</f>
        <v>5290</v>
      </c>
      <c r="B141" s="14" t="str">
        <f>HYPERLINK("http://www.ncbi.nlm.nih.gov/sites/entrez?cmd=retrieve&amp;db=gene&amp;list_uids=5290&amp;dopt=full_report", "PIK3CA")</f>
        <v>PIK3CA</v>
      </c>
      <c r="C141" s="15" t="s">
        <v>445</v>
      </c>
      <c r="D141" s="14" t="s">
        <v>1632</v>
      </c>
      <c r="E141" s="14" t="s">
        <v>446</v>
      </c>
      <c r="F141" s="14" t="s">
        <v>447</v>
      </c>
      <c r="G141" s="14" t="s">
        <v>448</v>
      </c>
      <c r="H141" s="14" t="s">
        <v>449</v>
      </c>
      <c r="I141" s="14" t="s">
        <v>450</v>
      </c>
      <c r="J141" s="14" t="s">
        <v>650</v>
      </c>
    </row>
    <row r="142" spans="1:10" s="14" customFormat="1" ht="14">
      <c r="A142" s="14" t="str">
        <f>HYPERLINK("http://www.ncbi.nlm.nih.gov/sites/entrez?cmd=retrieve&amp;db=gene&amp;list_uids=7082&amp;dopt=full_report","7082")</f>
        <v>7082</v>
      </c>
      <c r="B142" s="14" t="str">
        <f>HYPERLINK("http://www.ncbi.nlm.nih.gov/sites/entrez?cmd=retrieve&amp;db=gene&amp;list_uids=7082&amp;dopt=full_report", "TJP1")</f>
        <v>TJP1</v>
      </c>
      <c r="C142" s="15" t="s">
        <v>451</v>
      </c>
      <c r="D142" s="14" t="s">
        <v>1632</v>
      </c>
      <c r="E142" s="14" t="s">
        <v>452</v>
      </c>
      <c r="F142" s="14" t="s">
        <v>453</v>
      </c>
      <c r="G142" s="14" t="s">
        <v>454</v>
      </c>
      <c r="H142" s="14" t="s">
        <v>455</v>
      </c>
      <c r="I142" s="14" t="s">
        <v>339</v>
      </c>
      <c r="J142" s="14" t="s">
        <v>340</v>
      </c>
    </row>
    <row r="143" spans="1:10" s="14" customFormat="1" ht="14">
      <c r="A143" s="14" t="str">
        <f>HYPERLINK("http://www.ncbi.nlm.nih.gov/sites/entrez?cmd=retrieve&amp;db=gene&amp;list_uids=7200&amp;dopt=full_report","7200")</f>
        <v>7200</v>
      </c>
      <c r="B143" s="14" t="str">
        <f>HYPERLINK("http://www.ncbi.nlm.nih.gov/sites/entrez?cmd=retrieve&amp;db=gene&amp;list_uids=7200&amp;dopt=full_report", "TRH")</f>
        <v>TRH</v>
      </c>
      <c r="C143" s="15" t="s">
        <v>341</v>
      </c>
      <c r="D143" s="14" t="s">
        <v>1632</v>
      </c>
      <c r="E143" s="14" t="s">
        <v>387</v>
      </c>
      <c r="F143" s="14" t="s">
        <v>342</v>
      </c>
      <c r="G143" s="14" t="s">
        <v>391</v>
      </c>
      <c r="H143" s="14" t="s">
        <v>934</v>
      </c>
      <c r="I143" s="14" t="s">
        <v>1112</v>
      </c>
      <c r="J143" s="14" t="s">
        <v>1145</v>
      </c>
    </row>
    <row r="144" spans="1:10" s="14" customFormat="1" ht="14">
      <c r="A144" s="14" t="str">
        <f>HYPERLINK("http://www.ncbi.nlm.nih.gov/sites/entrez?cmd=retrieve&amp;db=gene&amp;list_uids=23315&amp;dopt=full_report","23315")</f>
        <v>23315</v>
      </c>
      <c r="B144" s="14" t="str">
        <f>HYPERLINK("http://www.ncbi.nlm.nih.gov/sites/entrez?cmd=retrieve&amp;db=gene&amp;list_uids=23315&amp;dopt=full_report", "SLC9A8")</f>
        <v>SLC9A8</v>
      </c>
      <c r="C144" s="15" t="s">
        <v>392</v>
      </c>
      <c r="D144" s="14" t="s">
        <v>1632</v>
      </c>
      <c r="E144" s="14" t="s">
        <v>393</v>
      </c>
      <c r="F144" s="14" t="s">
        <v>394</v>
      </c>
      <c r="G144" s="14" t="s">
        <v>395</v>
      </c>
      <c r="H144" s="14" t="s">
        <v>396</v>
      </c>
      <c r="I144" s="14" t="s">
        <v>335</v>
      </c>
      <c r="J144" s="14" t="s">
        <v>336</v>
      </c>
    </row>
    <row r="145" spans="1:10" s="14" customFormat="1" ht="14">
      <c r="A145" s="14" t="str">
        <f>HYPERLINK("http://www.ncbi.nlm.nih.gov/sites/entrez?cmd=retrieve&amp;db=gene&amp;list_uids=63923&amp;dopt=full_report","63923")</f>
        <v>63923</v>
      </c>
      <c r="B145" s="14" t="str">
        <f>HYPERLINK("http://www.ncbi.nlm.nih.gov/sites/entrez?cmd=retrieve&amp;db=gene&amp;list_uids=63923&amp;dopt=full_report", "TNN")</f>
        <v>TNN</v>
      </c>
      <c r="C145" s="15" t="s">
        <v>337</v>
      </c>
      <c r="D145" s="14" t="s">
        <v>1632</v>
      </c>
      <c r="E145" s="14" t="s">
        <v>338</v>
      </c>
      <c r="F145" s="14" t="s">
        <v>411</v>
      </c>
      <c r="G145" s="14" t="s">
        <v>412</v>
      </c>
      <c r="H145" s="14" t="s">
        <v>413</v>
      </c>
      <c r="I145" s="14" t="s">
        <v>414</v>
      </c>
      <c r="J145" s="14" t="s">
        <v>415</v>
      </c>
    </row>
    <row r="146" spans="1:10" ht="14">
      <c r="A146" s="3" t="str">
        <f>HYPERLINK("http://www.ncbi.nlm.nih.gov/sites/entrez?cmd=retrieve&amp;db=gene&amp;list_uids=55251&amp;dopt=full_report","55251")</f>
        <v>55251</v>
      </c>
      <c r="B146" s="3" t="str">
        <f>HYPERLINK("http://www.ncbi.nlm.nih.gov/sites/entrez?cmd=retrieve&amp;db=gene&amp;list_uids=55251&amp;dopt=full_report", "PCMTD2")</f>
        <v>PCMTD2</v>
      </c>
      <c r="C146" s="2" t="s">
        <v>416</v>
      </c>
      <c r="D146" t="s">
        <v>1633</v>
      </c>
      <c r="E146" s="3" t="s">
        <v>417</v>
      </c>
      <c r="F146" s="3" t="s">
        <v>418</v>
      </c>
      <c r="G146" s="3" t="s">
        <v>1104</v>
      </c>
      <c r="H146" s="3" t="s">
        <v>419</v>
      </c>
      <c r="I146" s="3" t="s">
        <v>1112</v>
      </c>
      <c r="J146" s="3" t="s">
        <v>701</v>
      </c>
    </row>
    <row r="147" spans="1:10" s="14" customFormat="1" ht="14">
      <c r="A147" s="14" t="str">
        <f>HYPERLINK("http://www.ncbi.nlm.nih.gov/sites/entrez?cmd=retrieve&amp;db=gene&amp;list_uids=28982&amp;dopt=full_report","28982")</f>
        <v>28982</v>
      </c>
      <c r="B147" s="14" t="str">
        <f>HYPERLINK("http://www.ncbi.nlm.nih.gov/sites/entrez?cmd=retrieve&amp;db=gene&amp;list_uids=28982&amp;dopt=full_report", "FLVCR1")</f>
        <v>FLVCR1</v>
      </c>
      <c r="C147" s="15" t="s">
        <v>420</v>
      </c>
      <c r="D147" s="14" t="s">
        <v>1632</v>
      </c>
      <c r="E147" s="14" t="s">
        <v>421</v>
      </c>
      <c r="F147" s="14" t="s">
        <v>422</v>
      </c>
      <c r="G147" s="14" t="s">
        <v>639</v>
      </c>
      <c r="H147" s="14" t="s">
        <v>423</v>
      </c>
      <c r="I147" s="14" t="s">
        <v>1112</v>
      </c>
      <c r="J147" s="14" t="s">
        <v>424</v>
      </c>
    </row>
    <row r="148" spans="1:10" s="14" customFormat="1" ht="14">
      <c r="A148" s="14" t="str">
        <f>HYPERLINK("http://www.ncbi.nlm.nih.gov/sites/entrez?cmd=retrieve&amp;db=gene&amp;list_uids=55294&amp;dopt=full_report","55294")</f>
        <v>55294</v>
      </c>
      <c r="B148" s="14" t="str">
        <f>HYPERLINK("http://www.ncbi.nlm.nih.gov/sites/entrez?cmd=retrieve&amp;db=gene&amp;list_uids=55294&amp;dopt=full_report", "FBXW7")</f>
        <v>FBXW7</v>
      </c>
      <c r="C148" s="15" t="s">
        <v>425</v>
      </c>
      <c r="D148" s="14" t="s">
        <v>1632</v>
      </c>
      <c r="E148" s="14" t="s">
        <v>426</v>
      </c>
      <c r="F148" s="14" t="s">
        <v>933</v>
      </c>
      <c r="G148" s="14" t="s">
        <v>1112</v>
      </c>
      <c r="H148" s="14" t="s">
        <v>508</v>
      </c>
      <c r="I148" s="14" t="s">
        <v>427</v>
      </c>
      <c r="J148" s="14" t="s">
        <v>358</v>
      </c>
    </row>
    <row r="149" spans="1:10" s="14" customFormat="1" ht="14">
      <c r="A149" s="14" t="str">
        <f>HYPERLINK("http://www.ncbi.nlm.nih.gov/sites/entrez?cmd=retrieve&amp;db=gene&amp;list_uids=3015&amp;dopt=full_report","3015")</f>
        <v>3015</v>
      </c>
      <c r="B149" s="14" t="str">
        <f>HYPERLINK("http://www.ncbi.nlm.nih.gov/sites/entrez?cmd=retrieve&amp;db=gene&amp;list_uids=3015&amp;dopt=full_report", "H2AFZ")</f>
        <v>H2AFZ</v>
      </c>
      <c r="C149" s="15" t="s">
        <v>1409</v>
      </c>
      <c r="D149" s="14" t="s">
        <v>1632</v>
      </c>
      <c r="E149" s="14" t="s">
        <v>728</v>
      </c>
      <c r="F149" s="14" t="s">
        <v>729</v>
      </c>
      <c r="G149" s="14" t="s">
        <v>795</v>
      </c>
      <c r="H149" s="14" t="s">
        <v>796</v>
      </c>
      <c r="I149" s="14" t="s">
        <v>1112</v>
      </c>
      <c r="J149" s="14" t="s">
        <v>797</v>
      </c>
    </row>
    <row r="150" spans="1:10" s="14" customFormat="1" ht="14">
      <c r="A150" s="14" t="str">
        <f>HYPERLINK("http://www.ncbi.nlm.nih.gov/sites/entrez?cmd=retrieve&amp;db=gene&amp;list_uids=8481&amp;dopt=full_report","8481")</f>
        <v>8481</v>
      </c>
      <c r="B150" s="14" t="str">
        <f>HYPERLINK("http://www.ncbi.nlm.nih.gov/sites/entrez?cmd=retrieve&amp;db=gene&amp;list_uids=8481&amp;dopt=full_report", "OFD1")</f>
        <v>OFD1</v>
      </c>
      <c r="C150" s="15" t="s">
        <v>1410</v>
      </c>
      <c r="D150" s="14" t="s">
        <v>1632</v>
      </c>
      <c r="E150" s="14" t="s">
        <v>713</v>
      </c>
      <c r="F150" s="14" t="s">
        <v>1411</v>
      </c>
      <c r="G150" s="14" t="s">
        <v>1247</v>
      </c>
      <c r="H150" s="14" t="s">
        <v>934</v>
      </c>
      <c r="I150" s="14" t="s">
        <v>1112</v>
      </c>
      <c r="J150" s="14" t="s">
        <v>1145</v>
      </c>
    </row>
    <row r="151" spans="1:10" s="14" customFormat="1" ht="14">
      <c r="A151" s="14" t="str">
        <f>HYPERLINK("http://www.ncbi.nlm.nih.gov/sites/entrez?cmd=retrieve&amp;db=gene&amp;list_uids=3003&amp;dopt=full_report","3003")</f>
        <v>3003</v>
      </c>
      <c r="B151" s="14" t="str">
        <f>HYPERLINK("http://www.ncbi.nlm.nih.gov/sites/entrez?cmd=retrieve&amp;db=gene&amp;list_uids=3003&amp;dopt=full_report", "GZMK")</f>
        <v>GZMK</v>
      </c>
      <c r="C151" s="15" t="s">
        <v>1412</v>
      </c>
      <c r="D151" s="14" t="s">
        <v>1632</v>
      </c>
      <c r="E151" s="14" t="s">
        <v>758</v>
      </c>
      <c r="F151" s="14" t="s">
        <v>638</v>
      </c>
      <c r="G151" s="14" t="s">
        <v>1104</v>
      </c>
      <c r="H151" s="14" t="s">
        <v>1098</v>
      </c>
      <c r="I151" s="14" t="s">
        <v>1413</v>
      </c>
      <c r="J151" s="14" t="s">
        <v>1100</v>
      </c>
    </row>
    <row r="152" spans="1:10" s="14" customFormat="1" ht="14">
      <c r="A152" s="14" t="str">
        <f>HYPERLINK("http://www.ncbi.nlm.nih.gov/sites/entrez?cmd=retrieve&amp;db=gene&amp;list_uids=3320&amp;dopt=full_report","3320")</f>
        <v>3320</v>
      </c>
      <c r="B152" s="14" t="str">
        <f>HYPERLINK("http://www.ncbi.nlm.nih.gov/sites/entrez?cmd=retrieve&amp;db=gene&amp;list_uids=3320&amp;dopt=full_report", "HSP90AA1")</f>
        <v>HSP90AA1</v>
      </c>
      <c r="C152" s="15" t="s">
        <v>1262</v>
      </c>
      <c r="D152" s="14" t="s">
        <v>1632</v>
      </c>
      <c r="E152" s="14" t="s">
        <v>1263</v>
      </c>
      <c r="F152" s="14" t="s">
        <v>1248</v>
      </c>
      <c r="G152" s="14" t="s">
        <v>1249</v>
      </c>
      <c r="H152" s="14" t="s">
        <v>1250</v>
      </c>
      <c r="I152" s="14" t="s">
        <v>1112</v>
      </c>
      <c r="J152" s="14" t="s">
        <v>1251</v>
      </c>
    </row>
    <row r="153" spans="1:10" s="14" customFormat="1" ht="14">
      <c r="A153" s="14" t="str">
        <f>HYPERLINK("http://www.ncbi.nlm.nih.gov/sites/entrez?cmd=retrieve&amp;db=gene&amp;list_uids=11146&amp;dopt=full_report","11146")</f>
        <v>11146</v>
      </c>
      <c r="B153" s="14" t="str">
        <f>HYPERLINK("http://www.ncbi.nlm.nih.gov/sites/entrez?cmd=retrieve&amp;db=gene&amp;list_uids=11146&amp;dopt=full_report", "GLMN")</f>
        <v>GLMN</v>
      </c>
      <c r="C153" s="15" t="s">
        <v>1257</v>
      </c>
      <c r="D153" s="14" t="s">
        <v>1632</v>
      </c>
      <c r="E153" s="17" t="s">
        <v>1258</v>
      </c>
      <c r="F153" s="14" t="s">
        <v>1259</v>
      </c>
      <c r="G153" s="14" t="s">
        <v>957</v>
      </c>
      <c r="H153" s="14" t="s">
        <v>1260</v>
      </c>
      <c r="I153" s="14" t="s">
        <v>1112</v>
      </c>
      <c r="J153" s="14" t="s">
        <v>1261</v>
      </c>
    </row>
    <row r="154" spans="1:10" ht="14">
      <c r="A154" s="3" t="str">
        <f>HYPERLINK("http://www.ncbi.nlm.nih.gov/sites/entrez?cmd=retrieve&amp;db=gene&amp;list_uids=402037&amp;dopt=full_report","402037")</f>
        <v>402037</v>
      </c>
      <c r="B154" s="3" t="str">
        <f>HYPERLINK("http://www.ncbi.nlm.nih.gov/sites/entrez?cmd=retrieve&amp;db=gene&amp;list_uids=402037&amp;dopt=full_report", "LOC402037")</f>
        <v>LOC402037</v>
      </c>
      <c r="C154" s="2" t="s">
        <v>1112</v>
      </c>
      <c r="D154" t="s">
        <v>1633</v>
      </c>
      <c r="E154" s="3" t="s">
        <v>1112</v>
      </c>
      <c r="F154" s="3" t="s">
        <v>1112</v>
      </c>
      <c r="G154" s="3" t="s">
        <v>1112</v>
      </c>
      <c r="H154" s="3" t="s">
        <v>1112</v>
      </c>
      <c r="I154" s="3" t="s">
        <v>1112</v>
      </c>
      <c r="J154" s="3" t="s">
        <v>1112</v>
      </c>
    </row>
    <row r="155" spans="1:10" s="14" customFormat="1" ht="14">
      <c r="A155" s="14" t="str">
        <f>HYPERLINK("http://www.ncbi.nlm.nih.gov/sites/entrez?cmd=retrieve&amp;db=gene&amp;list_uids=84084&amp;dopt=full_report","84084")</f>
        <v>84084</v>
      </c>
      <c r="B155" s="14" t="str">
        <f>HYPERLINK("http://www.ncbi.nlm.nih.gov/sites/entrez?cmd=retrieve&amp;db=gene&amp;list_uids=84084&amp;dopt=full_report", "RAB6C")</f>
        <v>RAB6C</v>
      </c>
      <c r="C155" s="15" t="s">
        <v>1267</v>
      </c>
      <c r="D155" s="14" t="s">
        <v>1632</v>
      </c>
      <c r="E155" s="14" t="s">
        <v>1268</v>
      </c>
      <c r="F155" s="14" t="s">
        <v>857</v>
      </c>
      <c r="G155" s="14" t="s">
        <v>957</v>
      </c>
      <c r="H155" s="14" t="s">
        <v>1038</v>
      </c>
      <c r="I155" s="14" t="s">
        <v>1269</v>
      </c>
      <c r="J155" s="14" t="s">
        <v>908</v>
      </c>
    </row>
    <row r="156" spans="1:10" s="14" customFormat="1" ht="14">
      <c r="A156" s="14" t="str">
        <f>HYPERLINK("http://www.ncbi.nlm.nih.gov/sites/entrez?cmd=retrieve&amp;db=gene&amp;list_uids=6121&amp;dopt=full_report","6121")</f>
        <v>6121</v>
      </c>
      <c r="B156" s="14" t="str">
        <f>HYPERLINK("http://www.ncbi.nlm.nih.gov/sites/entrez?cmd=retrieve&amp;db=gene&amp;list_uids=6121&amp;dopt=full_report", "RPE65")</f>
        <v>RPE65</v>
      </c>
      <c r="C156" s="15" t="s">
        <v>1414</v>
      </c>
      <c r="D156" s="14" t="s">
        <v>1632</v>
      </c>
      <c r="E156" s="14" t="s">
        <v>1415</v>
      </c>
      <c r="F156" s="14" t="s">
        <v>933</v>
      </c>
      <c r="G156" s="14" t="s">
        <v>1416</v>
      </c>
      <c r="H156" s="14" t="s">
        <v>1417</v>
      </c>
      <c r="I156" s="14" t="s">
        <v>1418</v>
      </c>
      <c r="J156" s="14" t="s">
        <v>914</v>
      </c>
    </row>
    <row r="157" spans="1:10" s="14" customFormat="1" ht="14">
      <c r="A157" s="14" t="str">
        <f>HYPERLINK("http://www.ncbi.nlm.nih.gov/sites/entrez?cmd=retrieve&amp;db=gene&amp;list_uids=11012&amp;dopt=full_report","11012")</f>
        <v>11012</v>
      </c>
      <c r="B157" s="14" t="str">
        <f>HYPERLINK("http://www.ncbi.nlm.nih.gov/sites/entrez?cmd=retrieve&amp;db=gene&amp;list_uids=11012&amp;dopt=full_report", "KLK11")</f>
        <v>KLK11</v>
      </c>
      <c r="C157" s="15" t="s">
        <v>1419</v>
      </c>
      <c r="D157" s="14" t="s">
        <v>1632</v>
      </c>
      <c r="E157" s="14" t="s">
        <v>758</v>
      </c>
      <c r="F157" s="14" t="s">
        <v>1097</v>
      </c>
      <c r="G157" s="14" t="s">
        <v>294</v>
      </c>
      <c r="H157" s="14" t="s">
        <v>1098</v>
      </c>
      <c r="I157" s="14" t="s">
        <v>1420</v>
      </c>
      <c r="J157" s="14" t="s">
        <v>1100</v>
      </c>
    </row>
    <row r="158" spans="1:10" ht="14">
      <c r="A158" s="3" t="str">
        <f>HYPERLINK("http://www.ncbi.nlm.nih.gov/sites/entrez?cmd=retrieve&amp;db=gene&amp;list_uids=340571&amp;dopt=full_report","340571")</f>
        <v>340571</v>
      </c>
      <c r="B158" s="3" t="str">
        <f>HYPERLINK("http://www.ncbi.nlm.nih.gov/sites/entrez?cmd=retrieve&amp;db=gene&amp;list_uids=340571&amp;dopt=full_report", "LOC340571")</f>
        <v>LOC340571</v>
      </c>
      <c r="C158" s="2" t="s">
        <v>1421</v>
      </c>
      <c r="D158" t="s">
        <v>1633</v>
      </c>
      <c r="E158" s="3" t="s">
        <v>1349</v>
      </c>
      <c r="F158" s="3" t="s">
        <v>1143</v>
      </c>
      <c r="G158" s="3" t="s">
        <v>1122</v>
      </c>
      <c r="H158" s="3" t="s">
        <v>1112</v>
      </c>
      <c r="I158" s="3" t="s">
        <v>1112</v>
      </c>
      <c r="J158" s="3" t="s">
        <v>1112</v>
      </c>
    </row>
    <row r="159" spans="1:10" ht="14">
      <c r="A159" s="3" t="str">
        <f>HYPERLINK("http://www.ncbi.nlm.nih.gov/sites/entrez?cmd=retrieve&amp;db=gene&amp;list_uids=79142&amp;dopt=full_report","79142")</f>
        <v>79142</v>
      </c>
      <c r="B159" s="3" t="str">
        <f>HYPERLINK("http://www.ncbi.nlm.nih.gov/sites/entrez?cmd=retrieve&amp;db=gene&amp;list_uids=79142&amp;dopt=full_report", "PHF23")</f>
        <v>PHF23</v>
      </c>
      <c r="C159" s="2" t="s">
        <v>1350</v>
      </c>
      <c r="D159" t="s">
        <v>1633</v>
      </c>
      <c r="E159" s="3" t="s">
        <v>1112</v>
      </c>
      <c r="F159" s="3" t="s">
        <v>1143</v>
      </c>
      <c r="G159" s="3" t="s">
        <v>1112</v>
      </c>
      <c r="H159" s="3" t="s">
        <v>1144</v>
      </c>
      <c r="I159" s="3" t="s">
        <v>1094</v>
      </c>
      <c r="J159" s="3" t="s">
        <v>1145</v>
      </c>
    </row>
    <row r="160" spans="1:10" ht="14">
      <c r="A160" s="3" t="str">
        <f>HYPERLINK("http://www.ncbi.nlm.nih.gov/sites/entrez?cmd=retrieve&amp;db=gene&amp;list_uids=11197&amp;dopt=full_report","11197")</f>
        <v>11197</v>
      </c>
      <c r="B160" s="3" t="str">
        <f>HYPERLINK("http://www.ncbi.nlm.nih.gov/sites/entrez?cmd=retrieve&amp;db=gene&amp;list_uids=11197&amp;dopt=full_report", "WIF1")</f>
        <v>WIF1</v>
      </c>
      <c r="C160" s="2" t="s">
        <v>1351</v>
      </c>
      <c r="D160" t="s">
        <v>1633</v>
      </c>
      <c r="E160" s="3" t="s">
        <v>1352</v>
      </c>
      <c r="F160" s="3" t="s">
        <v>1353</v>
      </c>
      <c r="G160" s="3" t="s">
        <v>1112</v>
      </c>
      <c r="H160" s="3" t="s">
        <v>1354</v>
      </c>
      <c r="I160" s="3" t="s">
        <v>1355</v>
      </c>
      <c r="J160" s="3" t="s">
        <v>1090</v>
      </c>
    </row>
    <row r="161" spans="1:10" ht="14">
      <c r="A161" s="3" t="str">
        <f>HYPERLINK("http://www.ncbi.nlm.nih.gov/sites/entrez?cmd=retrieve&amp;db=gene&amp;list_uids=1135&amp;dopt=full_report","1135")</f>
        <v>1135</v>
      </c>
      <c r="B161" s="3" t="str">
        <f>HYPERLINK("http://www.ncbi.nlm.nih.gov/sites/entrez?cmd=retrieve&amp;db=gene&amp;list_uids=1135&amp;dopt=full_report", "CHRNA2")</f>
        <v>CHRNA2</v>
      </c>
      <c r="C161" s="2" t="s">
        <v>1356</v>
      </c>
      <c r="D161" t="s">
        <v>1633</v>
      </c>
      <c r="E161" s="3" t="s">
        <v>1357</v>
      </c>
      <c r="F161" s="3" t="s">
        <v>1432</v>
      </c>
      <c r="G161" s="3" t="s">
        <v>1433</v>
      </c>
      <c r="H161" s="3" t="s">
        <v>357</v>
      </c>
      <c r="I161" s="3" t="s">
        <v>1434</v>
      </c>
      <c r="J161" s="3" t="s">
        <v>1286</v>
      </c>
    </row>
    <row r="162" spans="1:10" ht="14">
      <c r="A162" s="3" t="str">
        <f>HYPERLINK("http://www.ncbi.nlm.nih.gov/sites/entrez?cmd=retrieve&amp;db=gene&amp;list_uids=9427&amp;dopt=full_report","9427")</f>
        <v>9427</v>
      </c>
      <c r="B162" s="3" t="str">
        <f>HYPERLINK("http://www.ncbi.nlm.nih.gov/sites/entrez?cmd=retrieve&amp;db=gene&amp;list_uids=9427&amp;dopt=full_report", "ECEL1")</f>
        <v>ECEL1</v>
      </c>
      <c r="C162" s="2" t="s">
        <v>1435</v>
      </c>
      <c r="D162" t="s">
        <v>1633</v>
      </c>
      <c r="E162" s="3" t="s">
        <v>1436</v>
      </c>
      <c r="F162" s="3" t="s">
        <v>1437</v>
      </c>
      <c r="G162" s="3" t="s">
        <v>639</v>
      </c>
      <c r="H162" s="3" t="s">
        <v>1372</v>
      </c>
      <c r="I162" s="3" t="s">
        <v>1373</v>
      </c>
      <c r="J162" s="3" t="s">
        <v>849</v>
      </c>
    </row>
    <row r="163" spans="1:10" s="14" customFormat="1" ht="14">
      <c r="A163" s="14" t="str">
        <f>HYPERLINK("http://www.ncbi.nlm.nih.gov/sites/entrez?cmd=retrieve&amp;db=gene&amp;list_uids=493&amp;dopt=full_report","493")</f>
        <v>493</v>
      </c>
      <c r="B163" s="14" t="str">
        <f>HYPERLINK("http://www.ncbi.nlm.nih.gov/sites/entrez?cmd=retrieve&amp;db=gene&amp;list_uids=493&amp;dopt=full_report", "ATP2B4")</f>
        <v>ATP2B4</v>
      </c>
      <c r="C163" s="15" t="s">
        <v>1438</v>
      </c>
      <c r="D163" s="14" t="s">
        <v>1632</v>
      </c>
      <c r="E163" s="14" t="s">
        <v>1439</v>
      </c>
      <c r="F163" s="14" t="s">
        <v>1440</v>
      </c>
      <c r="G163" s="14" t="s">
        <v>1130</v>
      </c>
      <c r="H163" s="14" t="s">
        <v>1016</v>
      </c>
      <c r="I163" s="14" t="s">
        <v>1441</v>
      </c>
      <c r="J163" s="14" t="s">
        <v>949</v>
      </c>
    </row>
    <row r="164" spans="1:10" ht="14">
      <c r="A164" s="3" t="str">
        <f>HYPERLINK("http://www.ncbi.nlm.nih.gov/sites/entrez?cmd=retrieve&amp;db=gene&amp;list_uids=166785&amp;dopt=full_report","166785")</f>
        <v>166785</v>
      </c>
      <c r="B164" s="3" t="str">
        <f>HYPERLINK("http://www.ncbi.nlm.nih.gov/sites/entrez?cmd=retrieve&amp;db=gene&amp;list_uids=166785&amp;dopt=full_report", "MMAA")</f>
        <v>MMAA</v>
      </c>
      <c r="C164" s="2" t="s">
        <v>1442</v>
      </c>
      <c r="D164" t="s">
        <v>1633</v>
      </c>
      <c r="E164" s="3" t="s">
        <v>1112</v>
      </c>
      <c r="F164" s="3" t="s">
        <v>1443</v>
      </c>
      <c r="G164" s="3" t="s">
        <v>1444</v>
      </c>
      <c r="H164" s="3" t="s">
        <v>1445</v>
      </c>
      <c r="I164" s="3" t="s">
        <v>1112</v>
      </c>
      <c r="J164" s="3" t="s">
        <v>1145</v>
      </c>
    </row>
    <row r="165" spans="1:10" ht="14">
      <c r="A165" s="3" t="str">
        <f>HYPERLINK("http://www.ncbi.nlm.nih.gov/sites/entrez?cmd=retrieve&amp;db=gene&amp;list_uids=124222&amp;dopt=full_report","124222")</f>
        <v>124222</v>
      </c>
      <c r="B165" s="3" t="str">
        <f>HYPERLINK("http://www.ncbi.nlm.nih.gov/sites/entrez?cmd=retrieve&amp;db=gene&amp;list_uids=124222&amp;dopt=full_report", "PAQR4")</f>
        <v>PAQR4</v>
      </c>
      <c r="C165" s="2" t="s">
        <v>1446</v>
      </c>
      <c r="D165" t="s">
        <v>1633</v>
      </c>
      <c r="E165" s="3" t="s">
        <v>1112</v>
      </c>
      <c r="F165" s="3" t="s">
        <v>1447</v>
      </c>
      <c r="G165" s="3" t="s">
        <v>1092</v>
      </c>
      <c r="H165" s="3" t="s">
        <v>1384</v>
      </c>
      <c r="I165" s="3" t="s">
        <v>1385</v>
      </c>
      <c r="J165" s="3" t="s">
        <v>938</v>
      </c>
    </row>
    <row r="166" spans="1:10" ht="14">
      <c r="A166" s="3" t="str">
        <f>HYPERLINK("http://www.ncbi.nlm.nih.gov/sites/entrez?cmd=retrieve&amp;db=gene&amp;list_uids=3759&amp;dopt=full_report","3759")</f>
        <v>3759</v>
      </c>
      <c r="B166" s="3" t="str">
        <f>HYPERLINK("http://www.ncbi.nlm.nih.gov/sites/entrez?cmd=retrieve&amp;db=gene&amp;list_uids=3759&amp;dopt=full_report", "KCNJ2")</f>
        <v>KCNJ2</v>
      </c>
      <c r="C166" s="2" t="s">
        <v>1386</v>
      </c>
      <c r="D166" t="s">
        <v>1633</v>
      </c>
      <c r="E166" s="3" t="s">
        <v>561</v>
      </c>
      <c r="F166" s="3" t="s">
        <v>1387</v>
      </c>
      <c r="G166" s="3" t="s">
        <v>639</v>
      </c>
      <c r="H166" s="3" t="s">
        <v>624</v>
      </c>
      <c r="I166" s="3" t="s">
        <v>1388</v>
      </c>
      <c r="J166" s="3" t="s">
        <v>902</v>
      </c>
    </row>
    <row r="167" spans="1:10" ht="14">
      <c r="A167" s="3" t="str">
        <f>HYPERLINK("http://www.ncbi.nlm.nih.gov/sites/entrez?cmd=retrieve&amp;db=gene&amp;list_uids=50939&amp;dopt=full_report","50939")</f>
        <v>50939</v>
      </c>
      <c r="B167" s="3" t="str">
        <f>HYPERLINK("http://www.ncbi.nlm.nih.gov/sites/entrez?cmd=retrieve&amp;db=gene&amp;list_uids=50939&amp;dopt=full_report", "IMPG2")</f>
        <v>IMPG2</v>
      </c>
      <c r="C167" s="2" t="s">
        <v>1389</v>
      </c>
      <c r="D167" t="s">
        <v>1633</v>
      </c>
      <c r="E167" s="3" t="s">
        <v>1390</v>
      </c>
      <c r="F167" s="3" t="s">
        <v>1391</v>
      </c>
      <c r="G167" s="3" t="s">
        <v>1330</v>
      </c>
      <c r="H167" s="3" t="s">
        <v>1331</v>
      </c>
      <c r="I167" s="3" t="s">
        <v>1332</v>
      </c>
      <c r="J167" s="3" t="s">
        <v>1463</v>
      </c>
    </row>
    <row r="168" spans="1:10" ht="14">
      <c r="A168" s="3" t="str">
        <f>HYPERLINK("http://www.ncbi.nlm.nih.gov/sites/entrez?cmd=retrieve&amp;db=gene&amp;list_uids=6102&amp;dopt=full_report","6102")</f>
        <v>6102</v>
      </c>
      <c r="B168" s="3" t="str">
        <f>HYPERLINK("http://www.ncbi.nlm.nih.gov/sites/entrez?cmd=retrieve&amp;db=gene&amp;list_uids=6102&amp;dopt=full_report", "RP2")</f>
        <v>RP2</v>
      </c>
      <c r="C168" s="2" t="s">
        <v>1464</v>
      </c>
      <c r="D168" t="s">
        <v>1633</v>
      </c>
      <c r="E168" s="3" t="s">
        <v>1465</v>
      </c>
      <c r="F168" s="3" t="s">
        <v>1466</v>
      </c>
      <c r="G168" s="3" t="s">
        <v>858</v>
      </c>
      <c r="H168" s="3" t="s">
        <v>1467</v>
      </c>
      <c r="I168" s="3" t="s">
        <v>1112</v>
      </c>
      <c r="J168" s="3" t="s">
        <v>1468</v>
      </c>
    </row>
    <row r="169" spans="1:10" s="14" customFormat="1" ht="14">
      <c r="A169" s="14" t="str">
        <f>HYPERLINK("http://www.ncbi.nlm.nih.gov/sites/entrez?cmd=retrieve&amp;db=gene&amp;list_uids=3688&amp;dopt=full_report","3688")</f>
        <v>3688</v>
      </c>
      <c r="B169" s="14" t="str">
        <f>HYPERLINK("http://www.ncbi.nlm.nih.gov/sites/entrez?cmd=retrieve&amp;db=gene&amp;list_uids=3688&amp;dopt=full_report", "ITGB1")</f>
        <v>ITGB1</v>
      </c>
      <c r="C169" s="15" t="s">
        <v>1524</v>
      </c>
      <c r="D169" s="14" t="s">
        <v>1632</v>
      </c>
      <c r="E169" s="14" t="s">
        <v>1469</v>
      </c>
      <c r="F169" s="14" t="s">
        <v>1470</v>
      </c>
      <c r="G169" s="14" t="s">
        <v>1471</v>
      </c>
      <c r="H169" s="14" t="s">
        <v>1472</v>
      </c>
      <c r="I169" s="14" t="s">
        <v>1473</v>
      </c>
      <c r="J169" s="14" t="s">
        <v>1474</v>
      </c>
    </row>
    <row r="170" spans="1:10" s="14" customFormat="1" ht="14">
      <c r="A170" s="14" t="str">
        <f>HYPERLINK("http://www.ncbi.nlm.nih.gov/sites/entrez?cmd=retrieve&amp;db=gene&amp;list_uids=9134&amp;dopt=full_report","9134")</f>
        <v>9134</v>
      </c>
      <c r="B170" s="14" t="str">
        <f>HYPERLINK("http://www.ncbi.nlm.nih.gov/sites/entrez?cmd=retrieve&amp;db=gene&amp;list_uids=9134&amp;dopt=full_report", "CCNE2")</f>
        <v>CCNE2</v>
      </c>
      <c r="C170" s="15" t="s">
        <v>1475</v>
      </c>
      <c r="D170" s="14" t="s">
        <v>1632</v>
      </c>
      <c r="E170" s="14" t="s">
        <v>1476</v>
      </c>
      <c r="F170" s="14" t="s">
        <v>1477</v>
      </c>
      <c r="G170" s="14" t="s">
        <v>1122</v>
      </c>
      <c r="H170" s="14" t="s">
        <v>269</v>
      </c>
      <c r="I170" s="14" t="s">
        <v>1478</v>
      </c>
      <c r="J170" s="14" t="s">
        <v>397</v>
      </c>
    </row>
    <row r="171" spans="1:10" ht="14">
      <c r="A171" s="3" t="str">
        <f>HYPERLINK("http://www.ncbi.nlm.nih.gov/sites/entrez?cmd=retrieve&amp;db=gene&amp;list_uids=10857&amp;dopt=full_report","10857")</f>
        <v>10857</v>
      </c>
      <c r="B171" s="3" t="str">
        <f>HYPERLINK("http://www.ncbi.nlm.nih.gov/sites/entrez?cmd=retrieve&amp;db=gene&amp;list_uids=10857&amp;dopt=full_report", "PGRMC1")</f>
        <v>PGRMC1</v>
      </c>
      <c r="C171" s="2" t="s">
        <v>1422</v>
      </c>
      <c r="D171" t="s">
        <v>1633</v>
      </c>
      <c r="E171" s="3" t="s">
        <v>1112</v>
      </c>
      <c r="F171" s="3" t="s">
        <v>1423</v>
      </c>
      <c r="G171" s="3" t="s">
        <v>1424</v>
      </c>
      <c r="H171" s="3" t="s">
        <v>1425</v>
      </c>
      <c r="I171" s="3" t="s">
        <v>1426</v>
      </c>
      <c r="J171" s="3" t="s">
        <v>938</v>
      </c>
    </row>
    <row r="172" spans="1:10" ht="14">
      <c r="A172" s="3" t="str">
        <f>HYPERLINK("http://www.ncbi.nlm.nih.gov/sites/entrez?cmd=retrieve&amp;db=gene&amp;list_uids=157724&amp;dopt=full_report","157724")</f>
        <v>157724</v>
      </c>
      <c r="B172" s="3" t="str">
        <f>HYPERLINK("http://www.ncbi.nlm.nih.gov/sites/entrez?cmd=retrieve&amp;db=gene&amp;list_uids=157724&amp;dopt=full_report", "SLC7A13")</f>
        <v>SLC7A13</v>
      </c>
      <c r="C172" s="2" t="s">
        <v>1427</v>
      </c>
      <c r="D172" t="s">
        <v>1633</v>
      </c>
      <c r="E172" s="3" t="s">
        <v>1428</v>
      </c>
      <c r="F172" s="3" t="s">
        <v>1358</v>
      </c>
      <c r="G172" s="3" t="s">
        <v>1092</v>
      </c>
      <c r="H172" s="3" t="s">
        <v>1299</v>
      </c>
      <c r="I172" s="3" t="s">
        <v>1359</v>
      </c>
      <c r="J172" s="3" t="s">
        <v>1360</v>
      </c>
    </row>
    <row r="173" spans="1:10" s="14" customFormat="1" ht="14">
      <c r="A173" s="14" t="str">
        <f>HYPERLINK("http://www.ncbi.nlm.nih.gov/sites/entrez?cmd=retrieve&amp;db=gene&amp;list_uids=80086&amp;dopt=full_report","80086")</f>
        <v>80086</v>
      </c>
      <c r="B173" s="14" t="str">
        <f>HYPERLINK("http://www.ncbi.nlm.nih.gov/sites/entrez?cmd=retrieve&amp;db=gene&amp;list_uids=80086&amp;dopt=full_report", "TUBA4B")</f>
        <v>TUBA4B</v>
      </c>
      <c r="C173" s="15" t="s">
        <v>1361</v>
      </c>
      <c r="D173" s="14" t="s">
        <v>1632</v>
      </c>
      <c r="E173" s="14" t="s">
        <v>1362</v>
      </c>
      <c r="F173" s="14" t="s">
        <v>1491</v>
      </c>
      <c r="G173" s="14" t="s">
        <v>1492</v>
      </c>
      <c r="H173" s="14" t="s">
        <v>1112</v>
      </c>
      <c r="I173" s="14" t="s">
        <v>1112</v>
      </c>
      <c r="J173" s="14" t="s">
        <v>1112</v>
      </c>
    </row>
    <row r="174" spans="1:10" ht="14">
      <c r="A174" s="3" t="str">
        <f>HYPERLINK("http://www.ncbi.nlm.nih.gov/sites/entrez?cmd=retrieve&amp;db=gene&amp;list_uids=7737&amp;dopt=full_report","7737")</f>
        <v>7737</v>
      </c>
      <c r="B174" s="3" t="str">
        <f>HYPERLINK("http://www.ncbi.nlm.nih.gov/sites/entrez?cmd=retrieve&amp;db=gene&amp;list_uids=7737&amp;dopt=full_report", "RNF113A")</f>
        <v>RNF113A</v>
      </c>
      <c r="C174" s="2" t="s">
        <v>1493</v>
      </c>
      <c r="D174" t="s">
        <v>1633</v>
      </c>
      <c r="E174" s="3" t="s">
        <v>584</v>
      </c>
      <c r="F174" s="3" t="s">
        <v>1494</v>
      </c>
      <c r="G174" s="3" t="s">
        <v>1112</v>
      </c>
      <c r="H174" s="3" t="s">
        <v>1554</v>
      </c>
      <c r="I174" s="3" t="s">
        <v>1112</v>
      </c>
      <c r="J174" s="3" t="s">
        <v>1555</v>
      </c>
    </row>
    <row r="175" spans="1:10" s="14" customFormat="1" ht="14">
      <c r="A175" s="14" t="str">
        <f>HYPERLINK("http://www.ncbi.nlm.nih.gov/sites/entrez?cmd=retrieve&amp;db=gene&amp;list_uids=6357&amp;dopt=full_report","6357")</f>
        <v>6357</v>
      </c>
      <c r="B175" s="14" t="str">
        <f>HYPERLINK("http://www.ncbi.nlm.nih.gov/sites/entrez?cmd=retrieve&amp;db=gene&amp;list_uids=6357&amp;dopt=full_report", "CCL13")</f>
        <v>CCL13</v>
      </c>
      <c r="C175" s="15" t="s">
        <v>1556</v>
      </c>
      <c r="D175" s="14" t="s">
        <v>1632</v>
      </c>
      <c r="E175" s="14" t="s">
        <v>1557</v>
      </c>
      <c r="F175" s="14" t="s">
        <v>1495</v>
      </c>
      <c r="G175" s="14" t="s">
        <v>1496</v>
      </c>
      <c r="H175" s="14" t="s">
        <v>1497</v>
      </c>
      <c r="I175" s="14" t="s">
        <v>1497</v>
      </c>
      <c r="J175" s="14" t="s">
        <v>1381</v>
      </c>
    </row>
    <row r="176" spans="1:10" s="14" customFormat="1" ht="14">
      <c r="A176" s="14" t="str">
        <f>HYPERLINK("http://www.ncbi.nlm.nih.gov/sites/entrez?cmd=retrieve&amp;db=gene&amp;list_uids=29929&amp;dopt=full_report","29929")</f>
        <v>29929</v>
      </c>
      <c r="B176" s="14" t="str">
        <f>HYPERLINK("http://www.ncbi.nlm.nih.gov/sites/entrez?cmd=retrieve&amp;db=gene&amp;list_uids=29929&amp;dopt=full_report", "ALG6")</f>
        <v>ALG6</v>
      </c>
      <c r="C176" s="15" t="s">
        <v>1498</v>
      </c>
      <c r="D176" s="14" t="s">
        <v>1632</v>
      </c>
      <c r="E176" s="14" t="s">
        <v>1499</v>
      </c>
      <c r="F176" s="14" t="s">
        <v>1500</v>
      </c>
      <c r="G176" s="14" t="s">
        <v>1501</v>
      </c>
      <c r="H176" s="14" t="s">
        <v>1502</v>
      </c>
      <c r="I176" s="14" t="s">
        <v>1112</v>
      </c>
      <c r="J176" s="14" t="s">
        <v>1503</v>
      </c>
    </row>
    <row r="177" spans="1:10" ht="14">
      <c r="A177" s="3" t="str">
        <f>HYPERLINK("http://www.ncbi.nlm.nih.gov/sites/entrez?cmd=retrieve&amp;db=gene&amp;list_uids=1633&amp;dopt=full_report","1633")</f>
        <v>1633</v>
      </c>
      <c r="B177" s="3" t="str">
        <f>HYPERLINK("http://www.ncbi.nlm.nih.gov/sites/entrez?cmd=retrieve&amp;db=gene&amp;list_uids=1633&amp;dopt=full_report", "DCK")</f>
        <v>DCK</v>
      </c>
      <c r="C177" s="2" t="s">
        <v>1504</v>
      </c>
      <c r="D177" t="s">
        <v>1633</v>
      </c>
      <c r="E177" s="3" t="s">
        <v>1505</v>
      </c>
      <c r="F177" s="3" t="s">
        <v>1448</v>
      </c>
      <c r="G177" s="3" t="s">
        <v>1112</v>
      </c>
      <c r="H177" s="3" t="s">
        <v>1449</v>
      </c>
      <c r="I177" s="3" t="s">
        <v>1450</v>
      </c>
      <c r="J177" s="3" t="s">
        <v>1468</v>
      </c>
    </row>
    <row r="178" spans="1:10" ht="14">
      <c r="A178" s="3" t="str">
        <f>HYPERLINK("http://www.ncbi.nlm.nih.gov/sites/entrez?cmd=retrieve&amp;db=gene&amp;list_uids=79908&amp;dopt=full_report","79908")</f>
        <v>79908</v>
      </c>
      <c r="B178" s="3" t="str">
        <f>HYPERLINK("http://www.ncbi.nlm.nih.gov/sites/entrez?cmd=retrieve&amp;db=gene&amp;list_uids=79908&amp;dopt=full_report", "BTNL8")</f>
        <v>BTNL8</v>
      </c>
      <c r="C178" s="2" t="s">
        <v>1451</v>
      </c>
      <c r="D178" t="s">
        <v>1633</v>
      </c>
      <c r="E178" s="3" t="s">
        <v>1112</v>
      </c>
      <c r="F178" s="3" t="s">
        <v>1112</v>
      </c>
      <c r="G178" s="3" t="s">
        <v>1092</v>
      </c>
      <c r="H178" s="3" t="s">
        <v>264</v>
      </c>
      <c r="I178" s="3" t="s">
        <v>1452</v>
      </c>
      <c r="J178" s="3" t="s">
        <v>1145</v>
      </c>
    </row>
    <row r="179" spans="1:10" s="14" customFormat="1" ht="14">
      <c r="A179" s="14" t="str">
        <f>HYPERLINK("http://www.ncbi.nlm.nih.gov/sites/entrez?cmd=retrieve&amp;db=gene&amp;list_uids=57498&amp;dopt=full_report","57498")</f>
        <v>57498</v>
      </c>
      <c r="B179" s="14" t="str">
        <f>HYPERLINK("http://www.ncbi.nlm.nih.gov/sites/entrez?cmd=retrieve&amp;db=gene&amp;list_uids=57498&amp;dopt=full_report", "KIDINS220")</f>
        <v>KIDINS220</v>
      </c>
      <c r="C179" s="15" t="s">
        <v>1453</v>
      </c>
      <c r="D179" s="14" t="s">
        <v>1632</v>
      </c>
      <c r="E179" s="14" t="s">
        <v>1112</v>
      </c>
      <c r="F179" s="14" t="s">
        <v>1112</v>
      </c>
      <c r="G179" s="14" t="s">
        <v>1112</v>
      </c>
      <c r="H179" s="14" t="s">
        <v>988</v>
      </c>
      <c r="I179" s="14" t="s">
        <v>1454</v>
      </c>
      <c r="J179" s="14" t="s">
        <v>1145</v>
      </c>
    </row>
    <row r="180" spans="1:10" ht="14">
      <c r="A180" s="3" t="str">
        <f>HYPERLINK("http://www.ncbi.nlm.nih.gov/sites/entrez?cmd=retrieve&amp;db=gene&amp;list_uids=6476&amp;dopt=full_report","6476")</f>
        <v>6476</v>
      </c>
      <c r="B180" s="3" t="str">
        <f>HYPERLINK("http://www.ncbi.nlm.nih.gov/sites/entrez?cmd=retrieve&amp;db=gene&amp;list_uids=6476&amp;dopt=full_report", "SI")</f>
        <v>SI</v>
      </c>
      <c r="C180" s="2" t="s">
        <v>1392</v>
      </c>
      <c r="D180" t="s">
        <v>1633</v>
      </c>
      <c r="E180" s="3" t="s">
        <v>1393</v>
      </c>
      <c r="F180" s="3" t="s">
        <v>1394</v>
      </c>
      <c r="G180" s="3" t="s">
        <v>1395</v>
      </c>
      <c r="H180" s="3" t="s">
        <v>1396</v>
      </c>
      <c r="I180" s="3" t="s">
        <v>1397</v>
      </c>
      <c r="J180" s="3" t="s">
        <v>1398</v>
      </c>
    </row>
    <row r="181" spans="1:10" s="14" customFormat="1" ht="14">
      <c r="A181" s="14" t="str">
        <f>HYPERLINK("http://www.ncbi.nlm.nih.gov/sites/entrez?cmd=retrieve&amp;db=gene&amp;list_uids=4321&amp;dopt=full_report","4321")</f>
        <v>4321</v>
      </c>
      <c r="B181" s="14" t="str">
        <f>HYPERLINK("http://www.ncbi.nlm.nih.gov/sites/entrez?cmd=retrieve&amp;db=gene&amp;list_uids=4321&amp;dopt=full_report", "MMP12")</f>
        <v>MMP12</v>
      </c>
      <c r="C181" s="15" t="s">
        <v>1462</v>
      </c>
      <c r="D181" s="14" t="s">
        <v>1632</v>
      </c>
      <c r="E181" s="14" t="s">
        <v>1593</v>
      </c>
      <c r="F181" s="14" t="s">
        <v>1594</v>
      </c>
      <c r="G181" s="14" t="s">
        <v>1330</v>
      </c>
      <c r="H181" s="14" t="s">
        <v>1595</v>
      </c>
      <c r="I181" s="14" t="s">
        <v>1596</v>
      </c>
      <c r="J181" s="14" t="s">
        <v>1597</v>
      </c>
    </row>
    <row r="182" spans="1:10" ht="14">
      <c r="A182" s="3" t="str">
        <f>HYPERLINK("http://www.ncbi.nlm.nih.gov/sites/entrez?cmd=retrieve&amp;db=gene&amp;list_uids=84168&amp;dopt=full_report","84168")</f>
        <v>84168</v>
      </c>
      <c r="B182" s="3" t="str">
        <f>HYPERLINK("http://www.ncbi.nlm.nih.gov/sites/entrez?cmd=retrieve&amp;db=gene&amp;list_uids=84168&amp;dopt=full_report", "ANTXR1")</f>
        <v>ANTXR1</v>
      </c>
      <c r="C182" s="2" t="s">
        <v>1598</v>
      </c>
      <c r="D182" t="s">
        <v>1633</v>
      </c>
      <c r="E182" s="3" t="s">
        <v>1112</v>
      </c>
      <c r="F182" s="3" t="s">
        <v>1599</v>
      </c>
      <c r="G182" s="3" t="s">
        <v>1092</v>
      </c>
      <c r="H182" s="3" t="s">
        <v>1600</v>
      </c>
      <c r="I182" s="3" t="s">
        <v>1112</v>
      </c>
      <c r="J182" s="3" t="s">
        <v>804</v>
      </c>
    </row>
    <row r="183" spans="1:10" ht="14">
      <c r="A183" s="3" t="str">
        <f>HYPERLINK("http://www.ncbi.nlm.nih.gov/sites/entrez?cmd=retrieve&amp;db=gene&amp;list_uids=133&amp;dopt=full_report","133")</f>
        <v>133</v>
      </c>
      <c r="B183" s="3" t="str">
        <f>HYPERLINK("http://www.ncbi.nlm.nih.gov/sites/entrez?cmd=retrieve&amp;db=gene&amp;list_uids=133&amp;dopt=full_report", "ADM")</f>
        <v>ADM</v>
      </c>
      <c r="C183" s="2" t="s">
        <v>1601</v>
      </c>
      <c r="D183" t="s">
        <v>1633</v>
      </c>
      <c r="E183" s="3" t="s">
        <v>1525</v>
      </c>
      <c r="F183" s="3" t="s">
        <v>1526</v>
      </c>
      <c r="G183" s="3" t="s">
        <v>1527</v>
      </c>
      <c r="H183" s="3" t="s">
        <v>1528</v>
      </c>
      <c r="I183" s="3" t="s">
        <v>1112</v>
      </c>
      <c r="J183" s="3" t="s">
        <v>1529</v>
      </c>
    </row>
    <row r="184" spans="1:10" ht="14">
      <c r="A184" s="3" t="str">
        <f>HYPERLINK("http://www.ncbi.nlm.nih.gov/sites/entrez?cmd=retrieve&amp;db=gene&amp;list_uids=10156&amp;dopt=full_report","10156")</f>
        <v>10156</v>
      </c>
      <c r="B184" s="3" t="str">
        <f>HYPERLINK("http://www.ncbi.nlm.nih.gov/sites/entrez?cmd=retrieve&amp;db=gene&amp;list_uids=10156&amp;dopt=full_report", "RASA4")</f>
        <v>RASA4</v>
      </c>
      <c r="C184" s="2" t="s">
        <v>1530</v>
      </c>
      <c r="D184" t="s">
        <v>1633</v>
      </c>
      <c r="E184" s="3" t="s">
        <v>1531</v>
      </c>
      <c r="F184" s="3" t="s">
        <v>1532</v>
      </c>
      <c r="G184" s="3" t="s">
        <v>1479</v>
      </c>
      <c r="H184" s="3" t="s">
        <v>1480</v>
      </c>
      <c r="I184" s="3" t="s">
        <v>1481</v>
      </c>
      <c r="J184" s="3" t="s">
        <v>1014</v>
      </c>
    </row>
    <row r="185" spans="1:10" s="33" customFormat="1" ht="14">
      <c r="A185" s="33" t="str">
        <f>HYPERLINK("http://www.ncbi.nlm.nih.gov/sites/entrez?cmd=retrieve&amp;db=gene&amp;list_uids=7181&amp;dopt=full_report","7181")</f>
        <v>7181</v>
      </c>
      <c r="B185" s="33" t="str">
        <f>HYPERLINK("http://www.ncbi.nlm.nih.gov/sites/entrez?cmd=retrieve&amp;db=gene&amp;list_uids=7181&amp;dopt=full_report", "NR2C1")</f>
        <v>NR2C1</v>
      </c>
      <c r="C185" s="31" t="s">
        <v>1482</v>
      </c>
      <c r="D185" s="30"/>
      <c r="E185" s="33" t="s">
        <v>1483</v>
      </c>
      <c r="F185" s="37" t="s">
        <v>1429</v>
      </c>
      <c r="G185" s="33" t="s">
        <v>1122</v>
      </c>
      <c r="H185" s="33" t="s">
        <v>118</v>
      </c>
      <c r="I185" s="33" t="s">
        <v>1430</v>
      </c>
      <c r="J185" s="33" t="s">
        <v>1237</v>
      </c>
    </row>
    <row r="186" spans="1:10" s="14" customFormat="1" ht="14">
      <c r="A186" s="14" t="str">
        <f>HYPERLINK("http://www.ncbi.nlm.nih.gov/sites/entrez?cmd=retrieve&amp;db=gene&amp;list_uids=552&amp;dopt=full_report","552")</f>
        <v>552</v>
      </c>
      <c r="B186" s="14" t="str">
        <f>HYPERLINK("http://www.ncbi.nlm.nih.gov/sites/entrez?cmd=retrieve&amp;db=gene&amp;list_uids=552&amp;dopt=full_report", "AVPR1A")</f>
        <v>AVPR1A</v>
      </c>
      <c r="C186" s="15" t="s">
        <v>1431</v>
      </c>
      <c r="D186" s="14" t="s">
        <v>1632</v>
      </c>
      <c r="E186" s="14" t="s">
        <v>1490</v>
      </c>
      <c r="F186" s="14" t="s">
        <v>1567</v>
      </c>
      <c r="G186" s="14" t="s">
        <v>1568</v>
      </c>
      <c r="H186" s="14" t="s">
        <v>588</v>
      </c>
      <c r="I186" s="14" t="s">
        <v>1569</v>
      </c>
      <c r="J186" s="14" t="s">
        <v>590</v>
      </c>
    </row>
    <row r="187" spans="1:10" s="14" customFormat="1" ht="14">
      <c r="A187" s="14" t="str">
        <f>HYPERLINK("http://www.ncbi.nlm.nih.gov/sites/entrez?cmd=retrieve&amp;db=gene&amp;list_uids=79979&amp;dopt=full_report","79979")</f>
        <v>79979</v>
      </c>
      <c r="B187" s="14" t="str">
        <f>HYPERLINK("http://www.ncbi.nlm.nih.gov/sites/entrez?cmd=retrieve&amp;db=gene&amp;list_uids=79979&amp;dopt=full_report", "CXorf34")</f>
        <v>CXorf34</v>
      </c>
      <c r="C187" s="15" t="s">
        <v>1570</v>
      </c>
      <c r="D187" s="14" t="s">
        <v>1632</v>
      </c>
      <c r="E187" s="14" t="s">
        <v>1112</v>
      </c>
      <c r="F187" s="14" t="s">
        <v>1571</v>
      </c>
      <c r="G187" s="14" t="s">
        <v>1112</v>
      </c>
      <c r="H187" s="14" t="s">
        <v>1572</v>
      </c>
      <c r="I187" s="14" t="s">
        <v>1573</v>
      </c>
      <c r="J187" s="14" t="s">
        <v>1574</v>
      </c>
    </row>
    <row r="188" spans="1:10" ht="14">
      <c r="A188" s="3" t="str">
        <f>HYPERLINK("http://www.ncbi.nlm.nih.gov/sites/entrez?cmd=retrieve&amp;db=gene&amp;list_uids=1577&amp;dopt=full_report","1577")</f>
        <v>1577</v>
      </c>
      <c r="B188" s="3" t="str">
        <f>HYPERLINK("http://www.ncbi.nlm.nih.gov/sites/entrez?cmd=retrieve&amp;db=gene&amp;list_uids=1577&amp;dopt=full_report", "CYP3A5")</f>
        <v>CYP3A5</v>
      </c>
      <c r="C188" s="2" t="s">
        <v>1558</v>
      </c>
      <c r="D188" t="s">
        <v>1633</v>
      </c>
      <c r="E188" s="3" t="s">
        <v>1559</v>
      </c>
      <c r="F188" s="3" t="s">
        <v>792</v>
      </c>
      <c r="G188" s="3" t="s">
        <v>883</v>
      </c>
      <c r="H188" s="3" t="s">
        <v>884</v>
      </c>
      <c r="I188" s="3" t="s">
        <v>1560</v>
      </c>
      <c r="J188" s="3" t="s">
        <v>914</v>
      </c>
    </row>
    <row r="189" spans="1:10" s="14" customFormat="1" ht="14">
      <c r="A189" s="14" t="str">
        <f>HYPERLINK("http://www.ncbi.nlm.nih.gov/sites/entrez?cmd=retrieve&amp;db=gene&amp;list_uids=57184&amp;dopt=full_report","57184")</f>
        <v>57184</v>
      </c>
      <c r="B189" s="14" t="str">
        <f>HYPERLINK("http://www.ncbi.nlm.nih.gov/sites/entrez?cmd=retrieve&amp;db=gene&amp;list_uids=57184&amp;dopt=full_report", "C15orf17")</f>
        <v>C15orf17</v>
      </c>
      <c r="C189" s="15" t="s">
        <v>1561</v>
      </c>
      <c r="D189" s="14" t="s">
        <v>1632</v>
      </c>
      <c r="E189" s="14" t="s">
        <v>1112</v>
      </c>
      <c r="F189" s="14" t="s">
        <v>1112</v>
      </c>
      <c r="G189" s="14" t="s">
        <v>1112</v>
      </c>
      <c r="H189" s="14" t="s">
        <v>934</v>
      </c>
      <c r="I189" s="14" t="s">
        <v>1112</v>
      </c>
      <c r="J189" s="14" t="s">
        <v>1145</v>
      </c>
    </row>
    <row r="190" spans="1:10" s="14" customFormat="1" ht="14">
      <c r="A190" s="14" t="str">
        <f>HYPERLINK("http://www.ncbi.nlm.nih.gov/sites/entrez?cmd=retrieve&amp;db=gene&amp;list_uids=6748&amp;dopt=full_report","6748")</f>
        <v>6748</v>
      </c>
      <c r="B190" s="14" t="str">
        <f>HYPERLINK("http://www.ncbi.nlm.nih.gov/sites/entrez?cmd=retrieve&amp;db=gene&amp;list_uids=6748&amp;dopt=full_report", "SSR4")</f>
        <v>SSR4</v>
      </c>
      <c r="C190" s="15" t="s">
        <v>1562</v>
      </c>
      <c r="D190" s="14" t="s">
        <v>1632</v>
      </c>
      <c r="E190" s="14" t="s">
        <v>1563</v>
      </c>
      <c r="F190" s="14" t="s">
        <v>133</v>
      </c>
      <c r="G190" s="14" t="s">
        <v>1564</v>
      </c>
      <c r="H190" s="14" t="s">
        <v>1565</v>
      </c>
      <c r="I190" s="14" t="s">
        <v>1112</v>
      </c>
      <c r="J190" s="14" t="s">
        <v>895</v>
      </c>
    </row>
    <row r="191" spans="1:10" s="14" customFormat="1" ht="14">
      <c r="A191" s="14" t="str">
        <f>HYPERLINK("http://www.ncbi.nlm.nih.gov/sites/entrez?cmd=retrieve&amp;db=gene&amp;list_uids=8838&amp;dopt=full_report","8838")</f>
        <v>8838</v>
      </c>
      <c r="B191" s="14" t="str">
        <f>HYPERLINK("http://www.ncbi.nlm.nih.gov/sites/entrez?cmd=retrieve&amp;db=gene&amp;list_uids=8838&amp;dopt=full_report", "WISP3")</f>
        <v>WISP3</v>
      </c>
      <c r="C191" s="15" t="s">
        <v>1566</v>
      </c>
      <c r="D191" s="14" t="s">
        <v>1632</v>
      </c>
      <c r="E191" s="14" t="s">
        <v>1506</v>
      </c>
      <c r="F191" s="14" t="s">
        <v>1507</v>
      </c>
      <c r="G191" s="14" t="s">
        <v>391</v>
      </c>
      <c r="H191" s="14" t="s">
        <v>1054</v>
      </c>
      <c r="I191" s="14" t="s">
        <v>1508</v>
      </c>
      <c r="J191" s="14" t="s">
        <v>1056</v>
      </c>
    </row>
    <row r="192" spans="1:10" ht="14">
      <c r="A192" s="3" t="str">
        <f>HYPERLINK("http://www.ncbi.nlm.nih.gov/sites/entrez?cmd=retrieve&amp;db=gene&amp;list_uids=23625&amp;dopt=full_report","23625")</f>
        <v>23625</v>
      </c>
      <c r="B192" s="3" t="str">
        <f>HYPERLINK("http://www.ncbi.nlm.nih.gov/sites/entrez?cmd=retrieve&amp;db=gene&amp;list_uids=23625&amp;dopt=full_report", "FAM89B")</f>
        <v>FAM89B</v>
      </c>
      <c r="C192" s="2" t="s">
        <v>1509</v>
      </c>
      <c r="D192" t="s">
        <v>1633</v>
      </c>
      <c r="E192" s="3" t="s">
        <v>1112</v>
      </c>
      <c r="F192" s="3" t="s">
        <v>1112</v>
      </c>
      <c r="G192" s="3" t="s">
        <v>1112</v>
      </c>
      <c r="H192" s="3" t="s">
        <v>1510</v>
      </c>
      <c r="I192" s="3" t="s">
        <v>1112</v>
      </c>
      <c r="J192" s="3" t="s">
        <v>938</v>
      </c>
    </row>
    <row r="193" spans="1:10" s="14" customFormat="1" ht="14">
      <c r="A193" s="14" t="str">
        <f>HYPERLINK("http://www.ncbi.nlm.nih.gov/sites/entrez?cmd=retrieve&amp;db=gene&amp;list_uids=104&amp;dopt=full_report","104")</f>
        <v>104</v>
      </c>
      <c r="B193" s="14" t="str">
        <f>HYPERLINK("http://www.ncbi.nlm.nih.gov/sites/entrez?cmd=retrieve&amp;db=gene&amp;list_uids=104&amp;dopt=full_report", "ADARB1")</f>
        <v>ADARB1</v>
      </c>
      <c r="C193" s="15" t="s">
        <v>1511</v>
      </c>
      <c r="D193" s="14" t="s">
        <v>1632</v>
      </c>
      <c r="E193" s="14" t="s">
        <v>1512</v>
      </c>
      <c r="F193" s="14" t="s">
        <v>1455</v>
      </c>
      <c r="G193" s="14" t="s">
        <v>957</v>
      </c>
      <c r="H193" s="14" t="s">
        <v>1456</v>
      </c>
      <c r="I193" s="14" t="s">
        <v>1457</v>
      </c>
      <c r="J193" s="14" t="s">
        <v>1458</v>
      </c>
    </row>
    <row r="194" spans="1:10" s="14" customFormat="1" ht="14">
      <c r="A194" s="14" t="str">
        <f>HYPERLINK("http://www.ncbi.nlm.nih.gov/sites/entrez?cmd=retrieve&amp;db=gene&amp;list_uids=137202&amp;dopt=full_report","137202")</f>
        <v>137202</v>
      </c>
      <c r="B194" s="14" t="str">
        <f>HYPERLINK("http://www.ncbi.nlm.nih.gov/sites/entrez?cmd=retrieve&amp;db=gene&amp;list_uids=137202&amp;dopt=full_report", "OC90")</f>
        <v>OC90</v>
      </c>
      <c r="C194" s="15" t="s">
        <v>1112</v>
      </c>
      <c r="D194" s="14" t="s">
        <v>1632</v>
      </c>
      <c r="E194" s="14" t="s">
        <v>1112</v>
      </c>
      <c r="F194" s="14" t="s">
        <v>1112</v>
      </c>
      <c r="G194" s="14" t="s">
        <v>1112</v>
      </c>
      <c r="H194" s="14" t="s">
        <v>1112</v>
      </c>
      <c r="I194" s="14" t="s">
        <v>1112</v>
      </c>
      <c r="J194" s="14" t="s">
        <v>1112</v>
      </c>
    </row>
    <row r="195" spans="1:10" s="14" customFormat="1" ht="14">
      <c r="A195" s="14" t="str">
        <f>HYPERLINK("http://www.ncbi.nlm.nih.gov/sites/entrez?cmd=retrieve&amp;db=gene&amp;list_uids=9867&amp;dopt=full_report","9867")</f>
        <v>9867</v>
      </c>
      <c r="B195" s="14" t="str">
        <f>HYPERLINK("http://www.ncbi.nlm.nih.gov/sites/entrez?cmd=retrieve&amp;db=gene&amp;list_uids=9867&amp;dopt=full_report", "PJA2")</f>
        <v>PJA2</v>
      </c>
      <c r="C195" s="15" t="s">
        <v>1459</v>
      </c>
      <c r="D195" s="14" t="s">
        <v>1632</v>
      </c>
      <c r="E195" s="14" t="s">
        <v>507</v>
      </c>
      <c r="F195" s="14" t="s">
        <v>1460</v>
      </c>
      <c r="G195" s="14" t="s">
        <v>1461</v>
      </c>
      <c r="H195" s="14" t="s">
        <v>1588</v>
      </c>
      <c r="I195" s="14" t="s">
        <v>1589</v>
      </c>
      <c r="J195" s="14" t="s">
        <v>1590</v>
      </c>
    </row>
    <row r="196" spans="1:10" s="14" customFormat="1" ht="14">
      <c r="A196" s="14" t="str">
        <f>HYPERLINK("http://www.ncbi.nlm.nih.gov/sites/entrez?cmd=retrieve&amp;db=gene&amp;list_uids=3932&amp;dopt=full_report","3932")</f>
        <v>3932</v>
      </c>
      <c r="B196" s="14" t="str">
        <f>HYPERLINK("http://www.ncbi.nlm.nih.gov/sites/entrez?cmd=retrieve&amp;db=gene&amp;list_uids=3932&amp;dopt=full_report", "LCK")</f>
        <v>LCK</v>
      </c>
      <c r="C196" s="15" t="s">
        <v>1238</v>
      </c>
      <c r="D196" s="14" t="s">
        <v>1632</v>
      </c>
      <c r="E196" s="17" t="s">
        <v>1243</v>
      </c>
      <c r="F196" s="17" t="s">
        <v>1244</v>
      </c>
      <c r="G196" s="14" t="s">
        <v>1245</v>
      </c>
      <c r="H196" s="14" t="s">
        <v>840</v>
      </c>
      <c r="I196" s="14" t="s">
        <v>1246</v>
      </c>
      <c r="J196" s="14" t="s">
        <v>1228</v>
      </c>
    </row>
    <row r="197" spans="1:10" s="14" customFormat="1" ht="14">
      <c r="A197" s="14" t="str">
        <f>HYPERLINK("http://www.ncbi.nlm.nih.gov/sites/entrez?cmd=retrieve&amp;db=gene&amp;list_uids=4942&amp;dopt=full_report","4942")</f>
        <v>4942</v>
      </c>
      <c r="B197" s="14" t="str">
        <f>HYPERLINK("http://www.ncbi.nlm.nih.gov/sites/entrez?cmd=retrieve&amp;db=gene&amp;list_uids=4942&amp;dopt=full_report", "OAT")</f>
        <v>OAT</v>
      </c>
      <c r="C197" s="15" t="s">
        <v>1591</v>
      </c>
      <c r="D197" s="14" t="s">
        <v>1632</v>
      </c>
      <c r="E197" s="14" t="s">
        <v>1592</v>
      </c>
      <c r="F197" s="14" t="s">
        <v>1605</v>
      </c>
      <c r="G197" s="14" t="s">
        <v>705</v>
      </c>
      <c r="H197" s="14" t="s">
        <v>1606</v>
      </c>
      <c r="I197" s="14" t="s">
        <v>1607</v>
      </c>
      <c r="J197" s="14" t="s">
        <v>1608</v>
      </c>
    </row>
    <row r="198" spans="1:10" s="14" customFormat="1" ht="14">
      <c r="A198" s="14" t="str">
        <f>HYPERLINK("http://www.ncbi.nlm.nih.gov/sites/entrez?cmd=retrieve&amp;db=gene&amp;list_uids=6539&amp;dopt=full_report","6539")</f>
        <v>6539</v>
      </c>
      <c r="B198" s="14" t="str">
        <f>HYPERLINK("http://www.ncbi.nlm.nih.gov/sites/entrez?cmd=retrieve&amp;db=gene&amp;list_uids=6539&amp;dopt=full_report", "SLC6A12")</f>
        <v>SLC6A12</v>
      </c>
      <c r="C198" s="15" t="s">
        <v>1609</v>
      </c>
      <c r="D198" s="14" t="s">
        <v>1632</v>
      </c>
      <c r="E198" s="14" t="s">
        <v>1610</v>
      </c>
      <c r="F198" s="14" t="s">
        <v>1541</v>
      </c>
      <c r="G198" s="14" t="s">
        <v>639</v>
      </c>
      <c r="H198" s="14" t="s">
        <v>1602</v>
      </c>
      <c r="I198" s="14" t="s">
        <v>1533</v>
      </c>
      <c r="J198" s="14" t="s">
        <v>424</v>
      </c>
    </row>
    <row r="199" spans="1:10" s="14" customFormat="1" ht="14">
      <c r="A199" s="14" t="str">
        <f>HYPERLINK("http://www.ncbi.nlm.nih.gov/sites/entrez?cmd=retrieve&amp;db=gene&amp;list_uids=5291&amp;dopt=full_report","5291")</f>
        <v>5291</v>
      </c>
      <c r="B199" s="14" t="str">
        <f>HYPERLINK("http://www.ncbi.nlm.nih.gov/sites/entrez?cmd=retrieve&amp;db=gene&amp;list_uids=5291&amp;dopt=full_report", "PIK3CB")</f>
        <v>PIK3CB</v>
      </c>
      <c r="C199" s="15" t="s">
        <v>1234</v>
      </c>
      <c r="D199" s="14" t="s">
        <v>1632</v>
      </c>
      <c r="E199" s="17" t="s">
        <v>1235</v>
      </c>
      <c r="F199" s="14" t="s">
        <v>447</v>
      </c>
      <c r="G199" s="14" t="s">
        <v>1236</v>
      </c>
      <c r="H199" s="14" t="s">
        <v>449</v>
      </c>
      <c r="I199" s="14" t="s">
        <v>450</v>
      </c>
      <c r="J199" s="14" t="s">
        <v>650</v>
      </c>
    </row>
    <row r="200" spans="1:10" s="14" customFormat="1" ht="14">
      <c r="A200" s="14" t="str">
        <f>HYPERLINK("http://www.ncbi.nlm.nih.gov/sites/entrez?cmd=retrieve&amp;db=gene&amp;list_uids=3682&amp;dopt=full_report","3682")</f>
        <v>3682</v>
      </c>
      <c r="B200" s="14" t="str">
        <f>HYPERLINK("http://www.ncbi.nlm.nih.gov/sites/entrez?cmd=retrieve&amp;db=gene&amp;list_uids=3682&amp;dopt=full_report", "ITGAE")</f>
        <v>ITGAE</v>
      </c>
      <c r="C200" s="15" t="s">
        <v>1534</v>
      </c>
      <c r="D200" s="14" t="s">
        <v>1632</v>
      </c>
      <c r="E200" s="14" t="s">
        <v>1535</v>
      </c>
      <c r="F200" s="14" t="s">
        <v>1536</v>
      </c>
      <c r="G200" s="14" t="s">
        <v>1537</v>
      </c>
      <c r="H200" s="14" t="s">
        <v>1538</v>
      </c>
      <c r="I200" s="14" t="s">
        <v>1539</v>
      </c>
      <c r="J200" s="14" t="s">
        <v>1402</v>
      </c>
    </row>
    <row r="201" spans="1:10" s="14" customFormat="1" ht="14">
      <c r="A201" s="14" t="str">
        <f>HYPERLINK("http://www.ncbi.nlm.nih.gov/sites/entrez?cmd=retrieve&amp;db=gene&amp;list_uids=3667&amp;dopt=full_report","3667")</f>
        <v>3667</v>
      </c>
      <c r="B201" s="14" t="str">
        <f>HYPERLINK("http://www.ncbi.nlm.nih.gov/sites/entrez?cmd=retrieve&amp;db=gene&amp;list_uids=3667&amp;dopt=full_report", "IRS1")</f>
        <v>IRS1</v>
      </c>
      <c r="C201" s="15" t="s">
        <v>1232</v>
      </c>
      <c r="D201" s="14" t="s">
        <v>1632</v>
      </c>
      <c r="E201" s="14" t="s">
        <v>1233</v>
      </c>
      <c r="F201" s="17" t="s">
        <v>1239</v>
      </c>
      <c r="G201" s="14" t="s">
        <v>1240</v>
      </c>
      <c r="H201" s="14" t="s">
        <v>1241</v>
      </c>
      <c r="I201" s="14" t="s">
        <v>1242</v>
      </c>
      <c r="J201" s="14" t="s">
        <v>895</v>
      </c>
    </row>
    <row r="202" spans="1:10" s="33" customFormat="1" ht="14">
      <c r="A202" s="33" t="str">
        <f>HYPERLINK("http://www.ncbi.nlm.nih.gov/sites/entrez?cmd=retrieve&amp;db=gene&amp;list_uids=2002&amp;dopt=full_report","2002")</f>
        <v>2002</v>
      </c>
      <c r="B202" s="33" t="str">
        <f>HYPERLINK("http://www.ncbi.nlm.nih.gov/sites/entrez?cmd=retrieve&amp;db=gene&amp;list_uids=2002&amp;dopt=full_report", "ELK1")</f>
        <v>ELK1</v>
      </c>
      <c r="C202" s="31" t="s">
        <v>1540</v>
      </c>
      <c r="D202" s="30"/>
      <c r="E202" s="33" t="s">
        <v>1484</v>
      </c>
      <c r="F202" s="33" t="s">
        <v>1485</v>
      </c>
      <c r="G202" s="33" t="s">
        <v>546</v>
      </c>
      <c r="H202" s="33" t="s">
        <v>1486</v>
      </c>
      <c r="I202" s="33" t="s">
        <v>1487</v>
      </c>
      <c r="J202" s="33" t="s">
        <v>1488</v>
      </c>
    </row>
    <row r="203" spans="1:10" s="14" customFormat="1" ht="14">
      <c r="A203" s="14" t="str">
        <f>HYPERLINK("http://www.ncbi.nlm.nih.gov/sites/entrez?cmd=retrieve&amp;db=gene&amp;list_uids=7098&amp;dopt=full_report","7098")</f>
        <v>7098</v>
      </c>
      <c r="B203" s="14" t="str">
        <f>HYPERLINK("http://www.ncbi.nlm.nih.gov/sites/entrez?cmd=retrieve&amp;db=gene&amp;list_uids=7098&amp;dopt=full_report", "TLR3")</f>
        <v>TLR3</v>
      </c>
      <c r="C203" s="15" t="s">
        <v>1489</v>
      </c>
      <c r="D203" s="14" t="s">
        <v>1632</v>
      </c>
      <c r="E203" s="17" t="s">
        <v>1619</v>
      </c>
      <c r="F203" s="14" t="s">
        <v>1620</v>
      </c>
      <c r="G203" s="14" t="s">
        <v>639</v>
      </c>
      <c r="H203" s="14" t="s">
        <v>1025</v>
      </c>
      <c r="I203" s="14" t="s">
        <v>1580</v>
      </c>
      <c r="J203" s="14" t="s">
        <v>1027</v>
      </c>
    </row>
    <row r="204" spans="1:10" s="14" customFormat="1" ht="14">
      <c r="A204" s="14" t="str">
        <f>HYPERLINK("http://www.ncbi.nlm.nih.gov/sites/entrez?cmd=retrieve&amp;db=gene&amp;list_uids=330&amp;dopt=full_report","330")</f>
        <v>330</v>
      </c>
      <c r="B204" s="14" t="str">
        <f>HYPERLINK("http://www.ncbi.nlm.nih.gov/sites/entrez?cmd=retrieve&amp;db=gene&amp;list_uids=330&amp;dopt=full_report", "BIRC3")</f>
        <v>BIRC3</v>
      </c>
      <c r="C204" s="15" t="s">
        <v>1581</v>
      </c>
      <c r="D204" s="14" t="s">
        <v>1632</v>
      </c>
      <c r="E204" s="14" t="s">
        <v>1582</v>
      </c>
      <c r="F204" s="14" t="s">
        <v>1583</v>
      </c>
      <c r="G204" s="14" t="s">
        <v>1584</v>
      </c>
      <c r="H204" s="14" t="s">
        <v>1165</v>
      </c>
      <c r="I204" s="14" t="s">
        <v>1166</v>
      </c>
      <c r="J204" s="14" t="s">
        <v>1114</v>
      </c>
    </row>
    <row r="205" spans="1:10" s="14" customFormat="1" ht="14">
      <c r="A205" s="14" t="str">
        <f>HYPERLINK("http://www.ncbi.nlm.nih.gov/sites/entrez?cmd=retrieve&amp;db=gene&amp;list_uids=3452&amp;dopt=full_report","3452")</f>
        <v>3452</v>
      </c>
      <c r="B205" s="14" t="str">
        <f>HYPERLINK("http://www.ncbi.nlm.nih.gov/sites/entrez?cmd=retrieve&amp;db=gene&amp;list_uids=3452&amp;dopt=full_report", "IFNA21")</f>
        <v>IFNA21</v>
      </c>
      <c r="C205" s="15" t="s">
        <v>1585</v>
      </c>
      <c r="D205" s="14" t="s">
        <v>1632</v>
      </c>
      <c r="E205" s="14" t="s">
        <v>1116</v>
      </c>
      <c r="F205" s="14" t="s">
        <v>1586</v>
      </c>
      <c r="G205" s="14" t="s">
        <v>1118</v>
      </c>
      <c r="H205" s="14" t="s">
        <v>1119</v>
      </c>
      <c r="I205" s="14" t="s">
        <v>1120</v>
      </c>
      <c r="J205" s="14" t="s">
        <v>1169</v>
      </c>
    </row>
    <row r="206" spans="1:10" s="14" customFormat="1" ht="14">
      <c r="A206" s="14" t="str">
        <f>HYPERLINK("http://www.ncbi.nlm.nih.gov/sites/entrez?cmd=retrieve&amp;db=gene&amp;list_uids=353376&amp;dopt=full_report","353376")</f>
        <v>353376</v>
      </c>
      <c r="B206" s="14" t="str">
        <f>HYPERLINK("http://www.ncbi.nlm.nih.gov/sites/entrez?cmd=retrieve&amp;db=gene&amp;list_uids=353376&amp;dopt=full_report", "TICAM2")</f>
        <v>TICAM2</v>
      </c>
      <c r="C206" s="15" t="s">
        <v>1587</v>
      </c>
      <c r="D206" s="14" t="s">
        <v>1632</v>
      </c>
      <c r="E206" s="14" t="s">
        <v>1513</v>
      </c>
      <c r="F206" s="14" t="s">
        <v>1514</v>
      </c>
      <c r="G206" s="14" t="s">
        <v>1092</v>
      </c>
      <c r="H206" s="14" t="s">
        <v>1515</v>
      </c>
      <c r="I206" s="14" t="s">
        <v>1516</v>
      </c>
      <c r="J206" s="14" t="s">
        <v>1517</v>
      </c>
    </row>
    <row r="207" spans="1:10" s="14" customFormat="1" ht="14">
      <c r="A207" s="14" t="str">
        <f>HYPERLINK("http://www.ncbi.nlm.nih.gov/sites/entrez?cmd=retrieve&amp;db=gene&amp;list_uids=64149&amp;dopt=full_report","64149")</f>
        <v>64149</v>
      </c>
      <c r="B207" s="14" t="str">
        <f>HYPERLINK("http://www.ncbi.nlm.nih.gov/sites/entrez?cmd=retrieve&amp;db=gene&amp;list_uids=64149&amp;dopt=full_report", "C17orf75")</f>
        <v>C17orf75</v>
      </c>
      <c r="C207" s="15" t="s">
        <v>1518</v>
      </c>
      <c r="D207" s="14" t="s">
        <v>1632</v>
      </c>
      <c r="E207" s="14" t="s">
        <v>1519</v>
      </c>
      <c r="F207" s="14" t="s">
        <v>1411</v>
      </c>
      <c r="G207" s="14" t="s">
        <v>780</v>
      </c>
      <c r="H207" s="14" t="s">
        <v>934</v>
      </c>
      <c r="I207" s="14" t="s">
        <v>1112</v>
      </c>
      <c r="J207" s="14" t="s">
        <v>1145</v>
      </c>
    </row>
    <row r="208" spans="1:10" ht="14">
      <c r="A208" s="3" t="str">
        <f>HYPERLINK("http://www.ncbi.nlm.nih.gov/sites/entrez?cmd=retrieve&amp;db=gene&amp;list_uids=51135&amp;dopt=full_report","51135")</f>
        <v>51135</v>
      </c>
      <c r="B208" s="3" t="str">
        <f>HYPERLINK("http://www.ncbi.nlm.nih.gov/sites/entrez?cmd=retrieve&amp;db=gene&amp;list_uids=51135&amp;dopt=full_report", "IRAK4")</f>
        <v>IRAK4</v>
      </c>
      <c r="C208" s="2" t="s">
        <v>1520</v>
      </c>
      <c r="D208" t="s">
        <v>1633</v>
      </c>
      <c r="E208" s="3" t="s">
        <v>890</v>
      </c>
      <c r="F208" s="3" t="s">
        <v>1521</v>
      </c>
      <c r="G208" s="3" t="s">
        <v>1112</v>
      </c>
      <c r="H208" s="3" t="s">
        <v>1522</v>
      </c>
      <c r="I208" s="3" t="s">
        <v>1523</v>
      </c>
      <c r="J208" s="3" t="s">
        <v>1612</v>
      </c>
    </row>
    <row r="209" spans="1:10" s="14" customFormat="1" ht="14">
      <c r="A209" s="14" t="str">
        <f>HYPERLINK("http://www.ncbi.nlm.nih.gov/sites/entrez?cmd=retrieve&amp;db=gene&amp;list_uids=7298&amp;dopt=full_report","7298")</f>
        <v>7298</v>
      </c>
      <c r="B209" s="14" t="str">
        <f>HYPERLINK("http://www.ncbi.nlm.nih.gov/sites/entrez?cmd=retrieve&amp;db=gene&amp;list_uids=7298&amp;dopt=full_report", "TYMS")</f>
        <v>TYMS</v>
      </c>
      <c r="C209" s="15" t="s">
        <v>1613</v>
      </c>
      <c r="D209" s="14" t="s">
        <v>1632</v>
      </c>
      <c r="E209" s="14" t="s">
        <v>1614</v>
      </c>
      <c r="F209" s="14" t="s">
        <v>1615</v>
      </c>
      <c r="G209" s="14" t="s">
        <v>1112</v>
      </c>
      <c r="H209" s="14" t="s">
        <v>1616</v>
      </c>
      <c r="I209" s="14" t="s">
        <v>1617</v>
      </c>
      <c r="J209" s="14" t="s">
        <v>1603</v>
      </c>
    </row>
    <row r="210" spans="1:10" ht="14">
      <c r="A210" s="3" t="str">
        <f>HYPERLINK("http://www.ncbi.nlm.nih.gov/sites/entrez?cmd=retrieve&amp;db=gene&amp;list_uids=9531&amp;dopt=full_report","9531")</f>
        <v>9531</v>
      </c>
      <c r="B210" s="3" t="str">
        <f>HYPERLINK("http://www.ncbi.nlm.nih.gov/sites/entrez?cmd=retrieve&amp;db=gene&amp;list_uids=9531&amp;dopt=full_report", "BAG3")</f>
        <v>BAG3</v>
      </c>
      <c r="C210" s="2" t="s">
        <v>1252</v>
      </c>
      <c r="D210" t="s">
        <v>1633</v>
      </c>
      <c r="E210" s="3" t="s">
        <v>371</v>
      </c>
      <c r="F210" s="3" t="s">
        <v>1253</v>
      </c>
      <c r="G210" s="3" t="s">
        <v>1254</v>
      </c>
      <c r="H210" s="3" t="s">
        <v>373</v>
      </c>
      <c r="I210" s="3" t="s">
        <v>1255</v>
      </c>
      <c r="J210" s="3" t="s">
        <v>494</v>
      </c>
    </row>
    <row r="211" spans="1:10" ht="14">
      <c r="A211" s="3" t="str">
        <f>HYPERLINK("http://www.ncbi.nlm.nih.gov/sites/entrez?cmd=retrieve&amp;db=gene&amp;list_uids=145226&amp;dopt=full_report","145226")</f>
        <v>145226</v>
      </c>
      <c r="B211" s="3" t="str">
        <f>HYPERLINK("http://www.ncbi.nlm.nih.gov/sites/entrez?cmd=retrieve&amp;db=gene&amp;list_uids=145226&amp;dopt=full_report", "RDH12")</f>
        <v>RDH12</v>
      </c>
      <c r="C211" s="2" t="s">
        <v>1604</v>
      </c>
      <c r="D211" t="s">
        <v>1633</v>
      </c>
      <c r="E211" s="3" t="s">
        <v>1542</v>
      </c>
      <c r="F211" s="3" t="s">
        <v>1543</v>
      </c>
      <c r="G211" s="3" t="s">
        <v>957</v>
      </c>
      <c r="H211" s="3" t="s">
        <v>1544</v>
      </c>
      <c r="I211" s="3" t="s">
        <v>1545</v>
      </c>
      <c r="J211" s="3" t="s">
        <v>1546</v>
      </c>
    </row>
    <row r="212" spans="1:10" ht="14">
      <c r="A212" s="3" t="str">
        <f>HYPERLINK("http://www.ncbi.nlm.nih.gov/sites/entrez?cmd=retrieve&amp;db=gene&amp;list_uids=3633&amp;dopt=full_report","3633")</f>
        <v>3633</v>
      </c>
      <c r="B212" s="3" t="str">
        <f>HYPERLINK("http://www.ncbi.nlm.nih.gov/sites/entrez?cmd=retrieve&amp;db=gene&amp;list_uids=3633&amp;dopt=full_report", "INPP5B")</f>
        <v>INPP5B</v>
      </c>
      <c r="C212" s="2" t="s">
        <v>1547</v>
      </c>
      <c r="D212" t="s">
        <v>1633</v>
      </c>
      <c r="E212" s="3" t="s">
        <v>1548</v>
      </c>
      <c r="F212" s="3" t="s">
        <v>1549</v>
      </c>
      <c r="G212" s="3" t="s">
        <v>1550</v>
      </c>
      <c r="H212" s="3" t="s">
        <v>1551</v>
      </c>
      <c r="I212" s="3" t="s">
        <v>1552</v>
      </c>
      <c r="J212" s="3" t="s">
        <v>905</v>
      </c>
    </row>
    <row r="213" spans="1:10" ht="14">
      <c r="A213" s="3" t="str">
        <f>HYPERLINK("http://www.ncbi.nlm.nih.gov/sites/entrez?cmd=retrieve&amp;db=gene&amp;list_uids=6606&amp;dopt=full_report","6606")</f>
        <v>6606</v>
      </c>
      <c r="B213" s="3" t="str">
        <f>HYPERLINK("http://www.ncbi.nlm.nih.gov/sites/entrez?cmd=retrieve&amp;db=gene&amp;list_uids=6606&amp;dopt=full_report", "SMN1")</f>
        <v>SMN1</v>
      </c>
      <c r="C213" s="2" t="s">
        <v>1553</v>
      </c>
      <c r="D213" t="s">
        <v>1633</v>
      </c>
      <c r="E213" s="3" t="s">
        <v>1618</v>
      </c>
      <c r="F213" s="3" t="s">
        <v>1621</v>
      </c>
      <c r="G213" s="3" t="s">
        <v>1622</v>
      </c>
      <c r="H213" s="3" t="s">
        <v>1623</v>
      </c>
      <c r="I213" s="3" t="s">
        <v>1112</v>
      </c>
      <c r="J213" s="3" t="s">
        <v>1624</v>
      </c>
    </row>
    <row r="214" spans="1:10" ht="14">
      <c r="A214" s="3" t="str">
        <f>HYPERLINK("http://www.ncbi.nlm.nih.gov/sites/entrez?cmd=retrieve&amp;db=gene&amp;list_uids=7363&amp;dopt=full_report","7363")</f>
        <v>7363</v>
      </c>
      <c r="B214" s="3" t="str">
        <f>HYPERLINK("http://www.ncbi.nlm.nih.gov/sites/entrez?cmd=retrieve&amp;db=gene&amp;list_uids=7363&amp;dopt=full_report", "UGT2B4")</f>
        <v>UGT2B4</v>
      </c>
      <c r="C214" s="2" t="s">
        <v>1625</v>
      </c>
      <c r="D214" t="s">
        <v>1633</v>
      </c>
      <c r="E214" s="3" t="s">
        <v>1626</v>
      </c>
      <c r="F214" s="3" t="s">
        <v>1627</v>
      </c>
      <c r="G214" s="3" t="s">
        <v>1628</v>
      </c>
      <c r="H214" s="3" t="s">
        <v>1629</v>
      </c>
      <c r="I214" s="3" t="s">
        <v>1112</v>
      </c>
      <c r="J214" s="3" t="s">
        <v>1503</v>
      </c>
    </row>
    <row r="215" spans="1:10" s="14" customFormat="1" ht="14">
      <c r="A215" s="14" t="str">
        <f>HYPERLINK("http://www.ncbi.nlm.nih.gov/sites/entrez?cmd=retrieve&amp;db=gene&amp;list_uids=4123&amp;dopt=full_report","4123")</f>
        <v>4123</v>
      </c>
      <c r="B215" s="14" t="str">
        <f>HYPERLINK("http://www.ncbi.nlm.nih.gov/sites/entrez?cmd=retrieve&amp;db=gene&amp;list_uids=4123&amp;dopt=full_report", "MAN2C1")</f>
        <v>MAN2C1</v>
      </c>
      <c r="C215" s="15" t="s">
        <v>1630</v>
      </c>
      <c r="D215" s="14" t="s">
        <v>1632</v>
      </c>
      <c r="E215" s="14" t="s">
        <v>1575</v>
      </c>
      <c r="F215" s="14" t="s">
        <v>1576</v>
      </c>
      <c r="G215" s="14" t="s">
        <v>1112</v>
      </c>
      <c r="H215" s="14" t="s">
        <v>1577</v>
      </c>
      <c r="I215" s="14" t="s">
        <v>1578</v>
      </c>
      <c r="J215" s="14" t="s">
        <v>1579</v>
      </c>
    </row>
    <row r="216" spans="1:10" s="14" customFormat="1" ht="14">
      <c r="A216" s="14" t="str">
        <f>HYPERLINK("http://www.ncbi.nlm.nih.gov/sites/entrez?cmd=retrieve&amp;db=gene&amp;list_uids=5862&amp;dopt=full_report","5862")</f>
        <v>5862</v>
      </c>
      <c r="B216" s="14" t="str">
        <f>HYPERLINK("http://www.ncbi.nlm.nih.gov/sites/entrez?cmd=retrieve&amp;db=gene&amp;list_uids=5862&amp;dopt=full_report", "RAB2A")</f>
        <v>RAB2A</v>
      </c>
      <c r="C216" s="15" t="s">
        <v>1270</v>
      </c>
      <c r="D216" s="14" t="s">
        <v>1632</v>
      </c>
      <c r="E216" s="14" t="s">
        <v>1283</v>
      </c>
      <c r="F216" s="14" t="s">
        <v>857</v>
      </c>
      <c r="G216" s="14" t="s">
        <v>1284</v>
      </c>
      <c r="H216" s="14" t="s">
        <v>1038</v>
      </c>
      <c r="I216" s="14" t="s">
        <v>1285</v>
      </c>
      <c r="J216" s="14" t="s">
        <v>908</v>
      </c>
    </row>
    <row r="217" spans="1:10" s="14" customFormat="1" ht="14">
      <c r="A217" s="14" t="str">
        <f>HYPERLINK("http://www.ncbi.nlm.nih.gov/sites/entrez?cmd=retrieve&amp;db=gene&amp;list_uids=4703&amp;dopt=full_report","4703")</f>
        <v>4703</v>
      </c>
      <c r="B217" s="14" t="str">
        <f>HYPERLINK("http://www.ncbi.nlm.nih.gov/sites/entrez?cmd=retrieve&amp;db=gene&amp;list_uids=4703&amp;dopt=full_report", "NEB")</f>
        <v>NEB</v>
      </c>
      <c r="C217" s="15" t="s">
        <v>1281</v>
      </c>
      <c r="D217" s="14" t="s">
        <v>1632</v>
      </c>
      <c r="E217" s="14" t="s">
        <v>1294</v>
      </c>
      <c r="F217" s="14" t="s">
        <v>1295</v>
      </c>
      <c r="G217" s="14" t="s">
        <v>1296</v>
      </c>
      <c r="H217" s="14" t="s">
        <v>1297</v>
      </c>
      <c r="I217" s="14" t="s">
        <v>1297</v>
      </c>
      <c r="J217" s="14" t="s">
        <v>1229</v>
      </c>
    </row>
    <row r="218" spans="1:10">
      <c r="D218"/>
    </row>
    <row r="229" spans="3:3">
      <c r="C229" s="22" t="s">
        <v>1636</v>
      </c>
    </row>
    <row r="230" spans="3:3">
      <c r="C230" s="22" t="s">
        <v>1634</v>
      </c>
    </row>
    <row r="231" spans="3:3">
      <c r="C231" s="22" t="s">
        <v>1635</v>
      </c>
    </row>
  </sheetData>
  <phoneticPr fontId="1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enhanced infection</vt:lpstr>
      <vt:lpstr>reduced infection</vt:lpstr>
    </vt:vector>
  </TitlesOfParts>
  <Company>ETH-Zürich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Biochemie D-Biol</dc:creator>
  <cp:lastModifiedBy>Mario Schelhaas</cp:lastModifiedBy>
  <cp:lastPrinted>2009-03-02T14:53:16Z</cp:lastPrinted>
  <dcterms:created xsi:type="dcterms:W3CDTF">2009-01-23T14:33:13Z</dcterms:created>
  <dcterms:modified xsi:type="dcterms:W3CDTF">2013-09-04T13:53:42Z</dcterms:modified>
</cp:coreProperties>
</file>