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360" windowHeight="7725" firstSheet="2" activeTab="6"/>
  </bookViews>
  <sheets>
    <sheet name="LFA Costing_n=23 (50th Perc)" sheetId="107" r:id="rId1"/>
    <sheet name="EIA Costing n=40 (75th Perc)" sheetId="109" r:id="rId2"/>
    <sheet name="Ref1_Lab_Volumes" sheetId="95" r:id="rId3"/>
    <sheet name="Ref2_CDW Volumes" sheetId="41" r:id="rId4"/>
    <sheet name="Ref3_CTC" sheetId="6" r:id="rId5"/>
    <sheet name="Ref4_ER" sheetId="57" r:id="rId6"/>
    <sheet name="Ref5_Percentile Volumes" sheetId="106" r:id="rId7"/>
  </sheets>
  <externalReferences>
    <externalReference r:id="rId8"/>
  </externalReferences>
  <definedNames>
    <definedName name="_xlnm._FilterDatabase" localSheetId="3" hidden="1">'Ref2_CDW Volumes'!$M$12:$M$111</definedName>
    <definedName name="ER" localSheetId="1">#REF!</definedName>
    <definedName name="ER" localSheetId="0">#REF!</definedName>
    <definedName name="ER" localSheetId="2">#REF!</definedName>
    <definedName name="ER">#REF!</definedName>
    <definedName name="ER_1" localSheetId="1">#REF!</definedName>
    <definedName name="ER_1" localSheetId="0">#REF!</definedName>
    <definedName name="ER_1" localSheetId="2">#REF!</definedName>
    <definedName name="ER_1">#REF!</definedName>
    <definedName name="ERD">Ref4_ER!$P$5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07" l="1"/>
  <c r="B38" i="107"/>
  <c r="F35" i="107"/>
  <c r="G35" i="107" s="1"/>
  <c r="E35" i="107"/>
  <c r="D35" i="107"/>
  <c r="C35" i="107"/>
  <c r="F34" i="107"/>
  <c r="G34" i="107" s="1"/>
  <c r="G38" i="107" s="1"/>
  <c r="E34" i="107"/>
  <c r="C34" i="107"/>
  <c r="D34" i="107" s="1"/>
  <c r="D38" i="107" s="1"/>
  <c r="D26" i="109"/>
  <c r="E26" i="109" s="1"/>
  <c r="F26" i="109"/>
  <c r="F30" i="109" s="1"/>
  <c r="D27" i="109"/>
  <c r="E27" i="109"/>
  <c r="F27" i="109"/>
  <c r="G27" i="109"/>
  <c r="E30" i="109" l="1"/>
  <c r="G26" i="109"/>
  <c r="G30" i="109" s="1"/>
  <c r="B4" i="109"/>
  <c r="B16" i="109" s="1"/>
  <c r="B2" i="109"/>
  <c r="L13" i="109" s="1"/>
  <c r="L42" i="109" s="1"/>
  <c r="L44" i="109" s="1"/>
  <c r="D53" i="109"/>
  <c r="F53" i="109" s="1"/>
  <c r="D52" i="109"/>
  <c r="F52" i="109" s="1"/>
  <c r="D51" i="109"/>
  <c r="F51" i="109" s="1"/>
  <c r="D50" i="109"/>
  <c r="F50" i="109" s="1"/>
  <c r="D49" i="109"/>
  <c r="F49" i="109" s="1"/>
  <c r="D48" i="109"/>
  <c r="F48" i="109" s="1"/>
  <c r="D47" i="109"/>
  <c r="F47" i="109" s="1"/>
  <c r="D46" i="109"/>
  <c r="F46" i="109" s="1"/>
  <c r="C41" i="109"/>
  <c r="B41" i="109"/>
  <c r="D36" i="109"/>
  <c r="F35" i="109"/>
  <c r="F36" i="109" s="1"/>
  <c r="G36" i="109" s="1"/>
  <c r="E35" i="109"/>
  <c r="D35" i="109"/>
  <c r="D41" i="109" s="1"/>
  <c r="L34" i="109"/>
  <c r="L35" i="109" s="1"/>
  <c r="L26" i="107"/>
  <c r="L32" i="107" s="1"/>
  <c r="L29" i="107"/>
  <c r="L30" i="107" s="1"/>
  <c r="L11" i="107"/>
  <c r="L37" i="107" s="1"/>
  <c r="L39" i="107" s="1"/>
  <c r="B15" i="107"/>
  <c r="G35" i="109" l="1"/>
  <c r="G41" i="109" s="1"/>
  <c r="C61" i="109" s="1"/>
  <c r="C65" i="109" s="1"/>
  <c r="G65" i="109"/>
  <c r="G52" i="109"/>
  <c r="H52" i="109" s="1"/>
  <c r="G50" i="109"/>
  <c r="H50" i="109" s="1"/>
  <c r="G48" i="109"/>
  <c r="H48" i="109" s="1"/>
  <c r="G46" i="109"/>
  <c r="H46" i="109" s="1"/>
  <c r="G61" i="109"/>
  <c r="G53" i="109"/>
  <c r="H53" i="109" s="1"/>
  <c r="G51" i="109"/>
  <c r="H51" i="109" s="1"/>
  <c r="G49" i="109"/>
  <c r="H49" i="109" s="1"/>
  <c r="G47" i="109"/>
  <c r="H47" i="109" s="1"/>
  <c r="F55" i="109"/>
  <c r="G63" i="107"/>
  <c r="G59" i="107"/>
  <c r="H55" i="109" l="1"/>
  <c r="E61" i="109" s="1"/>
  <c r="E65" i="109" s="1"/>
  <c r="C59" i="107"/>
  <c r="C63" i="107" s="1"/>
  <c r="E59" i="107"/>
  <c r="E63" i="107" s="1"/>
  <c r="L31" i="109" l="1"/>
  <c r="L34" i="107"/>
  <c r="L32" i="109" l="1"/>
  <c r="L37" i="109"/>
  <c r="L39" i="109" s="1"/>
  <c r="D59" i="107"/>
  <c r="D63" i="107" l="1"/>
  <c r="F63" i="107" s="1"/>
  <c r="H63" i="107" s="1"/>
  <c r="D4" i="107" s="1"/>
  <c r="D6" i="107" s="1"/>
  <c r="F59" i="107"/>
  <c r="H59" i="107" s="1"/>
  <c r="D61" i="109" l="1"/>
  <c r="F61" i="109" l="1"/>
  <c r="H61" i="109" s="1"/>
  <c r="D65" i="109"/>
  <c r="F65" i="109" s="1"/>
  <c r="H65" i="109" s="1"/>
  <c r="D3" i="109" s="1"/>
  <c r="D5" i="109" s="1"/>
  <c r="C56" i="95" l="1"/>
  <c r="G5" i="95" l="1"/>
  <c r="G6" i="95"/>
  <c r="G7" i="95"/>
  <c r="G8" i="95"/>
  <c r="G9" i="95"/>
  <c r="G10" i="95"/>
  <c r="G11" i="95"/>
  <c r="G12" i="95"/>
  <c r="G13" i="95"/>
  <c r="G14" i="95"/>
  <c r="G15" i="95"/>
  <c r="G16" i="95"/>
  <c r="G17" i="95"/>
  <c r="G18" i="95"/>
  <c r="G19" i="95"/>
  <c r="G20" i="95"/>
  <c r="G21" i="95"/>
  <c r="G22" i="95"/>
  <c r="G23" i="95"/>
  <c r="G24" i="95"/>
  <c r="G25" i="95"/>
  <c r="G26" i="95"/>
  <c r="G27" i="95"/>
  <c r="G28" i="95"/>
  <c r="G29" i="95"/>
  <c r="G30" i="95"/>
  <c r="G31" i="95"/>
  <c r="G32" i="95"/>
  <c r="G33" i="95"/>
  <c r="G34" i="95"/>
  <c r="G35" i="95"/>
  <c r="G36" i="95"/>
  <c r="G37" i="95"/>
  <c r="G38" i="95"/>
  <c r="G39" i="95"/>
  <c r="G40" i="95"/>
  <c r="G41" i="95"/>
  <c r="G42" i="95"/>
  <c r="G43" i="95"/>
  <c r="G44" i="95"/>
  <c r="G45" i="95"/>
  <c r="G46" i="95"/>
  <c r="G47" i="95"/>
  <c r="G48" i="95"/>
  <c r="G49" i="95"/>
  <c r="G50" i="95"/>
  <c r="G51" i="95"/>
  <c r="G52" i="95"/>
  <c r="G53" i="95"/>
  <c r="G54" i="95"/>
  <c r="G55" i="95"/>
  <c r="G4" i="95"/>
  <c r="E5" i="95"/>
  <c r="F5" i="95" s="1"/>
  <c r="H5" i="95" s="1"/>
  <c r="I5" i="95" s="1"/>
  <c r="E6" i="95"/>
  <c r="F6" i="95" s="1"/>
  <c r="E7" i="95"/>
  <c r="F7" i="95" s="1"/>
  <c r="E8" i="95"/>
  <c r="F8" i="95" s="1"/>
  <c r="E9" i="95"/>
  <c r="F9" i="95" s="1"/>
  <c r="H9" i="95" s="1"/>
  <c r="I9" i="95" s="1"/>
  <c r="E10" i="95"/>
  <c r="F10" i="95" s="1"/>
  <c r="H10" i="95" s="1"/>
  <c r="I10" i="95" s="1"/>
  <c r="E11" i="95"/>
  <c r="F11" i="95" s="1"/>
  <c r="H11" i="95" s="1"/>
  <c r="I11" i="95" s="1"/>
  <c r="E12" i="95"/>
  <c r="F12" i="95" s="1"/>
  <c r="E13" i="95"/>
  <c r="F13" i="95" s="1"/>
  <c r="H13" i="95" s="1"/>
  <c r="I13" i="95" s="1"/>
  <c r="E14" i="95"/>
  <c r="F14" i="95" s="1"/>
  <c r="E15" i="95"/>
  <c r="F15" i="95" s="1"/>
  <c r="H15" i="95" s="1"/>
  <c r="I15" i="95" s="1"/>
  <c r="E16" i="95"/>
  <c r="F16" i="95" s="1"/>
  <c r="E17" i="95"/>
  <c r="F17" i="95" s="1"/>
  <c r="H17" i="95" s="1"/>
  <c r="I17" i="95" s="1"/>
  <c r="E18" i="95"/>
  <c r="F18" i="95" s="1"/>
  <c r="H18" i="95" s="1"/>
  <c r="I18" i="95" s="1"/>
  <c r="E19" i="95"/>
  <c r="F19" i="95" s="1"/>
  <c r="H19" i="95" s="1"/>
  <c r="I19" i="95" s="1"/>
  <c r="E20" i="95"/>
  <c r="F20" i="95" s="1"/>
  <c r="E21" i="95"/>
  <c r="F21" i="95" s="1"/>
  <c r="H21" i="95" s="1"/>
  <c r="I21" i="95" s="1"/>
  <c r="E22" i="95"/>
  <c r="F22" i="95" s="1"/>
  <c r="H22" i="95" s="1"/>
  <c r="I22" i="95" s="1"/>
  <c r="E23" i="95"/>
  <c r="F23" i="95" s="1"/>
  <c r="H23" i="95" s="1"/>
  <c r="I23" i="95" s="1"/>
  <c r="E24" i="95"/>
  <c r="F24" i="95" s="1"/>
  <c r="E25" i="95"/>
  <c r="F25" i="95" s="1"/>
  <c r="H25" i="95" s="1"/>
  <c r="I25" i="95" s="1"/>
  <c r="E26" i="95"/>
  <c r="F26" i="95" s="1"/>
  <c r="H26" i="95" s="1"/>
  <c r="I26" i="95" s="1"/>
  <c r="E27" i="95"/>
  <c r="F27" i="95" s="1"/>
  <c r="H27" i="95" s="1"/>
  <c r="I27" i="95" s="1"/>
  <c r="E28" i="95"/>
  <c r="F28" i="95" s="1"/>
  <c r="E29" i="95"/>
  <c r="F29" i="95" s="1"/>
  <c r="E30" i="95"/>
  <c r="F30" i="95" s="1"/>
  <c r="H30" i="95" s="1"/>
  <c r="I30" i="95" s="1"/>
  <c r="E31" i="95"/>
  <c r="F31" i="95" s="1"/>
  <c r="E32" i="95"/>
  <c r="F32" i="95" s="1"/>
  <c r="E33" i="95"/>
  <c r="F33" i="95" s="1"/>
  <c r="H33" i="95" s="1"/>
  <c r="I33" i="95" s="1"/>
  <c r="E34" i="95"/>
  <c r="F34" i="95" s="1"/>
  <c r="H34" i="95" s="1"/>
  <c r="I34" i="95" s="1"/>
  <c r="E35" i="95"/>
  <c r="F35" i="95" s="1"/>
  <c r="E36" i="95"/>
  <c r="F36" i="95" s="1"/>
  <c r="E37" i="95"/>
  <c r="F37" i="95" s="1"/>
  <c r="E38" i="95"/>
  <c r="F38" i="95" s="1"/>
  <c r="H38" i="95" s="1"/>
  <c r="I38" i="95" s="1"/>
  <c r="E39" i="95"/>
  <c r="F39" i="95" s="1"/>
  <c r="H39" i="95" s="1"/>
  <c r="I39" i="95" s="1"/>
  <c r="E40" i="95"/>
  <c r="F40" i="95" s="1"/>
  <c r="E41" i="95"/>
  <c r="F41" i="95" s="1"/>
  <c r="H41" i="95" s="1"/>
  <c r="I41" i="95" s="1"/>
  <c r="E42" i="95"/>
  <c r="F42" i="95" s="1"/>
  <c r="H42" i="95" s="1"/>
  <c r="I42" i="95" s="1"/>
  <c r="E43" i="95"/>
  <c r="F43" i="95" s="1"/>
  <c r="H43" i="95" s="1"/>
  <c r="I43" i="95" s="1"/>
  <c r="E44" i="95"/>
  <c r="F44" i="95" s="1"/>
  <c r="E45" i="95"/>
  <c r="F45" i="95" s="1"/>
  <c r="H45" i="95" s="1"/>
  <c r="I45" i="95" s="1"/>
  <c r="E46" i="95"/>
  <c r="F46" i="95" s="1"/>
  <c r="H46" i="95" s="1"/>
  <c r="I46" i="95" s="1"/>
  <c r="E47" i="95"/>
  <c r="F47" i="95" s="1"/>
  <c r="H47" i="95" s="1"/>
  <c r="I47" i="95" s="1"/>
  <c r="E48" i="95"/>
  <c r="F48" i="95" s="1"/>
  <c r="E49" i="95"/>
  <c r="F49" i="95" s="1"/>
  <c r="H49" i="95" s="1"/>
  <c r="I49" i="95" s="1"/>
  <c r="E50" i="95"/>
  <c r="F50" i="95" s="1"/>
  <c r="H50" i="95" s="1"/>
  <c r="I50" i="95" s="1"/>
  <c r="E51" i="95"/>
  <c r="F51" i="95" s="1"/>
  <c r="H51" i="95" s="1"/>
  <c r="I51" i="95" s="1"/>
  <c r="E52" i="95"/>
  <c r="F52" i="95" s="1"/>
  <c r="E53" i="95"/>
  <c r="F53" i="95" s="1"/>
  <c r="H53" i="95" s="1"/>
  <c r="I53" i="95" s="1"/>
  <c r="E54" i="95"/>
  <c r="F54" i="95" s="1"/>
  <c r="H54" i="95" s="1"/>
  <c r="I54" i="95" s="1"/>
  <c r="E55" i="95"/>
  <c r="F55" i="95" s="1"/>
  <c r="H55" i="95" s="1"/>
  <c r="E4" i="95"/>
  <c r="A5" i="95"/>
  <c r="A6" i="95" s="1"/>
  <c r="A7" i="95" s="1"/>
  <c r="A8" i="95" s="1"/>
  <c r="A9" i="95" s="1"/>
  <c r="A10" i="95" s="1"/>
  <c r="A11" i="95" s="1"/>
  <c r="A12" i="95" s="1"/>
  <c r="A13" i="95" s="1"/>
  <c r="A14" i="95" s="1"/>
  <c r="A15" i="95" s="1"/>
  <c r="A16" i="95" s="1"/>
  <c r="A17" i="95" s="1"/>
  <c r="A18" i="95" s="1"/>
  <c r="A19" i="95" s="1"/>
  <c r="A20" i="95" s="1"/>
  <c r="A21" i="95" s="1"/>
  <c r="A22" i="95" s="1"/>
  <c r="A23" i="95" s="1"/>
  <c r="A24" i="95" s="1"/>
  <c r="A25" i="95" s="1"/>
  <c r="A26" i="95" s="1"/>
  <c r="A27" i="95" s="1"/>
  <c r="A28" i="95" s="1"/>
  <c r="A29" i="95" s="1"/>
  <c r="A30" i="95" s="1"/>
  <c r="A31" i="95" s="1"/>
  <c r="A32" i="95" s="1"/>
  <c r="A33" i="95" s="1"/>
  <c r="A34" i="95" s="1"/>
  <c r="A35" i="95" s="1"/>
  <c r="A36" i="95" s="1"/>
  <c r="A37" i="95" s="1"/>
  <c r="A38" i="95" s="1"/>
  <c r="A39" i="95" s="1"/>
  <c r="A40" i="95" s="1"/>
  <c r="A41" i="95" s="1"/>
  <c r="A42" i="95" s="1"/>
  <c r="A43" i="95" s="1"/>
  <c r="A44" i="95" s="1"/>
  <c r="A45" i="95" s="1"/>
  <c r="A46" i="95" s="1"/>
  <c r="A47" i="95" s="1"/>
  <c r="A48" i="95" s="1"/>
  <c r="A49" i="95" s="1"/>
  <c r="A50" i="95" s="1"/>
  <c r="A51" i="95" s="1"/>
  <c r="A52" i="95" s="1"/>
  <c r="A53" i="95" s="1"/>
  <c r="A54" i="95" s="1"/>
  <c r="A55" i="95" s="1"/>
  <c r="M84" i="41"/>
  <c r="M85" i="41"/>
  <c r="M46" i="41"/>
  <c r="M60" i="41"/>
  <c r="M86" i="41"/>
  <c r="M65" i="41"/>
  <c r="M87" i="41"/>
  <c r="M52" i="41"/>
  <c r="M14" i="41"/>
  <c r="M18" i="41"/>
  <c r="M88" i="41"/>
  <c r="M55" i="41"/>
  <c r="M64" i="41"/>
  <c r="M89" i="41"/>
  <c r="M17" i="41"/>
  <c r="M59" i="41"/>
  <c r="M23" i="41"/>
  <c r="M21" i="41"/>
  <c r="M69" i="41"/>
  <c r="M71" i="41"/>
  <c r="M24" i="41"/>
  <c r="M58" i="41"/>
  <c r="M50" i="41"/>
  <c r="M90" i="41"/>
  <c r="M28" i="41"/>
  <c r="M36" i="41"/>
  <c r="M75" i="41"/>
  <c r="M67" i="41"/>
  <c r="M91" i="41"/>
  <c r="M92" i="41"/>
  <c r="M41" i="41"/>
  <c r="M93" i="41"/>
  <c r="M94" i="41"/>
  <c r="M56" i="41"/>
  <c r="M53" i="41"/>
  <c r="M68" i="41"/>
  <c r="M37" i="41"/>
  <c r="M51" i="41"/>
  <c r="M95" i="41"/>
  <c r="M72" i="41"/>
  <c r="M40" i="41"/>
  <c r="M22" i="41"/>
  <c r="M25" i="41"/>
  <c r="M44" i="41"/>
  <c r="M96" i="41"/>
  <c r="M27" i="41"/>
  <c r="M45" i="41"/>
  <c r="M97" i="41"/>
  <c r="M98" i="41"/>
  <c r="M48" i="41"/>
  <c r="M99" i="41"/>
  <c r="M29" i="41"/>
  <c r="M100" i="41"/>
  <c r="M15" i="41"/>
  <c r="M34" i="41"/>
  <c r="M73" i="41"/>
  <c r="M101" i="41"/>
  <c r="M102" i="41"/>
  <c r="M76" i="41"/>
  <c r="M103" i="41"/>
  <c r="M31" i="41"/>
  <c r="M77" i="41"/>
  <c r="M16" i="41"/>
  <c r="M70" i="41"/>
  <c r="M104" i="41"/>
  <c r="M38" i="41"/>
  <c r="M78" i="41"/>
  <c r="M26" i="41"/>
  <c r="M57" i="41"/>
  <c r="M105" i="41"/>
  <c r="M43" i="41"/>
  <c r="M35" i="41"/>
  <c r="M54" i="41"/>
  <c r="M79" i="41"/>
  <c r="M106" i="41"/>
  <c r="M33" i="41"/>
  <c r="M74" i="41"/>
  <c r="M47" i="41"/>
  <c r="M13" i="41"/>
  <c r="M107" i="41"/>
  <c r="M19" i="41"/>
  <c r="M62" i="41"/>
  <c r="M108" i="41"/>
  <c r="M20" i="41"/>
  <c r="M61" i="41"/>
  <c r="M30" i="41"/>
  <c r="M39" i="41"/>
  <c r="M109" i="41"/>
  <c r="M80" i="41"/>
  <c r="M63" i="41"/>
  <c r="M81" i="41"/>
  <c r="M110" i="41"/>
  <c r="M42" i="41"/>
  <c r="M32" i="41"/>
  <c r="M49" i="41"/>
  <c r="M82" i="41"/>
  <c r="M66" i="41"/>
  <c r="M83" i="41"/>
  <c r="I55" i="95" l="1"/>
  <c r="D7" i="95"/>
  <c r="D11" i="95"/>
  <c r="D15" i="95"/>
  <c r="D19" i="95"/>
  <c r="D23" i="95"/>
  <c r="D27" i="95"/>
  <c r="D31" i="95"/>
  <c r="D35" i="95"/>
  <c r="D39" i="95"/>
  <c r="D43" i="95"/>
  <c r="D47" i="95"/>
  <c r="D51" i="95"/>
  <c r="D55" i="95"/>
  <c r="D8" i="95"/>
  <c r="D12" i="95"/>
  <c r="D16" i="95"/>
  <c r="D20" i="95"/>
  <c r="D24" i="95"/>
  <c r="D28" i="95"/>
  <c r="D32" i="95"/>
  <c r="D36" i="95"/>
  <c r="D40" i="95"/>
  <c r="D44" i="95"/>
  <c r="D48" i="95"/>
  <c r="D52" i="95"/>
  <c r="D4" i="95"/>
  <c r="D5" i="95"/>
  <c r="D9" i="95"/>
  <c r="D13" i="95"/>
  <c r="D17" i="95"/>
  <c r="D21" i="95"/>
  <c r="D25" i="95"/>
  <c r="D29" i="95"/>
  <c r="D33" i="95"/>
  <c r="D37" i="95"/>
  <c r="D41" i="95"/>
  <c r="D45" i="95"/>
  <c r="D49" i="95"/>
  <c r="D53" i="95"/>
  <c r="D6" i="95"/>
  <c r="D10" i="95"/>
  <c r="D14" i="95"/>
  <c r="D18" i="95"/>
  <c r="D22" i="95"/>
  <c r="D26" i="95"/>
  <c r="D30" i="95"/>
  <c r="D34" i="95"/>
  <c r="D38" i="95"/>
  <c r="D42" i="95"/>
  <c r="D46" i="95"/>
  <c r="D50" i="95"/>
  <c r="D54" i="95"/>
  <c r="G56" i="95"/>
  <c r="H1" i="95" s="1"/>
  <c r="E56" i="95"/>
  <c r="H37" i="95"/>
  <c r="I37" i="95" s="1"/>
  <c r="H35" i="95"/>
  <c r="I35" i="95" s="1"/>
  <c r="H7" i="95"/>
  <c r="I7" i="95" s="1"/>
  <c r="H52" i="95"/>
  <c r="I52" i="95" s="1"/>
  <c r="H48" i="95"/>
  <c r="I48" i="95" s="1"/>
  <c r="H44" i="95"/>
  <c r="I44" i="95" s="1"/>
  <c r="H40" i="95"/>
  <c r="I40" i="95" s="1"/>
  <c r="H36" i="95"/>
  <c r="I36" i="95" s="1"/>
  <c r="H32" i="95"/>
  <c r="I32" i="95" s="1"/>
  <c r="H28" i="95"/>
  <c r="I28" i="95" s="1"/>
  <c r="H24" i="95"/>
  <c r="I24" i="95" s="1"/>
  <c r="H20" i="95"/>
  <c r="I20" i="95" s="1"/>
  <c r="H16" i="95"/>
  <c r="I16" i="95" s="1"/>
  <c r="H12" i="95"/>
  <c r="I12" i="95" s="1"/>
  <c r="H8" i="95"/>
  <c r="I8" i="95" s="1"/>
  <c r="H6" i="95"/>
  <c r="I6" i="95" s="1"/>
  <c r="H14" i="95"/>
  <c r="I14" i="95" s="1"/>
  <c r="H29" i="95"/>
  <c r="I29" i="95" s="1"/>
  <c r="M111" i="41"/>
  <c r="D56" i="95" l="1"/>
  <c r="L1" i="95"/>
  <c r="O1" i="95"/>
  <c r="R1" i="95"/>
  <c r="F4" i="95"/>
  <c r="F56" i="95" s="1"/>
  <c r="H31" i="95"/>
  <c r="I31" i="95" s="1"/>
  <c r="J45" i="95" l="1"/>
  <c r="J29" i="95"/>
  <c r="K29" i="95" s="1"/>
  <c r="L29" i="95" s="1"/>
  <c r="J13" i="95"/>
  <c r="K13" i="95" s="1"/>
  <c r="L13" i="95" s="1"/>
  <c r="J52" i="95"/>
  <c r="K52" i="95" s="1"/>
  <c r="L52" i="95" s="1"/>
  <c r="J36" i="95"/>
  <c r="K36" i="95" s="1"/>
  <c r="L36" i="95" s="1"/>
  <c r="J20" i="95"/>
  <c r="J55" i="95"/>
  <c r="J39" i="95"/>
  <c r="K39" i="95" s="1"/>
  <c r="L39" i="95" s="1"/>
  <c r="J23" i="95"/>
  <c r="J7" i="95"/>
  <c r="J42" i="95"/>
  <c r="K42" i="95" s="1"/>
  <c r="L42" i="95" s="1"/>
  <c r="J26" i="95"/>
  <c r="K26" i="95" s="1"/>
  <c r="L26" i="95" s="1"/>
  <c r="J10" i="95"/>
  <c r="J41" i="95"/>
  <c r="K41" i="95" s="1"/>
  <c r="L41" i="95" s="1"/>
  <c r="J25" i="95"/>
  <c r="K25" i="95" s="1"/>
  <c r="L25" i="95" s="1"/>
  <c r="J9" i="95"/>
  <c r="K9" i="95" s="1"/>
  <c r="L9" i="95" s="1"/>
  <c r="J48" i="95"/>
  <c r="J32" i="95"/>
  <c r="K32" i="95" s="1"/>
  <c r="L32" i="95" s="1"/>
  <c r="J16" i="95"/>
  <c r="K16" i="95" s="1"/>
  <c r="L16" i="95" s="1"/>
  <c r="J51" i="95"/>
  <c r="K51" i="95" s="1"/>
  <c r="L51" i="95" s="1"/>
  <c r="J35" i="95"/>
  <c r="J19" i="95"/>
  <c r="K19" i="95" s="1"/>
  <c r="L19" i="95" s="1"/>
  <c r="J54" i="95"/>
  <c r="K54" i="95" s="1"/>
  <c r="L54" i="95" s="1"/>
  <c r="J38" i="95"/>
  <c r="K38" i="95" s="1"/>
  <c r="L38" i="95" s="1"/>
  <c r="J22" i="95"/>
  <c r="J6" i="95"/>
  <c r="K6" i="95" s="1"/>
  <c r="L6" i="95" s="1"/>
  <c r="J53" i="95"/>
  <c r="K53" i="95" s="1"/>
  <c r="L53" i="95" s="1"/>
  <c r="J37" i="95"/>
  <c r="K37" i="95" s="1"/>
  <c r="L37" i="95" s="1"/>
  <c r="J21" i="95"/>
  <c r="J5" i="95"/>
  <c r="K5" i="95" s="1"/>
  <c r="L5" i="95" s="1"/>
  <c r="J44" i="95"/>
  <c r="J28" i="95"/>
  <c r="K28" i="95" s="1"/>
  <c r="L28" i="95" s="1"/>
  <c r="J12" i="95"/>
  <c r="K12" i="95" s="1"/>
  <c r="L12" i="95" s="1"/>
  <c r="J47" i="95"/>
  <c r="K47" i="95" s="1"/>
  <c r="L47" i="95" s="1"/>
  <c r="J31" i="95"/>
  <c r="J15" i="95"/>
  <c r="K15" i="95" s="1"/>
  <c r="L15" i="95" s="1"/>
  <c r="J50" i="95"/>
  <c r="J34" i="95"/>
  <c r="J18" i="95"/>
  <c r="K18" i="95" s="1"/>
  <c r="L18" i="95" s="1"/>
  <c r="J49" i="95"/>
  <c r="K49" i="95" s="1"/>
  <c r="L49" i="95" s="1"/>
  <c r="J33" i="95"/>
  <c r="J17" i="95"/>
  <c r="J4" i="95"/>
  <c r="J40" i="95"/>
  <c r="K40" i="95" s="1"/>
  <c r="L40" i="95" s="1"/>
  <c r="J24" i="95"/>
  <c r="J8" i="95"/>
  <c r="K8" i="95" s="1"/>
  <c r="L8" i="95" s="1"/>
  <c r="J43" i="95"/>
  <c r="K43" i="95" s="1"/>
  <c r="L43" i="95" s="1"/>
  <c r="J27" i="95"/>
  <c r="K27" i="95" s="1"/>
  <c r="L27" i="95" s="1"/>
  <c r="J11" i="95"/>
  <c r="J46" i="95"/>
  <c r="K46" i="95" s="1"/>
  <c r="L46" i="95" s="1"/>
  <c r="J30" i="95"/>
  <c r="K30" i="95" s="1"/>
  <c r="L30" i="95" s="1"/>
  <c r="J14" i="95"/>
  <c r="K14" i="95" s="1"/>
  <c r="L14" i="95" s="1"/>
  <c r="K35" i="95"/>
  <c r="L35" i="95" s="1"/>
  <c r="K17" i="95"/>
  <c r="L17" i="95" s="1"/>
  <c r="K45" i="95"/>
  <c r="L45" i="95" s="1"/>
  <c r="K7" i="95"/>
  <c r="L7" i="95" s="1"/>
  <c r="K10" i="95"/>
  <c r="L10" i="95" s="1"/>
  <c r="P5" i="95"/>
  <c r="Q5" i="95" s="1"/>
  <c r="R5" i="95" s="1"/>
  <c r="P9" i="95"/>
  <c r="Q9" i="95" s="1"/>
  <c r="R9" i="95" s="1"/>
  <c r="P17" i="95"/>
  <c r="Q17" i="95" s="1"/>
  <c r="R17" i="95" s="1"/>
  <c r="P29" i="95"/>
  <c r="Q29" i="95" s="1"/>
  <c r="R29" i="95" s="1"/>
  <c r="P37" i="95"/>
  <c r="Q37" i="95" s="1"/>
  <c r="R37" i="95" s="1"/>
  <c r="P49" i="95"/>
  <c r="Q49" i="95" s="1"/>
  <c r="R49" i="95" s="1"/>
  <c r="P21" i="95"/>
  <c r="Q21" i="95" s="1"/>
  <c r="R21" i="95" s="1"/>
  <c r="P41" i="95"/>
  <c r="Q41" i="95" s="1"/>
  <c r="R41" i="95" s="1"/>
  <c r="P13" i="95"/>
  <c r="Q13" i="95" s="1"/>
  <c r="R13" i="95" s="1"/>
  <c r="P25" i="95"/>
  <c r="Q25" i="95" s="1"/>
  <c r="R25" i="95" s="1"/>
  <c r="P33" i="95"/>
  <c r="Q33" i="95" s="1"/>
  <c r="R33" i="95" s="1"/>
  <c r="P45" i="95"/>
  <c r="Q45" i="95" s="1"/>
  <c r="R45" i="95" s="1"/>
  <c r="P53" i="95"/>
  <c r="Q53" i="95" s="1"/>
  <c r="R53" i="95" s="1"/>
  <c r="P51" i="95"/>
  <c r="Q51" i="95" s="1"/>
  <c r="R51" i="95" s="1"/>
  <c r="P11" i="95"/>
  <c r="Q11" i="95" s="1"/>
  <c r="R11" i="95" s="1"/>
  <c r="P42" i="95"/>
  <c r="Q42" i="95" s="1"/>
  <c r="R42" i="95" s="1"/>
  <c r="P26" i="95"/>
  <c r="Q26" i="95" s="1"/>
  <c r="R26" i="95" s="1"/>
  <c r="P10" i="95"/>
  <c r="P31" i="95"/>
  <c r="Q31" i="95" s="1"/>
  <c r="R31" i="95" s="1"/>
  <c r="P44" i="95"/>
  <c r="Q44" i="95" s="1"/>
  <c r="R44" i="95" s="1"/>
  <c r="P28" i="95"/>
  <c r="Q28" i="95" s="1"/>
  <c r="R28" i="95" s="1"/>
  <c r="P12" i="95"/>
  <c r="Q12" i="95" s="1"/>
  <c r="R12" i="95" s="1"/>
  <c r="P50" i="95"/>
  <c r="Q50" i="95" s="1"/>
  <c r="R50" i="95" s="1"/>
  <c r="P18" i="95"/>
  <c r="Q18" i="95" s="1"/>
  <c r="R18" i="95" s="1"/>
  <c r="P7" i="95"/>
  <c r="Q7" i="95" s="1"/>
  <c r="R7" i="95" s="1"/>
  <c r="P52" i="95"/>
  <c r="P20" i="95"/>
  <c r="Q20" i="95" s="1"/>
  <c r="R20" i="95" s="1"/>
  <c r="P39" i="95"/>
  <c r="Q39" i="95" s="1"/>
  <c r="R39" i="95" s="1"/>
  <c r="P47" i="95"/>
  <c r="Q47" i="95" s="1"/>
  <c r="R47" i="95" s="1"/>
  <c r="P54" i="95"/>
  <c r="Q54" i="95" s="1"/>
  <c r="R54" i="95" s="1"/>
  <c r="P38" i="95"/>
  <c r="Q38" i="95" s="1"/>
  <c r="R38" i="95" s="1"/>
  <c r="P22" i="95"/>
  <c r="Q22" i="95" s="1"/>
  <c r="R22" i="95" s="1"/>
  <c r="P6" i="95"/>
  <c r="Q6" i="95" s="1"/>
  <c r="R6" i="95" s="1"/>
  <c r="P23" i="95"/>
  <c r="Q23" i="95" s="1"/>
  <c r="R23" i="95" s="1"/>
  <c r="P4" i="95"/>
  <c r="P40" i="95"/>
  <c r="Q40" i="95" s="1"/>
  <c r="R40" i="95" s="1"/>
  <c r="P24" i="95"/>
  <c r="Q24" i="95" s="1"/>
  <c r="R24" i="95" s="1"/>
  <c r="P8" i="95"/>
  <c r="Q8" i="95" s="1"/>
  <c r="R8" i="95" s="1"/>
  <c r="P27" i="95"/>
  <c r="Q27" i="95" s="1"/>
  <c r="R27" i="95" s="1"/>
  <c r="P35" i="95"/>
  <c r="P34" i="95"/>
  <c r="Q34" i="95" s="1"/>
  <c r="R34" i="95" s="1"/>
  <c r="P55" i="95"/>
  <c r="Q55" i="95" s="1"/>
  <c r="P36" i="95"/>
  <c r="Q36" i="95" s="1"/>
  <c r="R36" i="95" s="1"/>
  <c r="P15" i="95"/>
  <c r="Q15" i="95" s="1"/>
  <c r="R15" i="95" s="1"/>
  <c r="P19" i="95"/>
  <c r="Q19" i="95" s="1"/>
  <c r="R19" i="95" s="1"/>
  <c r="P46" i="95"/>
  <c r="Q46" i="95" s="1"/>
  <c r="R46" i="95" s="1"/>
  <c r="P30" i="95"/>
  <c r="Q30" i="95" s="1"/>
  <c r="R30" i="95" s="1"/>
  <c r="P14" i="95"/>
  <c r="Q14" i="95" s="1"/>
  <c r="R14" i="95" s="1"/>
  <c r="P43" i="95"/>
  <c r="Q43" i="95" s="1"/>
  <c r="R43" i="95" s="1"/>
  <c r="P48" i="95"/>
  <c r="Q48" i="95" s="1"/>
  <c r="R48" i="95" s="1"/>
  <c r="P32" i="95"/>
  <c r="Q32" i="95" s="1"/>
  <c r="R32" i="95" s="1"/>
  <c r="P16" i="95"/>
  <c r="M7" i="95"/>
  <c r="N7" i="95" s="1"/>
  <c r="O7" i="95" s="1"/>
  <c r="M19" i="95"/>
  <c r="M31" i="95"/>
  <c r="N31" i="95" s="1"/>
  <c r="O31" i="95" s="1"/>
  <c r="M39" i="95"/>
  <c r="N39" i="95" s="1"/>
  <c r="O39" i="95" s="1"/>
  <c r="M55" i="95"/>
  <c r="N55" i="95" s="1"/>
  <c r="M23" i="95"/>
  <c r="N23" i="95" s="1"/>
  <c r="O23" i="95" s="1"/>
  <c r="M35" i="95"/>
  <c r="N35" i="95" s="1"/>
  <c r="O35" i="95" s="1"/>
  <c r="M47" i="95"/>
  <c r="N47" i="95" s="1"/>
  <c r="O47" i="95" s="1"/>
  <c r="M11" i="95"/>
  <c r="N11" i="95" s="1"/>
  <c r="O11" i="95" s="1"/>
  <c r="M15" i="95"/>
  <c r="N15" i="95" s="1"/>
  <c r="O15" i="95" s="1"/>
  <c r="M27" i="95"/>
  <c r="N27" i="95" s="1"/>
  <c r="O27" i="95" s="1"/>
  <c r="M43" i="95"/>
  <c r="N43" i="95" s="1"/>
  <c r="O43" i="95" s="1"/>
  <c r="M51" i="95"/>
  <c r="N51" i="95" s="1"/>
  <c r="O51" i="95" s="1"/>
  <c r="M4" i="95"/>
  <c r="M40" i="95"/>
  <c r="N40" i="95" s="1"/>
  <c r="O40" i="95" s="1"/>
  <c r="M24" i="95"/>
  <c r="N24" i="95" s="1"/>
  <c r="O24" i="95" s="1"/>
  <c r="M8" i="95"/>
  <c r="N8" i="95" s="1"/>
  <c r="O8" i="95" s="1"/>
  <c r="M49" i="95"/>
  <c r="N49" i="95" s="1"/>
  <c r="O49" i="95" s="1"/>
  <c r="M33" i="95"/>
  <c r="N33" i="95" s="1"/>
  <c r="O33" i="95" s="1"/>
  <c r="M17" i="95"/>
  <c r="N17" i="95" s="1"/>
  <c r="O17" i="95" s="1"/>
  <c r="M54" i="95"/>
  <c r="N54" i="95" s="1"/>
  <c r="O54" i="95" s="1"/>
  <c r="M38" i="95"/>
  <c r="M22" i="95"/>
  <c r="N22" i="95" s="1"/>
  <c r="O22" i="95" s="1"/>
  <c r="M6" i="95"/>
  <c r="N6" i="95" s="1"/>
  <c r="O6" i="95" s="1"/>
  <c r="M48" i="95"/>
  <c r="N48" i="95" s="1"/>
  <c r="O48" i="95" s="1"/>
  <c r="M16" i="95"/>
  <c r="N16" i="95" s="1"/>
  <c r="O16" i="95" s="1"/>
  <c r="M25" i="95"/>
  <c r="N25" i="95" s="1"/>
  <c r="O25" i="95" s="1"/>
  <c r="M46" i="95"/>
  <c r="N46" i="95" s="1"/>
  <c r="O46" i="95" s="1"/>
  <c r="M14" i="95"/>
  <c r="N14" i="95" s="1"/>
  <c r="O14" i="95" s="1"/>
  <c r="M52" i="95"/>
  <c r="N52" i="95" s="1"/>
  <c r="O52" i="95" s="1"/>
  <c r="M36" i="95"/>
  <c r="N36" i="95" s="1"/>
  <c r="O36" i="95" s="1"/>
  <c r="M20" i="95"/>
  <c r="N20" i="95" s="1"/>
  <c r="O20" i="95" s="1"/>
  <c r="M45" i="95"/>
  <c r="N45" i="95" s="1"/>
  <c r="O45" i="95" s="1"/>
  <c r="M29" i="95"/>
  <c r="N29" i="95" s="1"/>
  <c r="O29" i="95" s="1"/>
  <c r="M13" i="95"/>
  <c r="N13" i="95" s="1"/>
  <c r="O13" i="95" s="1"/>
  <c r="M50" i="95"/>
  <c r="N50" i="95" s="1"/>
  <c r="O50" i="95" s="1"/>
  <c r="M34" i="95"/>
  <c r="N34" i="95" s="1"/>
  <c r="O34" i="95" s="1"/>
  <c r="M18" i="95"/>
  <c r="N18" i="95" s="1"/>
  <c r="O18" i="95" s="1"/>
  <c r="M32" i="95"/>
  <c r="N32" i="95" s="1"/>
  <c r="O32" i="95" s="1"/>
  <c r="M41" i="95"/>
  <c r="N41" i="95" s="1"/>
  <c r="O41" i="95" s="1"/>
  <c r="M9" i="95"/>
  <c r="N9" i="95" s="1"/>
  <c r="O9" i="95" s="1"/>
  <c r="M30" i="95"/>
  <c r="N30" i="95" s="1"/>
  <c r="O30" i="95" s="1"/>
  <c r="M44" i="95"/>
  <c r="N44" i="95" s="1"/>
  <c r="O44" i="95" s="1"/>
  <c r="M28" i="95"/>
  <c r="N28" i="95" s="1"/>
  <c r="O28" i="95" s="1"/>
  <c r="M12" i="95"/>
  <c r="N12" i="95" s="1"/>
  <c r="O12" i="95" s="1"/>
  <c r="M53" i="95"/>
  <c r="N53" i="95" s="1"/>
  <c r="O53" i="95" s="1"/>
  <c r="M37" i="95"/>
  <c r="N37" i="95" s="1"/>
  <c r="O37" i="95" s="1"/>
  <c r="M21" i="95"/>
  <c r="N21" i="95" s="1"/>
  <c r="O21" i="95" s="1"/>
  <c r="M5" i="95"/>
  <c r="N5" i="95" s="1"/>
  <c r="O5" i="95" s="1"/>
  <c r="M42" i="95"/>
  <c r="M26" i="95"/>
  <c r="N26" i="95" s="1"/>
  <c r="O26" i="95" s="1"/>
  <c r="M10" i="95"/>
  <c r="N10" i="95" s="1"/>
  <c r="O10" i="95" s="1"/>
  <c r="Q52" i="95"/>
  <c r="R52" i="95" s="1"/>
  <c r="Q10" i="95"/>
  <c r="R10" i="95" s="1"/>
  <c r="Q35" i="95"/>
  <c r="R35" i="95" s="1"/>
  <c r="Q16" i="95"/>
  <c r="R16" i="95" s="1"/>
  <c r="H4" i="95"/>
  <c r="N19" i="95"/>
  <c r="O19" i="95" s="1"/>
  <c r="N42" i="95"/>
  <c r="O42" i="95" s="1"/>
  <c r="N38" i="95"/>
  <c r="O38" i="95" s="1"/>
  <c r="K48" i="95"/>
  <c r="L48" i="95" s="1"/>
  <c r="K50" i="95"/>
  <c r="L50" i="95" s="1"/>
  <c r="K34" i="95"/>
  <c r="L34" i="95" s="1"/>
  <c r="K55" i="95"/>
  <c r="K44" i="95"/>
  <c r="L44" i="95" s="1"/>
  <c r="K24" i="95"/>
  <c r="L24" i="95" s="1"/>
  <c r="K20" i="95"/>
  <c r="L20" i="95" s="1"/>
  <c r="K31" i="95"/>
  <c r="L31" i="95" s="1"/>
  <c r="K23" i="95"/>
  <c r="L23" i="95" s="1"/>
  <c r="K21" i="95"/>
  <c r="L21" i="95" s="1"/>
  <c r="K33" i="95"/>
  <c r="L33" i="95" s="1"/>
  <c r="K22" i="95"/>
  <c r="L22" i="95" s="1"/>
  <c r="K11" i="95"/>
  <c r="L11" i="95" s="1"/>
  <c r="L55" i="95" l="1"/>
  <c r="R55" i="95"/>
  <c r="O55" i="95"/>
  <c r="H56" i="95"/>
  <c r="I4" i="95"/>
  <c r="I56" i="95" s="1"/>
  <c r="J56" i="95"/>
  <c r="K4" i="95"/>
  <c r="P56" i="95"/>
  <c r="Q4" i="95"/>
  <c r="M56" i="95"/>
  <c r="N4" i="95"/>
  <c r="L4" i="95" l="1"/>
  <c r="N56" i="95"/>
  <c r="O4" i="95"/>
  <c r="Q56" i="95"/>
  <c r="R4" i="95"/>
  <c r="K56" i="95"/>
</calcChain>
</file>

<file path=xl/comments1.xml><?xml version="1.0" encoding="utf-8"?>
<comments xmlns="http://schemas.openxmlformats.org/spreadsheetml/2006/main">
  <authors>
    <author>naseem.cassim</author>
  </authors>
  <commentList>
    <comment ref="B48" authorId="0">
      <text>
        <r>
          <rPr>
            <b/>
            <sz val="9"/>
            <color indexed="81"/>
            <rFont val="Tahoma"/>
            <family val="2"/>
          </rPr>
          <t>naseem.cassim:</t>
        </r>
        <r>
          <rPr>
            <sz val="9"/>
            <color indexed="81"/>
            <rFont val="Tahoma"/>
            <family val="2"/>
          </rPr>
          <t xml:space="preserve">
Working days</t>
        </r>
      </text>
    </comment>
  </commentList>
</comments>
</file>

<file path=xl/comments2.xml><?xml version="1.0" encoding="utf-8"?>
<comments xmlns="http://schemas.openxmlformats.org/spreadsheetml/2006/main">
  <authors>
    <author>naseem.cassim</author>
  </authors>
  <commentList>
    <comment ref="B48" authorId="0">
      <text>
        <r>
          <rPr>
            <b/>
            <sz val="9"/>
            <color indexed="81"/>
            <rFont val="Tahoma"/>
            <family val="2"/>
          </rPr>
          <t>naseem.cassim:</t>
        </r>
        <r>
          <rPr>
            <sz val="9"/>
            <color indexed="81"/>
            <rFont val="Tahoma"/>
            <family val="2"/>
          </rPr>
          <t xml:space="preserve">
Working days</t>
        </r>
      </text>
    </comment>
  </commentList>
</comments>
</file>

<file path=xl/sharedStrings.xml><?xml version="1.0" encoding="utf-8"?>
<sst xmlns="http://schemas.openxmlformats.org/spreadsheetml/2006/main" count="473" uniqueCount="251">
  <si>
    <t>Assumptions</t>
  </si>
  <si>
    <t>Working life, years</t>
  </si>
  <si>
    <t>Annual discount rate</t>
  </si>
  <si>
    <t>Working Days</t>
  </si>
  <si>
    <t>Exclusions</t>
  </si>
  <si>
    <t>Cost of building and electricity</t>
  </si>
  <si>
    <t>Base Error Rate</t>
  </si>
  <si>
    <t>Staff</t>
  </si>
  <si>
    <t>Staff type</t>
  </si>
  <si>
    <t>Number of staff</t>
  </si>
  <si>
    <t>Grade</t>
  </si>
  <si>
    <t>Total Cost</t>
  </si>
  <si>
    <t>% of Time</t>
  </si>
  <si>
    <t>Source</t>
  </si>
  <si>
    <t>C2</t>
  </si>
  <si>
    <t>√</t>
  </si>
  <si>
    <t>B3</t>
  </si>
  <si>
    <t>D1</t>
  </si>
  <si>
    <t>Total</t>
  </si>
  <si>
    <t>Assets</t>
  </si>
  <si>
    <t xml:space="preserve">  Description</t>
  </si>
  <si>
    <t>Qty</t>
  </si>
  <si>
    <t>Unit Cost</t>
  </si>
  <si>
    <t>Total costs</t>
  </si>
  <si>
    <t>Reagent Costs</t>
  </si>
  <si>
    <t>Item</t>
  </si>
  <si>
    <t>Qty Supplied</t>
  </si>
  <si>
    <t>Cost p/Unit</t>
  </si>
  <si>
    <t>Qty Used</t>
  </si>
  <si>
    <t>Cost ptest</t>
  </si>
  <si>
    <t>Asset cost per month</t>
  </si>
  <si>
    <t>Outcome: No of Tests</t>
  </si>
  <si>
    <t>Cost p/Outcome</t>
  </si>
  <si>
    <t>Racks</t>
  </si>
  <si>
    <t>Pipette 40ul</t>
  </si>
  <si>
    <t>No of CD4 &lt;= 100 samples p/y</t>
  </si>
  <si>
    <t>Total Time (min)</t>
  </si>
  <si>
    <t>Total Time (hr)</t>
  </si>
  <si>
    <t>PAY ZONE</t>
  </si>
  <si>
    <t>P02A1097</t>
  </si>
  <si>
    <t>BROTHER HL 5350DN LASER TONER</t>
  </si>
  <si>
    <t>P02G0088</t>
  </si>
  <si>
    <t>GLOVES - LATEX POWDER FREE SMALL     (100/BOX)</t>
  </si>
  <si>
    <t>10 LITRE SHARPS</t>
  </si>
  <si>
    <t>P02H0924</t>
  </si>
  <si>
    <t>50 LITRE DISPOSAL BOX complete with lid and liner</t>
  </si>
  <si>
    <t>P03S0028</t>
  </si>
  <si>
    <t>P04M0161</t>
  </si>
  <si>
    <t>SARSTELT 2ML MICROTUBES 1000/BOX</t>
  </si>
  <si>
    <t>P17S0401</t>
  </si>
  <si>
    <t>A4 PAPER BOND 80 GRMS WHT TYPK (500/Ream)</t>
  </si>
  <si>
    <t>PC549045</t>
  </si>
  <si>
    <t>GAUZE GEM NON WOVEN SWAB   100/Box</t>
  </si>
  <si>
    <t>PC584037</t>
  </si>
  <si>
    <t>PIPETTE TIPS GILSON YELLOW 5-200UL BOX OF 1000</t>
  </si>
  <si>
    <t>Batch size</t>
  </si>
  <si>
    <t>Total Time</t>
  </si>
  <si>
    <t>LFA</t>
  </si>
  <si>
    <t>Manual</t>
  </si>
  <si>
    <t>Prepare worklist</t>
  </si>
  <si>
    <t>Find samples</t>
  </si>
  <si>
    <t>Prepare tubes</t>
  </si>
  <si>
    <t>Add diluent and controls</t>
  </si>
  <si>
    <t>Add pat plasma</t>
  </si>
  <si>
    <t>Add test strip</t>
  </si>
  <si>
    <t>10min incubation</t>
  </si>
  <si>
    <t>Read results, enter wrklist</t>
  </si>
  <si>
    <t>Enter results on LIMS</t>
  </si>
  <si>
    <t>File samples</t>
  </si>
  <si>
    <t>EIA</t>
  </si>
  <si>
    <t>8 Hours</t>
  </si>
  <si>
    <t>Time %</t>
  </si>
  <si>
    <t>Platform</t>
  </si>
  <si>
    <t>TOTAL</t>
  </si>
  <si>
    <t>CrAg LFA Kit (Cryptococcal Antigen LFA)</t>
  </si>
  <si>
    <t>Salary p/a (CTC)</t>
  </si>
  <si>
    <t>Medical Technologist (Testing)</t>
  </si>
  <si>
    <t>Lab Manager (Review)</t>
  </si>
  <si>
    <t>Annual equivalent cost</t>
  </si>
  <si>
    <t>Total Cost p/a</t>
  </si>
  <si>
    <t>Summary of Costs: Annual test volume</t>
  </si>
  <si>
    <t>No of Tests p/a</t>
  </si>
  <si>
    <t>Actual (Lunch 60 and Tea 15)</t>
  </si>
  <si>
    <t>Time (Mins)</t>
  </si>
  <si>
    <t>Staff cost</t>
  </si>
  <si>
    <t xml:space="preserve">Staff cost </t>
  </si>
  <si>
    <t>Asset cost</t>
  </si>
  <si>
    <t>Reagent cost</t>
  </si>
  <si>
    <t>Months</t>
  </si>
  <si>
    <t>Total  costs</t>
  </si>
  <si>
    <t>EIA Kit</t>
  </si>
  <si>
    <t>Tests</t>
  </si>
  <si>
    <t>Load plate</t>
  </si>
  <si>
    <t>Uncap EDTA</t>
  </si>
  <si>
    <t>Enter LabNo</t>
  </si>
  <si>
    <t>Load Reagents</t>
  </si>
  <si>
    <t>Run</t>
  </si>
  <si>
    <t>Remove</t>
  </si>
  <si>
    <t>Dispose</t>
  </si>
  <si>
    <t>Cleaning</t>
  </si>
  <si>
    <t>Shut down</t>
  </si>
  <si>
    <t>Review</t>
  </si>
  <si>
    <t>Time per Batch</t>
  </si>
  <si>
    <t>EIA Instrument (Thunderbolt)</t>
  </si>
  <si>
    <t>CrAg per month (/12)</t>
  </si>
  <si>
    <t>Report Filter:</t>
  </si>
  <si>
    <t>Page by:</t>
  </si>
  <si>
    <t>&lt;= 50</t>
  </si>
  <si>
    <t>&gt; 50 &lt;= 100</t>
  </si>
  <si>
    <t>&gt; 100 &lt;= 200</t>
  </si>
  <si>
    <t>&gt; 200 &lt;= 350</t>
  </si>
  <si>
    <t>&gt; 350 &lt;= 500</t>
  </si>
  <si>
    <t>&gt; 500</t>
  </si>
  <si>
    <t>&lt;=100</t>
  </si>
  <si>
    <t>12 month Service Contract</t>
  </si>
  <si>
    <t>CrAg per day (/21.73)</t>
  </si>
  <si>
    <t>21,73</t>
  </si>
  <si>
    <t>%</t>
  </si>
  <si>
    <t>Decon Solution (lasts one year)</t>
  </si>
  <si>
    <t>Distilled Water (20l)</t>
  </si>
  <si>
    <t>-------------------------------------------------------------</t>
  </si>
  <si>
    <t>Scenario Two</t>
  </si>
  <si>
    <t>Scenario Three</t>
  </si>
  <si>
    <t>Scenario Four</t>
  </si>
  <si>
    <t>Scenario One (Base Case)</t>
  </si>
  <si>
    <t xml:space="preserve">      Percentiles      Smallest</t>
  </si>
  <si>
    <t>Tests Per Annum</t>
  </si>
  <si>
    <t>Crytococcal LFA Assay</t>
  </si>
  <si>
    <t>Workflow Analysis</t>
  </si>
  <si>
    <t>Crytococcal EIA Assay: Hain</t>
  </si>
  <si>
    <t xml:space="preserve">Time (Mins) </t>
  </si>
  <si>
    <t>S2 Annual Vols</t>
  </si>
  <si>
    <t>S2 p/day</t>
  </si>
  <si>
    <t>S1Annual Vols</t>
  </si>
  <si>
    <t>S3 Annual Vols</t>
  </si>
  <si>
    <t>S4 Annual Vols</t>
  </si>
  <si>
    <t>S4 Platform</t>
  </si>
  <si>
    <t>S3 Platform</t>
  </si>
  <si>
    <t>S1 Platform</t>
  </si>
  <si>
    <t>Percentile</t>
  </si>
  <si>
    <t>Cost p/Result</t>
  </si>
  <si>
    <t>5th Percentile</t>
  </si>
  <si>
    <t>10th Percentile</t>
  </si>
  <si>
    <t>25th Percentile</t>
  </si>
  <si>
    <t>50th Percentile</t>
  </si>
  <si>
    <t>75th Percentile</t>
  </si>
  <si>
    <t>90th Percentile</t>
  </si>
  <si>
    <t>95th Percentile</t>
  </si>
  <si>
    <t>RPT1005 CCMT Volumes by Test Ranges NHLS-&gt;Testing Lab</t>
  </si>
  <si>
    <t>(Province &lt;&gt; ZA, Not Applicable, Unknown) And (Province ({Province All Caps}) &lt;&gt; Country ({Country All Caps})) And ({Test Category} = CD4) And ({Fiscal Year} = FY 15/16) And ({Result Range} &lt;&gt; Not Available)</t>
  </si>
  <si>
    <t>Test Category: Cd4</t>
  </si>
  <si>
    <t>Testing Lab</t>
  </si>
  <si>
    <t>Fiscal Year</t>
  </si>
  <si>
    <t>FY 15/16</t>
  </si>
  <si>
    <t>Metrics</t>
  </si>
  <si>
    <t>Tests ARV</t>
  </si>
  <si>
    <t>Result Range</t>
  </si>
  <si>
    <t>X</t>
  </si>
  <si>
    <t>Y`</t>
  </si>
  <si>
    <t>Total_1</t>
  </si>
  <si>
    <t>#</t>
  </si>
  <si>
    <t>2015/16 CD4 &lt;=100</t>
  </si>
  <si>
    <t>S2=</t>
  </si>
  <si>
    <t>S1=</t>
  </si>
  <si>
    <t>S3=</t>
  </si>
  <si>
    <t>S4=</t>
  </si>
  <si>
    <t xml:space="preserve">                          S1 p/day</t>
  </si>
  <si>
    <t xml:space="preserve"> 1%            2              2</t>
  </si>
  <si>
    <t xml:space="preserve"> 5%            3              2</t>
  </si>
  <si>
    <t>10%            5              3       Obs                  52</t>
  </si>
  <si>
    <t>25%            8              4       Sum of Wgt.          52</t>
  </si>
  <si>
    <t xml:space="preserve">                        Largest       Std. Dev.      20.64761</t>
  </si>
  <si>
    <t>75%           40             61</t>
  </si>
  <si>
    <t>90%           55             64       Variance       426.3239</t>
  </si>
  <si>
    <t>95%           64             68       Skewness       1.078983</t>
  </si>
  <si>
    <t>99%           96             96       Kurtosis       4.024941</t>
  </si>
  <si>
    <t>Samples Per Day</t>
  </si>
  <si>
    <t>2016 Midpoint p/a</t>
  </si>
  <si>
    <t>Cost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</si>
  <si>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</si>
  <si>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</si>
  <si>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</si>
  <si>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</si>
  <si>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</si>
  <si>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</si>
  <si>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</si>
  <si>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</si>
  <si>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</si>
  <si>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</si>
  <si>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</si>
  <si>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</si>
  <si>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</si>
  <si>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</si>
  <si>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</si>
  <si>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</si>
  <si>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</si>
  <si>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</si>
  <si>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</si>
  <si>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Q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</si>
  <si>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</si>
  <si>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</si>
  <si>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</si>
  <si>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</si>
  <si>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</si>
  <si>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</si>
  <si>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</si>
  <si>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</si>
  <si>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</si>
  <si>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</si>
  <si>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</si>
  <si>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</si>
  <si>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</si>
  <si>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</si>
  <si>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</si>
  <si>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</si>
  <si>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</si>
  <si>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</si>
  <si>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</si>
  <si>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</si>
  <si>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</si>
  <si>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</si>
  <si>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</si>
  <si>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</si>
  <si>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</si>
  <si>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</si>
  <si>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</si>
  <si>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</si>
  <si>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</si>
  <si>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</si>
  <si>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S1 p/day (Round Up)</t>
  </si>
  <si>
    <t>S2 Platform (Round Up)</t>
  </si>
  <si>
    <t>S3 p/day (Round Up)</t>
  </si>
  <si>
    <t>S4 p/day (Round Up)</t>
  </si>
  <si>
    <t>Scenario I Percentile daily CrAg volumes</t>
  </si>
  <si>
    <t>Daily CrAg Volumes</t>
  </si>
  <si>
    <t>Annual CrAg Volumes</t>
  </si>
  <si>
    <t>Corporate Data Warehouse</t>
  </si>
  <si>
    <t>NHLS Intranet</t>
  </si>
  <si>
    <t>Quotation</t>
  </si>
  <si>
    <t>Summary</t>
  </si>
  <si>
    <t>Annual Equivalent Costs</t>
  </si>
  <si>
    <t>Annual Equivalent Costs including error rate for staffing and reagent costs</t>
  </si>
  <si>
    <t>Review samples (1m p/sample)</t>
  </si>
  <si>
    <t>Activity</t>
  </si>
  <si>
    <t xml:space="preserve"> summ s1pday,detail</t>
  </si>
  <si>
    <t>50%         23                      Mean           25.90385</t>
  </si>
  <si>
    <t>Review samples (1min p/sample)</t>
  </si>
  <si>
    <t>Excluded</t>
  </si>
  <si>
    <t>Intranet</t>
  </si>
  <si>
    <t>Labex</t>
  </si>
  <si>
    <t>Hain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</si>
</sst>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R&quot;\ #,##0.00;&quot;R&quot;\ \-#,##0.00"/>
    <numFmt numFmtId="43" formatCode="_ * #,##0.00_ ;_ * \-#,##0.00_ ;_ * &quot;-&quot;??_ ;_ @_ "/>
    <numFmt numFmtId="164" formatCode="_ * #,##0_ ;_ * \-#,##0_ ;_ * &quot;-&quot;??_ ;_ @_ "/>
    <numFmt numFmtId="165" formatCode="[$$-409]#,##0.00_ ;\-[$$-409]#,##0.00\ "/>
    <numFmt numFmtId="166" formatCode="_ * #,##0.000_ ;_ * \-#,##0.000_ ;_ * &quot;-&quot;??_ ;_ @_ "/>
    <numFmt numFmtId="167" formatCode="#,##0;\(#,##0\)"/>
    <numFmt numFmtId="168" formatCode="0.0%"/>
    <numFmt numFmtId="169" formatCode="[$$-85D]#,##0.00_ ;\-[$$-85D]#,##0.00\ "/>
    <numFmt numFmtId="170" formatCode="&quot;R&quot;\ #,##0.00"/>
    <numFmt numFmtId="171" formatCode="[$$-85D]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0" tint="-0.499984740745262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0" tint="-0.249977111117893"/>
      <name val="Calibri"/>
      <family val="2"/>
      <scheme val="minor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6D44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7BAE4A"/>
      </patternFill>
    </fill>
    <fill>
      <patternFill patternType="solid">
        <fgColor rgb="FFBDEF63"/>
      </patternFill>
    </fill>
    <fill>
      <patternFill patternType="solid">
        <fgColor rgb="FFE7FFAD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Border="1"/>
    <xf numFmtId="0" fontId="0" fillId="0" borderId="5" xfId="0" applyBorder="1"/>
    <xf numFmtId="0" fontId="4" fillId="0" borderId="5" xfId="0" applyFont="1" applyBorder="1" applyAlignment="1">
      <alignment horizontal="right"/>
    </xf>
    <xf numFmtId="0" fontId="0" fillId="0" borderId="9" xfId="0" applyBorder="1"/>
    <xf numFmtId="164" fontId="0" fillId="0" borderId="9" xfId="1" applyNumberFormat="1" applyFont="1" applyBorder="1"/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4" fillId="4" borderId="3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0" fillId="0" borderId="15" xfId="0" applyBorder="1"/>
    <xf numFmtId="0" fontId="4" fillId="4" borderId="15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right"/>
    </xf>
    <xf numFmtId="0" fontId="0" fillId="0" borderId="2" xfId="0" applyBorder="1"/>
    <xf numFmtId="0" fontId="0" fillId="0" borderId="0" xfId="0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38" fontId="5" fillId="5" borderId="9" xfId="0" applyNumberFormat="1" applyFont="1" applyFill="1" applyBorder="1" applyAlignment="1">
      <alignment horizontal="right"/>
    </xf>
    <xf numFmtId="0" fontId="6" fillId="0" borderId="5" xfId="0" applyFont="1" applyBorder="1"/>
    <xf numFmtId="43" fontId="0" fillId="0" borderId="9" xfId="1" applyFont="1" applyBorder="1"/>
    <xf numFmtId="0" fontId="2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left"/>
    </xf>
    <xf numFmtId="164" fontId="2" fillId="0" borderId="9" xfId="1" applyNumberFormat="1" applyFont="1" applyBorder="1" applyAlignment="1">
      <alignment horizontal="left" wrapText="1"/>
    </xf>
    <xf numFmtId="164" fontId="0" fillId="5" borderId="9" xfId="1" applyNumberFormat="1" applyFont="1" applyFill="1" applyBorder="1" applyAlignment="1">
      <alignment horizontal="left"/>
    </xf>
    <xf numFmtId="0" fontId="0" fillId="0" borderId="9" xfId="0" applyBorder="1" applyAlignment="1">
      <alignment horizontal="right"/>
    </xf>
    <xf numFmtId="2" fontId="0" fillId="0" borderId="9" xfId="0" applyNumberFormat="1" applyBorder="1" applyAlignment="1">
      <alignment horizontal="left"/>
    </xf>
    <xf numFmtId="38" fontId="0" fillId="0" borderId="9" xfId="0" applyNumberFormat="1" applyBorder="1" applyAlignment="1">
      <alignment horizontal="right"/>
    </xf>
    <xf numFmtId="38" fontId="5" fillId="5" borderId="5" xfId="0" applyNumberFormat="1" applyFont="1" applyFill="1" applyBorder="1" applyAlignment="1">
      <alignment horizontal="right"/>
    </xf>
    <xf numFmtId="164" fontId="7" fillId="5" borderId="5" xfId="1" applyNumberFormat="1" applyFont="1" applyFill="1" applyBorder="1"/>
    <xf numFmtId="0" fontId="2" fillId="0" borderId="2" xfId="0" applyFont="1" applyBorder="1"/>
    <xf numFmtId="164" fontId="2" fillId="0" borderId="2" xfId="1" applyNumberFormat="1" applyFont="1" applyBorder="1"/>
    <xf numFmtId="0" fontId="2" fillId="0" borderId="2" xfId="0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164" fontId="7" fillId="5" borderId="2" xfId="1" applyNumberFormat="1" applyFont="1" applyFill="1" applyBorder="1"/>
    <xf numFmtId="0" fontId="0" fillId="0" borderId="9" xfId="0" applyBorder="1" applyAlignment="1">
      <alignment wrapText="1"/>
    </xf>
    <xf numFmtId="43" fontId="0" fillId="0" borderId="9" xfId="1" applyFont="1" applyBorder="1" applyAlignment="1">
      <alignment wrapText="1"/>
    </xf>
    <xf numFmtId="0" fontId="0" fillId="0" borderId="11" xfId="0" applyBorder="1" applyAlignment="1">
      <alignment horizontal="left" wrapText="1"/>
    </xf>
    <xf numFmtId="164" fontId="0" fillId="0" borderId="15" xfId="1" applyNumberFormat="1" applyFont="1" applyBorder="1" applyAlignment="1">
      <alignment horizontal="left"/>
    </xf>
    <xf numFmtId="43" fontId="2" fillId="0" borderId="11" xfId="1" applyNumberFormat="1" applyFont="1" applyBorder="1" applyAlignment="1">
      <alignment horizontal="left"/>
    </xf>
    <xf numFmtId="165" fontId="0" fillId="0" borderId="9" xfId="1" applyNumberFormat="1" applyFont="1" applyBorder="1"/>
    <xf numFmtId="0" fontId="0" fillId="0" borderId="0" xfId="0" applyAlignment="1"/>
    <xf numFmtId="0" fontId="0" fillId="0" borderId="4" xfId="0" applyBorder="1" applyAlignment="1">
      <alignment wrapText="1"/>
    </xf>
    <xf numFmtId="43" fontId="0" fillId="0" borderId="0" xfId="1" applyFont="1" applyBorder="1" applyAlignment="1">
      <alignment wrapText="1"/>
    </xf>
    <xf numFmtId="43" fontId="0" fillId="0" borderId="0" xfId="1" applyFont="1" applyBorder="1"/>
    <xf numFmtId="3" fontId="9" fillId="6" borderId="9" xfId="2" applyNumberFormat="1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43" fontId="0" fillId="0" borderId="0" xfId="1" applyFont="1"/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3" xfId="0" applyBorder="1" applyAlignment="1"/>
    <xf numFmtId="0" fontId="0" fillId="0" borderId="4" xfId="0" applyFill="1" applyBorder="1" applyAlignment="1"/>
    <xf numFmtId="0" fontId="2" fillId="0" borderId="1" xfId="0" applyFont="1" applyBorder="1" applyAlignment="1"/>
    <xf numFmtId="43" fontId="2" fillId="0" borderId="3" xfId="0" applyNumberFormat="1" applyFont="1" applyBorder="1" applyAlignment="1"/>
    <xf numFmtId="0" fontId="2" fillId="0" borderId="13" xfId="0" applyFont="1" applyBorder="1" applyAlignment="1"/>
    <xf numFmtId="43" fontId="2" fillId="0" borderId="14" xfId="1" applyFont="1" applyBorder="1" applyAlignment="1"/>
    <xf numFmtId="9" fontId="0" fillId="0" borderId="0" xfId="4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3" fontId="0" fillId="0" borderId="4" xfId="1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64" fontId="0" fillId="0" borderId="13" xfId="1" applyNumberFormat="1" applyFont="1" applyBorder="1" applyAlignment="1">
      <alignment horizontal="left" wrapText="1"/>
    </xf>
    <xf numFmtId="43" fontId="0" fillId="0" borderId="5" xfId="0" applyNumberFormat="1" applyBorder="1" applyAlignment="1"/>
    <xf numFmtId="0" fontId="0" fillId="0" borderId="0" xfId="0" applyAlignment="1">
      <alignment horizontal="center"/>
    </xf>
    <xf numFmtId="1" fontId="0" fillId="0" borderId="9" xfId="0" applyNumberFormat="1" applyBorder="1"/>
    <xf numFmtId="0" fontId="0" fillId="0" borderId="0" xfId="0" applyFill="1" applyBorder="1"/>
    <xf numFmtId="164" fontId="13" fillId="0" borderId="0" xfId="1" applyNumberFormat="1" applyFont="1" applyBorder="1"/>
    <xf numFmtId="0" fontId="0" fillId="9" borderId="9" xfId="0" applyFill="1" applyBorder="1" applyAlignment="1">
      <alignment horizontal="left" wrapText="1"/>
    </xf>
    <xf numFmtId="1" fontId="0" fillId="0" borderId="9" xfId="0" applyNumberFormat="1" applyBorder="1" applyAlignment="1">
      <alignment wrapText="1"/>
    </xf>
    <xf numFmtId="0" fontId="4" fillId="5" borderId="0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43" fontId="4" fillId="5" borderId="5" xfId="1" applyFont="1" applyFill="1" applyBorder="1" applyAlignment="1">
      <alignment horizontal="right"/>
    </xf>
    <xf numFmtId="0" fontId="4" fillId="5" borderId="5" xfId="0" applyFont="1" applyFill="1" applyBorder="1" applyAlignment="1">
      <alignment horizontal="right"/>
    </xf>
    <xf numFmtId="164" fontId="0" fillId="0" borderId="4" xfId="1" applyNumberFormat="1" applyFont="1" applyBorder="1" applyAlignment="1">
      <alignment horizontal="left" wrapText="1"/>
    </xf>
    <xf numFmtId="164" fontId="0" fillId="0" borderId="0" xfId="1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43" fontId="2" fillId="0" borderId="0" xfId="1" applyNumberFormat="1" applyFont="1" applyBorder="1" applyAlignment="1">
      <alignment horizontal="left"/>
    </xf>
    <xf numFmtId="43" fontId="2" fillId="0" borderId="5" xfId="1" applyNumberFormat="1" applyFont="1" applyBorder="1" applyAlignment="1">
      <alignment horizontal="left"/>
    </xf>
    <xf numFmtId="43" fontId="0" fillId="0" borderId="5" xfId="1" applyFont="1" applyBorder="1" applyAlignment="1"/>
    <xf numFmtId="164" fontId="0" fillId="0" borderId="6" xfId="1" applyNumberFormat="1" applyFont="1" applyBorder="1" applyAlignment="1">
      <alignment horizontal="left" wrapText="1"/>
    </xf>
    <xf numFmtId="164" fontId="0" fillId="0" borderId="7" xfId="1" applyNumberFormat="1" applyFont="1" applyBorder="1" applyAlignment="1">
      <alignment horizontal="left"/>
    </xf>
    <xf numFmtId="166" fontId="0" fillId="0" borderId="9" xfId="0" applyNumberFormat="1" applyBorder="1"/>
    <xf numFmtId="0" fontId="2" fillId="0" borderId="8" xfId="0" applyFont="1" applyFill="1" applyBorder="1" applyAlignment="1">
      <alignment wrapText="1"/>
    </xf>
    <xf numFmtId="43" fontId="0" fillId="0" borderId="0" xfId="0" applyNumberFormat="1"/>
    <xf numFmtId="43" fontId="10" fillId="0" borderId="9" xfId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wrapText="1"/>
    </xf>
    <xf numFmtId="164" fontId="0" fillId="4" borderId="0" xfId="1" applyNumberFormat="1" applyFont="1" applyFill="1" applyBorder="1"/>
    <xf numFmtId="0" fontId="0" fillId="13" borderId="6" xfId="0" applyFill="1" applyBorder="1" applyAlignment="1">
      <alignment horizontal="left" wrapText="1"/>
    </xf>
    <xf numFmtId="0" fontId="0" fillId="13" borderId="7" xfId="0" applyFill="1" applyBorder="1" applyAlignment="1">
      <alignment horizontal="left" wrapText="1"/>
    </xf>
    <xf numFmtId="0" fontId="0" fillId="13" borderId="8" xfId="0" applyFill="1" applyBorder="1" applyAlignment="1">
      <alignment horizontal="left" wrapText="1"/>
    </xf>
    <xf numFmtId="0" fontId="0" fillId="16" borderId="6" xfId="0" applyFill="1" applyBorder="1" applyAlignment="1">
      <alignment horizontal="center" wrapText="1"/>
    </xf>
    <xf numFmtId="0" fontId="0" fillId="16" borderId="7" xfId="0" applyFill="1" applyBorder="1" applyAlignment="1">
      <alignment horizontal="center" wrapText="1"/>
    </xf>
    <xf numFmtId="0" fontId="0" fillId="16" borderId="7" xfId="0" applyFont="1" applyFill="1" applyBorder="1" applyAlignment="1">
      <alignment horizontal="center" wrapText="1"/>
    </xf>
    <xf numFmtId="0" fontId="0" fillId="16" borderId="8" xfId="0" applyFill="1" applyBorder="1" applyAlignment="1">
      <alignment horizontal="center" wrapText="1"/>
    </xf>
    <xf numFmtId="0" fontId="0" fillId="16" borderId="9" xfId="0" applyFill="1" applyBorder="1" applyAlignment="1">
      <alignment horizontal="left" wrapText="1"/>
    </xf>
    <xf numFmtId="164" fontId="0" fillId="0" borderId="3" xfId="1" applyNumberFormat="1" applyFont="1" applyBorder="1" applyAlignment="1"/>
    <xf numFmtId="0" fontId="0" fillId="0" borderId="9" xfId="0" applyFill="1" applyBorder="1"/>
    <xf numFmtId="0" fontId="0" fillId="0" borderId="0" xfId="0" applyAlignment="1">
      <alignment vertical="center"/>
    </xf>
    <xf numFmtId="1" fontId="0" fillId="5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9" xfId="1" applyNumberFormat="1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1" fontId="0" fillId="0" borderId="0" xfId="0" applyNumberFormat="1" applyBorder="1"/>
    <xf numFmtId="1" fontId="0" fillId="4" borderId="9" xfId="0" applyNumberFormat="1" applyFill="1" applyBorder="1" applyAlignment="1">
      <alignment horizontal="center" vertical="center"/>
    </xf>
    <xf numFmtId="1" fontId="0" fillId="11" borderId="9" xfId="0" applyNumberFormat="1" applyFill="1" applyBorder="1" applyAlignment="1">
      <alignment horizontal="center" vertical="center"/>
    </xf>
    <xf numFmtId="166" fontId="0" fillId="0" borderId="9" xfId="1" applyNumberFormat="1" applyFont="1" applyBorder="1"/>
    <xf numFmtId="0" fontId="0" fillId="0" borderId="0" xfId="0" applyAlignment="1">
      <alignment horizontal="center" vertical="center" wrapText="1"/>
    </xf>
    <xf numFmtId="166" fontId="0" fillId="7" borderId="14" xfId="1" applyNumberFormat="1" applyFont="1" applyFill="1" applyBorder="1" applyAlignment="1"/>
    <xf numFmtId="166" fontId="0" fillId="0" borderId="6" xfId="1" applyNumberFormat="1" applyFont="1" applyBorder="1"/>
    <xf numFmtId="166" fontId="0" fillId="0" borderId="8" xfId="1" applyNumberFormat="1" applyFont="1" applyBorder="1"/>
    <xf numFmtId="0" fontId="0" fillId="4" borderId="2" xfId="0" applyFill="1" applyBorder="1" applyAlignment="1">
      <alignment horizontal="right"/>
    </xf>
    <xf numFmtId="0" fontId="0" fillId="10" borderId="6" xfId="0" applyFill="1" applyBorder="1"/>
    <xf numFmtId="0" fontId="2" fillId="0" borderId="16" xfId="0" applyFont="1" applyBorder="1" applyAlignment="1"/>
    <xf numFmtId="0" fontId="0" fillId="16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1" fontId="0" fillId="5" borderId="0" xfId="0" applyNumberFormat="1" applyFill="1" applyBorder="1"/>
    <xf numFmtId="0" fontId="0" fillId="5" borderId="0" xfId="0" applyFill="1" applyBorder="1" applyAlignment="1">
      <alignment wrapText="1"/>
    </xf>
    <xf numFmtId="43" fontId="0" fillId="5" borderId="5" xfId="1" applyFont="1" applyFill="1" applyBorder="1" applyAlignment="1"/>
    <xf numFmtId="0" fontId="0" fillId="4" borderId="9" xfId="0" applyFill="1" applyBorder="1"/>
    <xf numFmtId="0" fontId="0" fillId="0" borderId="0" xfId="0" applyAlignment="1">
      <alignment vertical="center" wrapText="1"/>
    </xf>
    <xf numFmtId="1" fontId="2" fillId="2" borderId="0" xfId="0" applyNumberFormat="1" applyFont="1" applyFill="1" applyBorder="1" applyAlignment="1">
      <alignment horizontal="center" vertical="center"/>
    </xf>
    <xf numFmtId="0" fontId="0" fillId="10" borderId="9" xfId="0" applyFill="1" applyBorder="1"/>
    <xf numFmtId="2" fontId="2" fillId="16" borderId="9" xfId="0" applyNumberFormat="1" applyFont="1" applyFill="1" applyBorder="1" applyAlignment="1">
      <alignment horizont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8" fillId="18" borderId="9" xfId="0" applyFont="1" applyFill="1" applyBorder="1" applyAlignment="1">
      <alignment vertical="center" wrapText="1"/>
    </xf>
    <xf numFmtId="0" fontId="19" fillId="18" borderId="9" xfId="0" applyFont="1" applyFill="1" applyBorder="1" applyAlignment="1">
      <alignment horizontal="left" vertical="center" wrapText="1"/>
    </xf>
    <xf numFmtId="0" fontId="19" fillId="18" borderId="9" xfId="0" applyFont="1" applyFill="1" applyBorder="1" applyAlignment="1">
      <alignment horizontal="center" wrapText="1"/>
    </xf>
    <xf numFmtId="0" fontId="19" fillId="18" borderId="9" xfId="0" applyFont="1" applyFill="1" applyBorder="1" applyAlignment="1">
      <alignment horizontal="center"/>
    </xf>
    <xf numFmtId="0" fontId="20" fillId="17" borderId="9" xfId="0" applyFont="1" applyFill="1" applyBorder="1" applyAlignment="1">
      <alignment horizontal="left" vertical="center" wrapText="1"/>
    </xf>
    <xf numFmtId="167" fontId="20" fillId="17" borderId="9" xfId="0" applyNumberFormat="1" applyFont="1" applyFill="1" applyBorder="1" applyAlignment="1">
      <alignment horizontal="right" vertical="center"/>
    </xf>
    <xf numFmtId="167" fontId="21" fillId="19" borderId="9" xfId="0" applyNumberFormat="1" applyFont="1" applyFill="1" applyBorder="1" applyAlignment="1">
      <alignment horizontal="right" vertical="center"/>
    </xf>
    <xf numFmtId="167" fontId="0" fillId="0" borderId="9" xfId="0" applyNumberFormat="1" applyBorder="1"/>
    <xf numFmtId="0" fontId="20" fillId="17" borderId="9" xfId="0" applyFont="1" applyFill="1" applyBorder="1" applyAlignment="1">
      <alignment horizontal="left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2" fillId="3" borderId="9" xfId="1" applyNumberFormat="1" applyFont="1" applyFill="1" applyBorder="1" applyAlignment="1">
      <alignment horizontal="center" vertical="center"/>
    </xf>
    <xf numFmtId="43" fontId="0" fillId="15" borderId="9" xfId="0" applyNumberFormat="1" applyFill="1" applyBorder="1"/>
    <xf numFmtId="169" fontId="0" fillId="15" borderId="9" xfId="1" applyNumberFormat="1" applyFont="1" applyFill="1" applyBorder="1"/>
    <xf numFmtId="168" fontId="0" fillId="0" borderId="9" xfId="4" applyNumberFormat="1" applyFont="1" applyBorder="1" applyAlignment="1">
      <alignment vertical="center"/>
    </xf>
    <xf numFmtId="170" fontId="0" fillId="0" borderId="0" xfId="0" applyNumberFormat="1"/>
    <xf numFmtId="168" fontId="0" fillId="0" borderId="0" xfId="4" applyNumberFormat="1" applyFont="1"/>
    <xf numFmtId="9" fontId="2" fillId="2" borderId="0" xfId="4" applyFont="1" applyFill="1" applyBorder="1" applyAlignment="1">
      <alignment horizontal="center" vertical="center"/>
    </xf>
    <xf numFmtId="171" fontId="0" fillId="0" borderId="0" xfId="0" applyNumberFormat="1"/>
    <xf numFmtId="0" fontId="4" fillId="0" borderId="0" xfId="0" applyFont="1" applyBorder="1" applyAlignment="1">
      <alignment horizontal="right"/>
    </xf>
    <xf numFmtId="0" fontId="20" fillId="17" borderId="9" xfId="0" applyFont="1" applyFill="1" applyBorder="1" applyAlignment="1">
      <alignment horizontal="left" vertical="center" wrapText="1"/>
    </xf>
    <xf numFmtId="0" fontId="0" fillId="21" borderId="9" xfId="0" applyFill="1" applyBorder="1" applyAlignment="1">
      <alignment vertical="center" wrapText="1"/>
    </xf>
    <xf numFmtId="164" fontId="0" fillId="21" borderId="9" xfId="1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left" vertical="center" wrapText="1"/>
    </xf>
    <xf numFmtId="0" fontId="0" fillId="12" borderId="9" xfId="0" applyFill="1" applyBorder="1" applyAlignment="1">
      <alignment vertical="center" wrapText="1"/>
    </xf>
    <xf numFmtId="164" fontId="0" fillId="12" borderId="9" xfId="1" applyNumberFormat="1" applyFont="1" applyFill="1" applyBorder="1" applyAlignment="1">
      <alignment horizontal="left" vertical="center" wrapText="1"/>
    </xf>
    <xf numFmtId="0" fontId="0" fillId="12" borderId="9" xfId="0" applyFill="1" applyBorder="1" applyAlignment="1">
      <alignment horizontal="left" vertical="center" wrapText="1"/>
    </xf>
    <xf numFmtId="0" fontId="0" fillId="8" borderId="9" xfId="0" applyFill="1" applyBorder="1" applyAlignment="1">
      <alignment vertical="center" wrapText="1"/>
    </xf>
    <xf numFmtId="164" fontId="0" fillId="8" borderId="9" xfId="1" applyNumberFormat="1" applyFont="1" applyFill="1" applyBorder="1" applyAlignment="1">
      <alignment vertical="center" wrapText="1"/>
    </xf>
    <xf numFmtId="43" fontId="0" fillId="8" borderId="9" xfId="0" applyNumberFormat="1" applyFill="1" applyBorder="1" applyAlignment="1">
      <alignment vertical="center" wrapText="1"/>
    </xf>
    <xf numFmtId="0" fontId="0" fillId="10" borderId="9" xfId="0" applyFill="1" applyBorder="1" applyAlignment="1">
      <alignment vertical="center" wrapText="1"/>
    </xf>
    <xf numFmtId="164" fontId="0" fillId="10" borderId="9" xfId="1" applyNumberFormat="1" applyFont="1" applyFill="1" applyBorder="1" applyAlignment="1">
      <alignment vertical="center" wrapText="1"/>
    </xf>
    <xf numFmtId="43" fontId="0" fillId="10" borderId="9" xfId="0" applyNumberFormat="1" applyFill="1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2" fontId="0" fillId="5" borderId="9" xfId="0" applyNumberFormat="1" applyFill="1" applyBorder="1"/>
    <xf numFmtId="164" fontId="0" fillId="5" borderId="9" xfId="1" applyNumberFormat="1" applyFont="1" applyFill="1" applyBorder="1"/>
    <xf numFmtId="0" fontId="0" fillId="5" borderId="9" xfId="0" applyFill="1" applyBorder="1"/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164" fontId="0" fillId="0" borderId="16" xfId="1" applyNumberFormat="1" applyFont="1" applyBorder="1" applyAlignment="1">
      <alignment horizontal="left" wrapText="1"/>
    </xf>
    <xf numFmtId="164" fontId="0" fillId="0" borderId="17" xfId="1" applyNumberFormat="1" applyFont="1" applyBorder="1" applyAlignment="1">
      <alignment horizontal="left"/>
    </xf>
    <xf numFmtId="0" fontId="2" fillId="4" borderId="9" xfId="0" applyFont="1" applyFill="1" applyBorder="1" applyAlignment="1">
      <alignment wrapText="1"/>
    </xf>
    <xf numFmtId="43" fontId="0" fillId="4" borderId="9" xfId="1" applyFont="1" applyFill="1" applyBorder="1" applyAlignment="1">
      <alignment wrapText="1"/>
    </xf>
    <xf numFmtId="0" fontId="2" fillId="4" borderId="9" xfId="0" applyFont="1" applyFill="1" applyBorder="1"/>
    <xf numFmtId="38" fontId="7" fillId="4" borderId="9" xfId="0" applyNumberFormat="1" applyFont="1" applyFill="1" applyBorder="1" applyAlignment="1">
      <alignment horizontal="right"/>
    </xf>
    <xf numFmtId="0" fontId="2" fillId="4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 wrapText="1"/>
    </xf>
    <xf numFmtId="3" fontId="2" fillId="4" borderId="9" xfId="0" applyNumberFormat="1" applyFont="1" applyFill="1" applyBorder="1" applyAlignment="1">
      <alignment horizontal="left"/>
    </xf>
    <xf numFmtId="164" fontId="2" fillId="4" borderId="9" xfId="1" applyNumberFormat="1" applyFont="1" applyFill="1" applyBorder="1" applyAlignment="1">
      <alignment horizontal="left" wrapText="1"/>
    </xf>
    <xf numFmtId="0" fontId="0" fillId="0" borderId="3" xfId="0" applyBorder="1" applyAlignment="1">
      <alignment horizontal="right"/>
    </xf>
    <xf numFmtId="1" fontId="0" fillId="0" borderId="5" xfId="0" applyNumberFormat="1" applyBorder="1" applyAlignment="1"/>
    <xf numFmtId="0" fontId="2" fillId="0" borderId="16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4" xfId="0" applyFont="1" applyBorder="1" applyAlignment="1"/>
    <xf numFmtId="0" fontId="2" fillId="0" borderId="18" xfId="0" applyFont="1" applyBorder="1" applyAlignment="1">
      <alignment wrapText="1"/>
    </xf>
    <xf numFmtId="0" fontId="0" fillId="0" borderId="16" xfId="0" applyBorder="1" applyAlignment="1"/>
    <xf numFmtId="43" fontId="0" fillId="0" borderId="18" xfId="1" applyFont="1" applyBorder="1" applyAlignment="1"/>
    <xf numFmtId="1" fontId="0" fillId="5" borderId="5" xfId="0" applyNumberFormat="1" applyFill="1" applyBorder="1" applyAlignment="1"/>
    <xf numFmtId="0" fontId="0" fillId="0" borderId="14" xfId="0" applyBorder="1" applyAlignment="1"/>
    <xf numFmtId="0" fontId="0" fillId="5" borderId="14" xfId="0" applyFill="1" applyBorder="1" applyAlignment="1"/>
    <xf numFmtId="0" fontId="2" fillId="16" borderId="9" xfId="0" applyFont="1" applyFill="1" applyBorder="1" applyAlignment="1">
      <alignment wrapText="1"/>
    </xf>
    <xf numFmtId="0" fontId="2" fillId="16" borderId="9" xfId="0" applyFont="1" applyFill="1" applyBorder="1"/>
    <xf numFmtId="0" fontId="2" fillId="16" borderId="9" xfId="0" applyFont="1" applyFill="1" applyBorder="1" applyAlignment="1">
      <alignment horizontal="left"/>
    </xf>
    <xf numFmtId="2" fontId="2" fillId="16" borderId="9" xfId="0" applyNumberFormat="1" applyFont="1" applyFill="1" applyBorder="1" applyAlignment="1">
      <alignment horizontal="left"/>
    </xf>
    <xf numFmtId="164" fontId="7" fillId="16" borderId="9" xfId="1" applyNumberFormat="1" applyFont="1" applyFill="1" applyBorder="1"/>
    <xf numFmtId="43" fontId="0" fillId="16" borderId="9" xfId="1" applyFont="1" applyFill="1" applyBorder="1" applyAlignment="1">
      <alignment wrapText="1"/>
    </xf>
    <xf numFmtId="38" fontId="7" fillId="16" borderId="9" xfId="0" applyNumberFormat="1" applyFont="1" applyFill="1" applyBorder="1" applyAlignment="1">
      <alignment horizontal="right"/>
    </xf>
    <xf numFmtId="7" fontId="0" fillId="7" borderId="9" xfId="0" applyNumberFormat="1" applyFill="1" applyBorder="1"/>
    <xf numFmtId="170" fontId="0" fillId="0" borderId="9" xfId="1" applyNumberFormat="1" applyFont="1" applyBorder="1" applyAlignment="1">
      <alignment horizontal="right" wrapText="1"/>
    </xf>
    <xf numFmtId="170" fontId="0" fillId="0" borderId="9" xfId="1" applyNumberFormat="1" applyFont="1" applyBorder="1" applyAlignment="1">
      <alignment horizontal="left" wrapText="1"/>
    </xf>
    <xf numFmtId="170" fontId="0" fillId="0" borderId="9" xfId="0" applyNumberFormat="1" applyBorder="1" applyAlignment="1">
      <alignment horizontal="left" wrapText="1"/>
    </xf>
    <xf numFmtId="170" fontId="2" fillId="0" borderId="9" xfId="0" applyNumberFormat="1" applyFont="1" applyBorder="1" applyAlignment="1">
      <alignment horizontal="left"/>
    </xf>
    <xf numFmtId="170" fontId="2" fillId="0" borderId="9" xfId="1" applyNumberFormat="1" applyFont="1" applyBorder="1" applyAlignment="1">
      <alignment horizontal="left" wrapText="1"/>
    </xf>
    <xf numFmtId="170" fontId="0" fillId="0" borderId="9" xfId="1" applyNumberFormat="1" applyFont="1" applyBorder="1"/>
    <xf numFmtId="170" fontId="0" fillId="0" borderId="9" xfId="0" applyNumberFormat="1" applyBorder="1"/>
    <xf numFmtId="170" fontId="0" fillId="5" borderId="9" xfId="1" applyNumberFormat="1" applyFont="1" applyFill="1" applyBorder="1" applyAlignment="1">
      <alignment horizontal="left"/>
    </xf>
    <xf numFmtId="170" fontId="0" fillId="0" borderId="9" xfId="0" applyNumberFormat="1" applyBorder="1" applyAlignment="1">
      <alignment horizontal="right"/>
    </xf>
    <xf numFmtId="170" fontId="2" fillId="16" borderId="9" xfId="1" applyNumberFormat="1" applyFont="1" applyFill="1" applyBorder="1"/>
    <xf numFmtId="170" fontId="0" fillId="0" borderId="9" xfId="1" applyNumberFormat="1" applyFont="1" applyBorder="1" applyAlignment="1">
      <alignment wrapText="1"/>
    </xf>
    <xf numFmtId="170" fontId="2" fillId="0" borderId="9" xfId="1" applyNumberFormat="1" applyFont="1" applyBorder="1"/>
    <xf numFmtId="170" fontId="0" fillId="0" borderId="15" xfId="1" applyNumberFormat="1" applyFont="1" applyBorder="1" applyAlignment="1">
      <alignment horizontal="left"/>
    </xf>
    <xf numFmtId="170" fontId="2" fillId="0" borderId="15" xfId="1" applyNumberFormat="1" applyFont="1" applyBorder="1" applyAlignment="1">
      <alignment horizontal="left"/>
    </xf>
    <xf numFmtId="170" fontId="0" fillId="0" borderId="7" xfId="1" applyNumberFormat="1" applyFont="1" applyBorder="1" applyAlignment="1">
      <alignment horizontal="left"/>
    </xf>
    <xf numFmtId="170" fontId="2" fillId="0" borderId="7" xfId="1" applyNumberFormat="1" applyFont="1" applyBorder="1" applyAlignment="1">
      <alignment horizontal="left"/>
    </xf>
    <xf numFmtId="170" fontId="2" fillId="0" borderId="9" xfId="1" applyNumberFormat="1" applyFont="1" applyBorder="1" applyAlignment="1">
      <alignment horizontal="left"/>
    </xf>
    <xf numFmtId="170" fontId="2" fillId="0" borderId="8" xfId="1" applyNumberFormat="1" applyFont="1" applyBorder="1" applyAlignment="1">
      <alignment horizontal="left"/>
    </xf>
    <xf numFmtId="170" fontId="2" fillId="4" borderId="9" xfId="1" applyNumberFormat="1" applyFont="1" applyFill="1" applyBorder="1" applyAlignment="1">
      <alignment horizontal="left" wrapText="1"/>
    </xf>
    <xf numFmtId="170" fontId="2" fillId="4" borderId="9" xfId="1" applyNumberFormat="1" applyFont="1" applyFill="1" applyBorder="1"/>
    <xf numFmtId="170" fontId="0" fillId="0" borderId="17" xfId="1" applyNumberFormat="1" applyFont="1" applyBorder="1" applyAlignment="1">
      <alignment horizontal="left"/>
    </xf>
    <xf numFmtId="170" fontId="2" fillId="0" borderId="17" xfId="1" applyNumberFormat="1" applyFont="1" applyBorder="1" applyAlignment="1">
      <alignment horizontal="left"/>
    </xf>
    <xf numFmtId="170" fontId="2" fillId="0" borderId="18" xfId="1" applyNumberFormat="1" applyFont="1" applyBorder="1" applyAlignment="1">
      <alignment horizontal="left"/>
    </xf>
    <xf numFmtId="0" fontId="20" fillId="17" borderId="16" xfId="0" applyFont="1" applyFill="1" applyBorder="1" applyAlignment="1">
      <alignment vertical="center" wrapText="1"/>
    </xf>
    <xf numFmtId="0" fontId="20" fillId="17" borderId="18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vertical="center" wrapText="1"/>
    </xf>
    <xf numFmtId="0" fontId="22" fillId="0" borderId="0" xfId="0" applyFont="1" applyBorder="1"/>
    <xf numFmtId="0" fontId="22" fillId="5" borderId="0" xfId="0" applyFont="1" applyFill="1" applyBorder="1"/>
    <xf numFmtId="0" fontId="24" fillId="5" borderId="0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center" wrapText="1"/>
    </xf>
    <xf numFmtId="0" fontId="24" fillId="5" borderId="0" xfId="0" applyFont="1" applyFill="1" applyBorder="1" applyAlignment="1">
      <alignment horizontal="center"/>
    </xf>
    <xf numFmtId="0" fontId="24" fillId="22" borderId="9" xfId="0" applyFont="1" applyFill="1" applyBorder="1" applyAlignment="1">
      <alignment horizontal="left" vertical="center" wrapText="1"/>
    </xf>
    <xf numFmtId="0" fontId="24" fillId="22" borderId="9" xfId="0" applyFont="1" applyFill="1" applyBorder="1" applyAlignment="1">
      <alignment horizontal="center"/>
    </xf>
    <xf numFmtId="167" fontId="21" fillId="20" borderId="9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164" fontId="2" fillId="0" borderId="9" xfId="1" applyNumberFormat="1" applyFont="1" applyBorder="1"/>
    <xf numFmtId="2" fontId="2" fillId="0" borderId="9" xfId="0" applyNumberFormat="1" applyFont="1" applyBorder="1" applyAlignment="1">
      <alignment horizontal="left"/>
    </xf>
    <xf numFmtId="164" fontId="7" fillId="5" borderId="9" xfId="1" applyNumberFormat="1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43" fontId="4" fillId="5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0" fillId="10" borderId="9" xfId="0" applyFill="1" applyBorder="1" applyAlignment="1">
      <alignment horizontal="center" vertical="center" wrapText="1"/>
    </xf>
    <xf numFmtId="0" fontId="0" fillId="21" borderId="16" xfId="0" applyFill="1" applyBorder="1" applyAlignment="1">
      <alignment horizontal="center" vertical="center" wrapText="1"/>
    </xf>
    <xf numFmtId="0" fontId="0" fillId="21" borderId="17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24" fillId="22" borderId="9" xfId="0" applyFont="1" applyFill="1" applyBorder="1" applyAlignment="1">
      <alignment horizontal="center" wrapText="1"/>
    </xf>
    <xf numFmtId="0" fontId="21" fillId="20" borderId="9" xfId="0" applyFont="1" applyFill="1" applyBorder="1" applyAlignment="1">
      <alignment horizontal="left" vertical="center"/>
    </xf>
    <xf numFmtId="0" fontId="0" fillId="16" borderId="9" xfId="0" applyFill="1" applyBorder="1" applyAlignment="1">
      <alignment horizontal="left"/>
    </xf>
  </cellXfs>
  <cellStyles count="5">
    <cellStyle name="Comma" xfId="1" builtinId="3"/>
    <cellStyle name="Normal" xfId="0" builtinId="0"/>
    <cellStyle name="Normal 3" xfId="2"/>
    <cellStyle name="Normal 4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371475</xdr:colOff>
      <xdr:row>38</xdr:row>
      <xdr:rowOff>75286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1543"/>
        <a:stretch/>
      </xdr:blipFill>
      <xdr:spPr>
        <a:xfrm>
          <a:off x="0" y="0"/>
          <a:ext cx="8905875" cy="73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eem.cassim/Documents/a%20NPP%20Unit/CD4%20Unit/a%20CrAg%20Volumes%20Model%20Costing%20Paper%202016/Costing%20Model/CrAg%20Costing%20Model%2021%2011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5"/>
      <sheetName val="Fig3Data"/>
      <sheetName val="gFig2"/>
      <sheetName val="Fig 2"/>
      <sheetName val="gMax"/>
      <sheetName val="gMin"/>
      <sheetName val="Price Analysis"/>
      <sheetName val="Analysis"/>
      <sheetName val="pVols"/>
      <sheetName val="MC"/>
      <sheetName val="Fig 2b (2)"/>
      <sheetName val="Figure Two"/>
      <sheetName val="Fig_3_ADD"/>
      <sheetName val="Figure Four"/>
      <sheetName val="Fig 2b"/>
      <sheetName val="Fig 3b"/>
      <sheetName val="Fig 4"/>
      <sheetName val="gPriceCost"/>
      <sheetName val="Tariff_P_Anal"/>
      <sheetName val="Table x"/>
      <sheetName val="Cost Curve"/>
      <sheetName val="Table y"/>
      <sheetName val="Table 2"/>
      <sheetName val="Table 1"/>
      <sheetName val="Cost Data"/>
      <sheetName val="pData 1"/>
      <sheetName val="LFA Costing"/>
      <sheetName val="EIA Costing"/>
      <sheetName val="Sheet1"/>
      <sheetName val="RepRes"/>
      <sheetName val="RxCosts"/>
      <sheetName val="R4_Vols v2"/>
      <sheetName val="R4_Vols"/>
      <sheetName val="R1 Wflow"/>
      <sheetName val="R5_CTC"/>
      <sheetName val="R6 Equipment"/>
      <sheetName val="R8-Equip"/>
      <sheetName val="R11_Lab Vols"/>
      <sheetName val="R13_ER"/>
      <sheetName val="R14 UNAIDS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D2">
            <v>2482.2359999999999</v>
          </cell>
        </row>
        <row r="3">
          <cell r="D3">
            <v>423.39599999999996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M66"/>
  <sheetViews>
    <sheetView showGridLines="0" topLeftCell="E7" zoomScale="90" zoomScaleNormal="90" workbookViewId="0">
      <selection activeCell="R30" sqref="R30"/>
    </sheetView>
  </sheetViews>
  <sheetFormatPr defaultRowHeight="15" customHeight="1" x14ac:dyDescent="0.25"/>
  <cols>
    <col min="1" max="1" width="46.85546875" style="62" bestFit="1" customWidth="1"/>
    <col min="2" max="2" width="14.7109375" bestFit="1" customWidth="1"/>
    <col min="3" max="3" width="19.85546875" bestFit="1" customWidth="1"/>
    <col min="4" max="4" width="15.5703125" bestFit="1" customWidth="1"/>
    <col min="5" max="5" width="17.85546875" bestFit="1" customWidth="1"/>
    <col min="6" max="6" width="19.7109375" bestFit="1" customWidth="1"/>
    <col min="7" max="7" width="21.7109375" bestFit="1" customWidth="1"/>
    <col min="8" max="8" width="15.5703125" bestFit="1" customWidth="1"/>
    <col min="9" max="9" width="11.28515625" bestFit="1" customWidth="1"/>
    <col min="11" max="11" width="26.7109375" bestFit="1" customWidth="1"/>
    <col min="12" max="12" width="22.140625" bestFit="1" customWidth="1"/>
  </cols>
  <sheetData>
    <row r="2" spans="1:12" ht="15" customHeight="1" x14ac:dyDescent="0.25">
      <c r="A2" s="62" t="s">
        <v>176</v>
      </c>
      <c r="B2" s="147">
        <v>23</v>
      </c>
    </row>
    <row r="3" spans="1:12" ht="15" customHeight="1" x14ac:dyDescent="0.25">
      <c r="B3" s="4"/>
      <c r="D3" s="133" t="s">
        <v>140</v>
      </c>
    </row>
    <row r="4" spans="1:12" ht="15" customHeight="1" x14ac:dyDescent="0.25">
      <c r="A4" s="62" t="s">
        <v>126</v>
      </c>
      <c r="B4" s="70">
        <v>5922</v>
      </c>
      <c r="D4" s="209">
        <f>+H63</f>
        <v>78.475859360644051</v>
      </c>
    </row>
    <row r="5" spans="1:12" ht="15" customHeight="1" x14ac:dyDescent="0.25">
      <c r="B5" s="112"/>
      <c r="D5" s="148" t="s">
        <v>178</v>
      </c>
    </row>
    <row r="6" spans="1:12" ht="15" customHeight="1" x14ac:dyDescent="0.25">
      <c r="B6" s="112"/>
      <c r="C6" s="112"/>
      <c r="D6" s="149">
        <f>+D4/ERD</f>
        <v>5.4374404545743324</v>
      </c>
    </row>
    <row r="7" spans="1:12" ht="15" customHeight="1" x14ac:dyDescent="0.25">
      <c r="A7" s="128"/>
      <c r="B7" s="127"/>
    </row>
    <row r="9" spans="1:12" ht="15" customHeight="1" x14ac:dyDescent="0.3">
      <c r="A9" s="266" t="s">
        <v>127</v>
      </c>
      <c r="B9" s="267"/>
      <c r="C9" s="267"/>
      <c r="D9" s="267"/>
      <c r="E9" s="267"/>
      <c r="F9" s="267"/>
      <c r="G9" s="267"/>
      <c r="H9" s="267"/>
      <c r="I9" s="268"/>
      <c r="K9" s="269" t="s">
        <v>128</v>
      </c>
      <c r="L9" s="270"/>
    </row>
    <row r="10" spans="1:12" ht="15" customHeight="1" x14ac:dyDescent="0.25">
      <c r="A10" s="63"/>
      <c r="B10" s="1"/>
      <c r="C10" s="1"/>
      <c r="D10" s="1"/>
      <c r="E10" s="1"/>
      <c r="F10" s="1"/>
      <c r="G10" s="1"/>
      <c r="H10" s="1"/>
      <c r="I10" s="2"/>
      <c r="K10" s="50" t="s">
        <v>58</v>
      </c>
      <c r="L10" s="191" t="s">
        <v>57</v>
      </c>
    </row>
    <row r="11" spans="1:12" ht="15" customHeight="1" x14ac:dyDescent="0.25">
      <c r="A11" s="249" t="s">
        <v>0</v>
      </c>
      <c r="B11" s="250"/>
      <c r="C11" s="250"/>
      <c r="D11" s="250"/>
      <c r="E11" s="250"/>
      <c r="F11" s="250"/>
      <c r="G11" s="250"/>
      <c r="H11" s="250"/>
      <c r="I11" s="251"/>
      <c r="K11" s="52" t="s">
        <v>176</v>
      </c>
      <c r="L11" s="192">
        <f>+B2</f>
        <v>23</v>
      </c>
    </row>
    <row r="12" spans="1:12" ht="15" customHeight="1" x14ac:dyDescent="0.25">
      <c r="A12" s="61"/>
      <c r="B12" s="16"/>
      <c r="C12" s="16"/>
      <c r="D12" s="16"/>
      <c r="E12" s="16"/>
      <c r="F12" s="76"/>
      <c r="G12" s="77"/>
      <c r="H12" s="77"/>
      <c r="I12" s="78"/>
      <c r="K12" s="52"/>
      <c r="L12" s="53"/>
    </row>
    <row r="13" spans="1:12" ht="15" customHeight="1" x14ac:dyDescent="0.25">
      <c r="A13" s="44"/>
      <c r="B13" s="112"/>
      <c r="C13" s="1"/>
      <c r="D13" s="1"/>
      <c r="E13" s="1"/>
      <c r="F13" s="155"/>
      <c r="G13" s="271"/>
      <c r="H13" s="271"/>
      <c r="I13" s="79"/>
      <c r="K13" s="52"/>
      <c r="L13" s="53"/>
    </row>
    <row r="14" spans="1:12" ht="15" customHeight="1" x14ac:dyDescent="0.25">
      <c r="A14" s="44"/>
      <c r="B14" s="1"/>
      <c r="C14" s="1"/>
      <c r="D14" s="1"/>
      <c r="E14" s="1"/>
      <c r="F14" s="155"/>
      <c r="G14" s="75"/>
      <c r="H14" s="75"/>
      <c r="I14" s="80"/>
      <c r="K14" s="193" t="s">
        <v>243</v>
      </c>
      <c r="L14" s="194" t="s">
        <v>56</v>
      </c>
    </row>
    <row r="15" spans="1:12" ht="15" customHeight="1" x14ac:dyDescent="0.25">
      <c r="A15" s="44" t="s">
        <v>35</v>
      </c>
      <c r="B15" s="70">
        <f>+B4</f>
        <v>5922</v>
      </c>
      <c r="C15" s="72" t="s">
        <v>236</v>
      </c>
      <c r="D15" s="1"/>
      <c r="E15" s="112"/>
      <c r="F15" s="272"/>
      <c r="G15" s="272"/>
      <c r="H15" s="272"/>
      <c r="I15" s="3"/>
      <c r="K15" s="52" t="s">
        <v>59</v>
      </c>
      <c r="L15" s="86">
        <v>1.5</v>
      </c>
    </row>
    <row r="16" spans="1:12" ht="15" customHeight="1" x14ac:dyDescent="0.25">
      <c r="A16" s="44" t="s">
        <v>1</v>
      </c>
      <c r="B16" s="8">
        <v>5</v>
      </c>
      <c r="C16" s="1"/>
      <c r="D16" s="1"/>
      <c r="E16" s="1"/>
      <c r="F16" s="155"/>
      <c r="G16" s="155"/>
      <c r="H16" s="155"/>
      <c r="I16" s="3"/>
      <c r="K16" s="55" t="s">
        <v>60</v>
      </c>
      <c r="L16" s="86">
        <v>7.5</v>
      </c>
    </row>
    <row r="17" spans="1:13" ht="15" customHeight="1" x14ac:dyDescent="0.25">
      <c r="A17" s="44" t="s">
        <v>2</v>
      </c>
      <c r="B17" s="9">
        <v>0.04</v>
      </c>
      <c r="C17" s="1"/>
      <c r="D17" s="1"/>
      <c r="E17" s="1"/>
      <c r="F17" s="155"/>
      <c r="G17" s="155"/>
      <c r="H17" s="155"/>
      <c r="I17" s="3"/>
      <c r="K17" s="55" t="s">
        <v>61</v>
      </c>
      <c r="L17" s="86">
        <v>7.5</v>
      </c>
    </row>
    <row r="18" spans="1:13" ht="15" customHeight="1" x14ac:dyDescent="0.25">
      <c r="A18" s="44"/>
      <c r="B18" s="1"/>
      <c r="C18" s="1"/>
      <c r="D18" s="46"/>
      <c r="E18" s="71"/>
      <c r="F18" s="264" t="s">
        <v>3</v>
      </c>
      <c r="G18" s="265"/>
      <c r="H18" s="120" t="s">
        <v>116</v>
      </c>
      <c r="I18" s="10"/>
      <c r="K18" s="52" t="s">
        <v>62</v>
      </c>
      <c r="L18" s="86">
        <v>11.25</v>
      </c>
    </row>
    <row r="19" spans="1:13" ht="15" customHeight="1" x14ac:dyDescent="0.25">
      <c r="A19" s="44" t="s">
        <v>4</v>
      </c>
      <c r="B19" s="1"/>
      <c r="C19" s="1"/>
      <c r="D19" s="1"/>
      <c r="E19" s="1"/>
      <c r="F19" s="259" t="s">
        <v>88</v>
      </c>
      <c r="G19" s="260"/>
      <c r="H19" s="94">
        <v>12</v>
      </c>
      <c r="I19" s="11"/>
      <c r="K19" s="52" t="s">
        <v>63</v>
      </c>
      <c r="L19" s="86">
        <v>11.25</v>
      </c>
    </row>
    <row r="20" spans="1:13" ht="15" customHeight="1" x14ac:dyDescent="0.25">
      <c r="A20" s="44" t="s">
        <v>5</v>
      </c>
      <c r="B20" s="1"/>
      <c r="C20" s="261" t="s">
        <v>6</v>
      </c>
      <c r="D20" s="261"/>
      <c r="E20" s="1">
        <v>1.01</v>
      </c>
      <c r="F20" s="259"/>
      <c r="G20" s="260"/>
      <c r="H20" s="12"/>
      <c r="I20" s="11"/>
      <c r="K20" s="52" t="s">
        <v>64</v>
      </c>
      <c r="L20" s="86">
        <v>3.375</v>
      </c>
    </row>
    <row r="21" spans="1:13" ht="15" customHeight="1" x14ac:dyDescent="0.25">
      <c r="A21" s="64"/>
      <c r="B21" s="13"/>
      <c r="C21" s="13"/>
      <c r="D21" s="13"/>
      <c r="E21" s="13"/>
      <c r="F21" s="262"/>
      <c r="G21" s="263"/>
      <c r="H21" s="14"/>
      <c r="I21" s="15"/>
      <c r="K21" s="52" t="s">
        <v>65</v>
      </c>
      <c r="L21" s="86">
        <v>10</v>
      </c>
    </row>
    <row r="22" spans="1:13" ht="15" customHeight="1" x14ac:dyDescent="0.25">
      <c r="A22" s="249" t="s">
        <v>7</v>
      </c>
      <c r="B22" s="250"/>
      <c r="C22" s="250"/>
      <c r="D22" s="250"/>
      <c r="E22" s="250"/>
      <c r="F22" s="250"/>
      <c r="G22" s="250"/>
      <c r="H22" s="250"/>
      <c r="I22" s="251"/>
      <c r="K22" s="52" t="s">
        <v>66</v>
      </c>
      <c r="L22" s="86">
        <v>7.5</v>
      </c>
    </row>
    <row r="23" spans="1:13" ht="15" customHeight="1" x14ac:dyDescent="0.25">
      <c r="A23" s="61"/>
      <c r="B23" s="16"/>
      <c r="C23" s="16"/>
      <c r="D23" s="16"/>
      <c r="E23" s="16"/>
      <c r="F23" s="16"/>
      <c r="G23" s="16"/>
      <c r="H23" s="16"/>
      <c r="I23" s="7"/>
      <c r="K23" s="52" t="s">
        <v>67</v>
      </c>
      <c r="L23" s="86">
        <v>7.5</v>
      </c>
    </row>
    <row r="24" spans="1:13" s="62" customFormat="1" ht="30.75" customHeight="1" x14ac:dyDescent="0.25">
      <c r="A24" s="73" t="s">
        <v>8</v>
      </c>
      <c r="B24" s="73" t="s">
        <v>9</v>
      </c>
      <c r="C24" s="73" t="s">
        <v>10</v>
      </c>
      <c r="D24" s="73" t="s">
        <v>75</v>
      </c>
      <c r="E24" s="73" t="s">
        <v>11</v>
      </c>
      <c r="F24" s="73" t="s">
        <v>12</v>
      </c>
      <c r="G24" s="73" t="s">
        <v>75</v>
      </c>
      <c r="H24" s="73" t="s">
        <v>13</v>
      </c>
      <c r="I24" s="19"/>
      <c r="K24" s="52" t="s">
        <v>68</v>
      </c>
      <c r="L24" s="86">
        <v>7.5</v>
      </c>
    </row>
    <row r="25" spans="1:13" ht="15" customHeight="1" x14ac:dyDescent="0.25">
      <c r="A25" s="18" t="s">
        <v>76</v>
      </c>
      <c r="B25" s="18">
        <v>1</v>
      </c>
      <c r="C25" s="18" t="s">
        <v>14</v>
      </c>
      <c r="D25" s="210">
        <v>417172.21572000004</v>
      </c>
      <c r="E25" s="211">
        <v>417172.21572000004</v>
      </c>
      <c r="F25" s="89">
        <v>0.18487654320987654</v>
      </c>
      <c r="G25" s="215">
        <v>77125.357165518522</v>
      </c>
      <c r="H25" s="20" t="s">
        <v>248</v>
      </c>
      <c r="I25" s="21" t="s">
        <v>15</v>
      </c>
      <c r="K25" s="52"/>
      <c r="L25" s="53"/>
    </row>
    <row r="26" spans="1:13" ht="15" customHeight="1" x14ac:dyDescent="0.25">
      <c r="A26" s="18" t="s">
        <v>77</v>
      </c>
      <c r="B26" s="18">
        <v>1</v>
      </c>
      <c r="C26" s="18" t="s">
        <v>17</v>
      </c>
      <c r="D26" s="210">
        <v>656827.16</v>
      </c>
      <c r="E26" s="211">
        <v>656827.16</v>
      </c>
      <c r="F26" s="89">
        <v>5.5555555555555552E-2</v>
      </c>
      <c r="G26" s="215">
        <v>36490.397777777776</v>
      </c>
      <c r="H26" s="20" t="s">
        <v>248</v>
      </c>
      <c r="I26" s="21" t="s">
        <v>15</v>
      </c>
      <c r="K26" s="56" t="s">
        <v>36</v>
      </c>
      <c r="L26" s="57">
        <f>SUM(L15:L24)</f>
        <v>74.875</v>
      </c>
      <c r="M26" s="49"/>
    </row>
    <row r="27" spans="1:13" ht="15" customHeight="1" x14ac:dyDescent="0.25">
      <c r="A27" s="18"/>
      <c r="B27" s="18"/>
      <c r="C27" s="18"/>
      <c r="D27" s="18"/>
      <c r="E27" s="18"/>
      <c r="F27" s="4"/>
      <c r="G27" s="4"/>
      <c r="H27" s="4"/>
      <c r="I27" s="2"/>
      <c r="K27" s="58"/>
      <c r="L27" s="195"/>
    </row>
    <row r="28" spans="1:13" ht="15" customHeight="1" x14ac:dyDescent="0.25">
      <c r="A28" s="18"/>
      <c r="B28" s="18"/>
      <c r="C28" s="18"/>
      <c r="D28" s="18"/>
      <c r="E28" s="18"/>
      <c r="F28" s="4"/>
      <c r="G28" s="4"/>
      <c r="H28" s="4"/>
      <c r="I28" s="2"/>
      <c r="K28" s="43"/>
      <c r="L28" s="43"/>
    </row>
    <row r="29" spans="1:13" ht="15" customHeight="1" x14ac:dyDescent="0.25">
      <c r="A29" s="188" t="s">
        <v>18</v>
      </c>
      <c r="B29" s="187"/>
      <c r="C29" s="189"/>
      <c r="D29" s="189"/>
      <c r="E29" s="228">
        <v>1073999.3757200001</v>
      </c>
      <c r="F29" s="190">
        <v>0.24043209876543209</v>
      </c>
      <c r="G29" s="228">
        <v>113615.7549432963</v>
      </c>
      <c r="H29" s="130"/>
      <c r="I29" s="2"/>
      <c r="K29" s="50" t="s">
        <v>70</v>
      </c>
      <c r="L29" s="51">
        <f>8*60</f>
        <v>480</v>
      </c>
    </row>
    <row r="30" spans="1:13" ht="15" customHeight="1" x14ac:dyDescent="0.25">
      <c r="A30" s="44"/>
      <c r="B30" s="1"/>
      <c r="C30" s="1"/>
      <c r="D30" s="1"/>
      <c r="E30" s="1"/>
      <c r="F30" s="1"/>
      <c r="G30" s="1"/>
      <c r="H30" s="1"/>
      <c r="I30" s="2"/>
      <c r="K30" s="52" t="s">
        <v>82</v>
      </c>
      <c r="L30" s="53">
        <f>+L29-75</f>
        <v>405</v>
      </c>
    </row>
    <row r="31" spans="1:13" ht="15" customHeight="1" x14ac:dyDescent="0.25">
      <c r="A31" s="249" t="s">
        <v>19</v>
      </c>
      <c r="B31" s="250"/>
      <c r="C31" s="250"/>
      <c r="D31" s="250"/>
      <c r="E31" s="250"/>
      <c r="F31" s="250"/>
      <c r="G31" s="250"/>
      <c r="H31" s="250"/>
      <c r="I31" s="251"/>
      <c r="K31" s="52"/>
      <c r="L31" s="53"/>
    </row>
    <row r="32" spans="1:13" ht="15" customHeight="1" x14ac:dyDescent="0.25">
      <c r="A32" s="61"/>
      <c r="B32" s="16"/>
      <c r="C32" s="16"/>
      <c r="D32" s="16"/>
      <c r="E32" s="16"/>
      <c r="F32" s="16"/>
      <c r="G32" s="16"/>
      <c r="H32" s="16"/>
      <c r="I32" s="7"/>
      <c r="K32" s="52" t="s">
        <v>56</v>
      </c>
      <c r="L32" s="68">
        <f>+L26</f>
        <v>74.875</v>
      </c>
    </row>
    <row r="33" spans="1:12" s="62" customFormat="1" ht="28.5" customHeight="1" x14ac:dyDescent="0.25">
      <c r="A33" s="73" t="s">
        <v>20</v>
      </c>
      <c r="B33" s="73" t="s">
        <v>21</v>
      </c>
      <c r="C33" s="73" t="s">
        <v>22</v>
      </c>
      <c r="D33" s="73" t="s">
        <v>23</v>
      </c>
      <c r="E33" s="73" t="s">
        <v>1</v>
      </c>
      <c r="F33" s="73" t="s">
        <v>2</v>
      </c>
      <c r="G33" s="73" t="s">
        <v>78</v>
      </c>
      <c r="H33" s="73" t="s">
        <v>13</v>
      </c>
      <c r="I33" s="19"/>
      <c r="K33" s="52"/>
      <c r="L33" s="53"/>
    </row>
    <row r="34" spans="1:12" ht="15" customHeight="1" x14ac:dyDescent="0.25">
      <c r="A34" s="37" t="s">
        <v>34</v>
      </c>
      <c r="B34" s="4">
        <v>1</v>
      </c>
      <c r="C34" s="5">
        <f>+[1]RxCosts!D2</f>
        <v>2482.2359999999999</v>
      </c>
      <c r="D34" s="26">
        <f>SUM(B34*C34)</f>
        <v>2482.2359999999999</v>
      </c>
      <c r="E34" s="27">
        <f>+$B$16</f>
        <v>5</v>
      </c>
      <c r="F34" s="28">
        <f>+$B$17</f>
        <v>0.04</v>
      </c>
      <c r="G34" s="29">
        <f>-PMT(F34/12,E34,D34,0,1)</f>
        <v>499.75682966209803</v>
      </c>
      <c r="H34" s="20" t="s">
        <v>249</v>
      </c>
      <c r="I34" s="21"/>
      <c r="K34" s="54" t="s">
        <v>71</v>
      </c>
      <c r="L34" s="117">
        <f>+L32/L30</f>
        <v>0.18487654320987654</v>
      </c>
    </row>
    <row r="35" spans="1:12" ht="15" customHeight="1" x14ac:dyDescent="0.25">
      <c r="A35" s="37" t="s">
        <v>33</v>
      </c>
      <c r="B35" s="4">
        <v>1</v>
      </c>
      <c r="C35" s="5">
        <f>+[1]RxCosts!D3</f>
        <v>423.39599999999996</v>
      </c>
      <c r="D35" s="26">
        <f>SUM(B35*C35)</f>
        <v>423.39599999999996</v>
      </c>
      <c r="E35" s="27">
        <f>+$B$16</f>
        <v>5</v>
      </c>
      <c r="F35" s="28">
        <f>+$B$17</f>
        <v>0.04</v>
      </c>
      <c r="G35" s="29">
        <f t="shared" ref="G35" si="0">-PMT(F35/12,E35,D35,0,1)</f>
        <v>85.243724872096635</v>
      </c>
      <c r="H35" s="20" t="s">
        <v>249</v>
      </c>
      <c r="I35" s="21"/>
    </row>
    <row r="36" spans="1:12" ht="15" customHeight="1" x14ac:dyDescent="0.25">
      <c r="A36" s="37"/>
      <c r="B36" s="4"/>
      <c r="C36" s="5"/>
      <c r="D36" s="26"/>
      <c r="E36" s="27"/>
      <c r="F36" s="28"/>
      <c r="G36" s="29"/>
      <c r="H36" s="20"/>
      <c r="I36" s="21" t="s">
        <v>15</v>
      </c>
      <c r="K36" s="193"/>
      <c r="L36" s="196" t="s">
        <v>83</v>
      </c>
    </row>
    <row r="37" spans="1:12" ht="15" customHeight="1" x14ac:dyDescent="0.25">
      <c r="A37" s="37"/>
      <c r="B37" s="4"/>
      <c r="C37" s="5"/>
      <c r="D37" s="26"/>
      <c r="E37" s="27"/>
      <c r="F37" s="28"/>
      <c r="G37" s="29"/>
      <c r="H37" s="20"/>
      <c r="I37" s="21"/>
      <c r="K37" s="197" t="s">
        <v>242</v>
      </c>
      <c r="L37" s="198">
        <f>1*L11</f>
        <v>23</v>
      </c>
    </row>
    <row r="38" spans="1:12" ht="15" customHeight="1" x14ac:dyDescent="0.25">
      <c r="A38" s="244" t="s">
        <v>18</v>
      </c>
      <c r="B38" s="245">
        <f>SUM(B34:B36)</f>
        <v>2</v>
      </c>
      <c r="C38" s="246">
        <f>SUM(C34:C37)</f>
        <v>2905.6319999999996</v>
      </c>
      <c r="D38" s="246">
        <f>SUM(D34:D37)</f>
        <v>2905.6319999999996</v>
      </c>
      <c r="E38" s="23"/>
      <c r="F38" s="247"/>
      <c r="G38" s="246">
        <f>SUM(G34:G37)</f>
        <v>585.00055453419463</v>
      </c>
      <c r="H38" s="248"/>
      <c r="I38" s="31"/>
    </row>
    <row r="39" spans="1:12" ht="15" customHeight="1" x14ac:dyDescent="0.25">
      <c r="A39" s="66"/>
      <c r="B39" s="32"/>
      <c r="C39" s="33"/>
      <c r="D39" s="33"/>
      <c r="E39" s="34"/>
      <c r="F39" s="35"/>
      <c r="G39" s="33"/>
      <c r="H39" s="36"/>
      <c r="I39" s="31"/>
      <c r="K39" s="118" t="s">
        <v>71</v>
      </c>
      <c r="L39" s="119">
        <f>+L37/L30</f>
        <v>5.6790123456790124E-2</v>
      </c>
    </row>
    <row r="40" spans="1:12" ht="15" customHeight="1" x14ac:dyDescent="0.25">
      <c r="A40" s="249" t="s">
        <v>24</v>
      </c>
      <c r="B40" s="250"/>
      <c r="C40" s="250"/>
      <c r="D40" s="250"/>
      <c r="E40" s="250"/>
      <c r="F40" s="250"/>
      <c r="G40" s="250"/>
      <c r="H40" s="250"/>
      <c r="I40" s="251"/>
    </row>
    <row r="41" spans="1:12" ht="15" customHeight="1" x14ac:dyDescent="0.25">
      <c r="A41" s="61"/>
      <c r="B41" s="16"/>
      <c r="C41" s="16"/>
      <c r="D41" s="16"/>
      <c r="E41" s="16"/>
      <c r="F41" s="16"/>
      <c r="G41" s="16"/>
      <c r="H41" s="7"/>
      <c r="I41" s="7"/>
    </row>
    <row r="42" spans="1:12" ht="30.75" customHeight="1" x14ac:dyDescent="0.25">
      <c r="A42" s="73" t="s">
        <v>25</v>
      </c>
      <c r="B42" s="73" t="s">
        <v>26</v>
      </c>
      <c r="C42" s="73" t="s">
        <v>11</v>
      </c>
      <c r="D42" s="73" t="s">
        <v>27</v>
      </c>
      <c r="E42" s="73" t="s">
        <v>28</v>
      </c>
      <c r="F42" s="73" t="s">
        <v>29</v>
      </c>
      <c r="G42" s="73" t="s">
        <v>81</v>
      </c>
      <c r="H42" s="73" t="s">
        <v>79</v>
      </c>
      <c r="I42" s="73" t="s">
        <v>13</v>
      </c>
    </row>
    <row r="43" spans="1:12" ht="15" customHeight="1" x14ac:dyDescent="0.25">
      <c r="A43" s="37" t="s">
        <v>74</v>
      </c>
      <c r="B43" s="37">
        <v>50</v>
      </c>
      <c r="C43" s="220">
        <v>2791.8029999999999</v>
      </c>
      <c r="D43" s="220">
        <v>55.836059999999996</v>
      </c>
      <c r="E43" s="4">
        <v>1</v>
      </c>
      <c r="F43" s="215">
        <v>55.836059999999996</v>
      </c>
      <c r="G43" s="74">
        <v>5922</v>
      </c>
      <c r="H43" s="221">
        <v>330661.14731999999</v>
      </c>
      <c r="I43" s="20" t="s">
        <v>250</v>
      </c>
    </row>
    <row r="44" spans="1:12" ht="15" customHeight="1" x14ac:dyDescent="0.25">
      <c r="A44" s="37" t="s">
        <v>54</v>
      </c>
      <c r="B44" s="37">
        <v>1000</v>
      </c>
      <c r="C44" s="220">
        <v>82.706999999999994</v>
      </c>
      <c r="D44" s="220">
        <v>8.2706999999999989E-2</v>
      </c>
      <c r="E44" s="22">
        <v>1</v>
      </c>
      <c r="F44" s="215">
        <v>8.2706999999999989E-2</v>
      </c>
      <c r="G44" s="74">
        <v>5922</v>
      </c>
      <c r="H44" s="221">
        <v>489.79085399999991</v>
      </c>
      <c r="I44" s="20" t="s">
        <v>53</v>
      </c>
    </row>
    <row r="45" spans="1:12" ht="15" customHeight="1" x14ac:dyDescent="0.25">
      <c r="A45" s="37" t="s">
        <v>52</v>
      </c>
      <c r="B45" s="37">
        <v>100</v>
      </c>
      <c r="C45" s="220">
        <v>59.998200000000004</v>
      </c>
      <c r="D45" s="220">
        <v>0.59998200000000002</v>
      </c>
      <c r="E45" s="22">
        <v>2.4390243902439025E-2</v>
      </c>
      <c r="F45" s="215">
        <v>1.4633707317073171E-2</v>
      </c>
      <c r="G45" s="74">
        <v>5922</v>
      </c>
      <c r="H45" s="221">
        <v>86.660814731707319</v>
      </c>
      <c r="I45" s="20" t="s">
        <v>51</v>
      </c>
    </row>
    <row r="46" spans="1:12" ht="15" customHeight="1" x14ac:dyDescent="0.25">
      <c r="A46" s="37" t="s">
        <v>48</v>
      </c>
      <c r="B46" s="37">
        <v>1000</v>
      </c>
      <c r="C46" s="220">
        <v>1675.8</v>
      </c>
      <c r="D46" s="220">
        <v>1.6758</v>
      </c>
      <c r="E46" s="22">
        <v>1</v>
      </c>
      <c r="F46" s="215">
        <v>1.6758</v>
      </c>
      <c r="G46" s="74">
        <v>5922</v>
      </c>
      <c r="H46" s="221">
        <v>9924.0875999999989</v>
      </c>
      <c r="I46" s="20" t="s">
        <v>47</v>
      </c>
    </row>
    <row r="47" spans="1:12" ht="15" customHeight="1" x14ac:dyDescent="0.25">
      <c r="A47" s="37" t="s">
        <v>42</v>
      </c>
      <c r="B47" s="37">
        <v>100</v>
      </c>
      <c r="C47" s="220">
        <v>74.099999999999994</v>
      </c>
      <c r="D47" s="220">
        <v>0.74099999999999999</v>
      </c>
      <c r="E47" s="22">
        <v>7.3170731707317097E-2</v>
      </c>
      <c r="F47" s="215">
        <v>5.4219512195121965E-2</v>
      </c>
      <c r="G47" s="74">
        <v>5922</v>
      </c>
      <c r="H47" s="221">
        <v>321.08795121951226</v>
      </c>
      <c r="I47" s="20" t="s">
        <v>41</v>
      </c>
    </row>
    <row r="48" spans="1:12" ht="15" customHeight="1" x14ac:dyDescent="0.25">
      <c r="A48" s="37" t="s">
        <v>40</v>
      </c>
      <c r="B48" s="37">
        <v>22</v>
      </c>
      <c r="C48" s="220">
        <v>1325.6717999999998</v>
      </c>
      <c r="D48" s="220">
        <v>60.257809090909085</v>
      </c>
      <c r="E48" s="22">
        <v>4.9751243781094526E-3</v>
      </c>
      <c r="F48" s="215">
        <v>0.2997900949796472</v>
      </c>
      <c r="G48" s="74">
        <v>5922</v>
      </c>
      <c r="H48" s="221">
        <v>1775.3569424694708</v>
      </c>
      <c r="I48" s="20" t="s">
        <v>39</v>
      </c>
    </row>
    <row r="49" spans="1:9" ht="15" customHeight="1" x14ac:dyDescent="0.25">
      <c r="A49" s="37" t="s">
        <v>50</v>
      </c>
      <c r="B49" s="37">
        <v>500</v>
      </c>
      <c r="C49" s="220">
        <v>52.063800000000001</v>
      </c>
      <c r="D49" s="220">
        <v>0.1041276</v>
      </c>
      <c r="E49" s="22">
        <v>4.878048780487805E-2</v>
      </c>
      <c r="F49" s="215">
        <v>5.0793951219512195E-3</v>
      </c>
      <c r="G49" s="74">
        <v>5922</v>
      </c>
      <c r="H49" s="221">
        <v>30.080177912195122</v>
      </c>
      <c r="I49" s="20" t="s">
        <v>49</v>
      </c>
    </row>
    <row r="50" spans="1:9" ht="15" customHeight="1" x14ac:dyDescent="0.25">
      <c r="A50" s="37" t="s">
        <v>45</v>
      </c>
      <c r="B50" s="37">
        <v>1</v>
      </c>
      <c r="C50" s="220">
        <v>315.66599999999994</v>
      </c>
      <c r="D50" s="220">
        <v>315.66599999999994</v>
      </c>
      <c r="E50" s="22">
        <v>1.1086474501108647E-3</v>
      </c>
      <c r="F50" s="215">
        <v>0.34996230598669614</v>
      </c>
      <c r="G50" s="74">
        <v>5922</v>
      </c>
      <c r="H50" s="221">
        <v>2072.4767760532145</v>
      </c>
      <c r="I50" s="20" t="s">
        <v>44</v>
      </c>
    </row>
    <row r="51" spans="1:9" ht="15" customHeight="1" x14ac:dyDescent="0.25">
      <c r="A51" s="37" t="s">
        <v>43</v>
      </c>
      <c r="B51" s="37">
        <v>1</v>
      </c>
      <c r="C51" s="220">
        <v>87.893999999999991</v>
      </c>
      <c r="D51" s="220">
        <v>87.893999999999991</v>
      </c>
      <c r="E51" s="22">
        <v>1.1086474501108647E-3</v>
      </c>
      <c r="F51" s="215">
        <v>9.7443458980044334E-2</v>
      </c>
      <c r="G51" s="74">
        <v>5922</v>
      </c>
      <c r="H51" s="221">
        <v>577.06016407982258</v>
      </c>
      <c r="I51" s="20" t="s">
        <v>46</v>
      </c>
    </row>
    <row r="52" spans="1:9" ht="15" customHeight="1" x14ac:dyDescent="0.25">
      <c r="A52" s="37"/>
      <c r="B52" s="37"/>
      <c r="C52" s="37"/>
      <c r="D52" s="38"/>
      <c r="E52" s="4"/>
      <c r="F52" s="215"/>
      <c r="G52" s="37"/>
      <c r="H52" s="221"/>
      <c r="I52" s="20"/>
    </row>
    <row r="53" spans="1:9" ht="15" customHeight="1" x14ac:dyDescent="0.25">
      <c r="A53" s="183" t="s">
        <v>18</v>
      </c>
      <c r="B53" s="183"/>
      <c r="C53" s="183"/>
      <c r="D53" s="184"/>
      <c r="E53" s="185"/>
      <c r="F53" s="229">
        <v>58.415695474580538</v>
      </c>
      <c r="G53" s="183"/>
      <c r="H53" s="229">
        <v>345937.74860046594</v>
      </c>
      <c r="I53" s="186"/>
    </row>
    <row r="54" spans="1:9" ht="15" customHeight="1" x14ac:dyDescent="0.25">
      <c r="A54" s="44"/>
      <c r="B54" s="17"/>
      <c r="C54" s="17"/>
      <c r="D54" s="45"/>
      <c r="E54" s="1"/>
      <c r="F54" s="46"/>
      <c r="G54" s="17"/>
      <c r="I54" s="30"/>
    </row>
    <row r="55" spans="1:9" ht="15" customHeight="1" x14ac:dyDescent="0.25">
      <c r="A55" s="252" t="s">
        <v>239</v>
      </c>
      <c r="B55" s="253"/>
      <c r="C55" s="253"/>
      <c r="D55" s="253"/>
      <c r="E55" s="253"/>
      <c r="F55" s="253"/>
      <c r="G55" s="253"/>
      <c r="H55" s="253"/>
      <c r="I55" s="254"/>
    </row>
    <row r="56" spans="1:9" ht="15" customHeight="1" x14ac:dyDescent="0.25">
      <c r="A56" s="61"/>
      <c r="B56" s="16"/>
      <c r="C56" s="16"/>
      <c r="D56" s="16"/>
      <c r="E56" s="16"/>
      <c r="F56" s="16"/>
      <c r="G56" s="16"/>
      <c r="H56" s="16"/>
      <c r="I56" s="7"/>
    </row>
    <row r="57" spans="1:9" ht="15" customHeight="1" x14ac:dyDescent="0.25">
      <c r="A57" s="255" t="s">
        <v>240</v>
      </c>
      <c r="B57" s="256"/>
      <c r="C57" s="256"/>
      <c r="D57" s="256"/>
      <c r="E57" s="256"/>
      <c r="F57" s="256"/>
      <c r="G57" s="256"/>
      <c r="H57" s="256"/>
      <c r="I57" s="2"/>
    </row>
    <row r="58" spans="1:9" s="62" customFormat="1" ht="28.5" customHeight="1" x14ac:dyDescent="0.25">
      <c r="A58" s="178"/>
      <c r="B58" s="179"/>
      <c r="C58" s="179" t="s">
        <v>30</v>
      </c>
      <c r="D58" s="179" t="s">
        <v>84</v>
      </c>
      <c r="E58" s="179" t="s">
        <v>87</v>
      </c>
      <c r="F58" s="179" t="s">
        <v>89</v>
      </c>
      <c r="G58" s="179" t="s">
        <v>31</v>
      </c>
      <c r="H58" s="180" t="s">
        <v>32</v>
      </c>
      <c r="I58" s="39"/>
    </row>
    <row r="59" spans="1:9" ht="15" customHeight="1" x14ac:dyDescent="0.25">
      <c r="A59" s="181"/>
      <c r="B59" s="182"/>
      <c r="C59" s="230">
        <f>+G38</f>
        <v>585.00055453419463</v>
      </c>
      <c r="D59" s="230">
        <f>+G29</f>
        <v>113615.7549432963</v>
      </c>
      <c r="E59" s="230">
        <f>+H53</f>
        <v>345937.74860046594</v>
      </c>
      <c r="F59" s="231">
        <f>+A59+B59+C59+D59+E59</f>
        <v>460138.50409829646</v>
      </c>
      <c r="G59" s="182">
        <f>+B15</f>
        <v>5922</v>
      </c>
      <c r="H59" s="232">
        <f>+F59/G59</f>
        <v>77.699848716362112</v>
      </c>
      <c r="I59" s="85"/>
    </row>
    <row r="60" spans="1:9" ht="15" customHeight="1" x14ac:dyDescent="0.25">
      <c r="A60" s="81"/>
      <c r="B60" s="82"/>
      <c r="C60" s="82"/>
      <c r="D60" s="82"/>
      <c r="E60" s="82"/>
      <c r="F60" s="83"/>
      <c r="G60" s="82"/>
      <c r="H60" s="84"/>
      <c r="I60" s="85"/>
    </row>
    <row r="61" spans="1:9" ht="15" customHeight="1" x14ac:dyDescent="0.25">
      <c r="A61" s="257" t="s">
        <v>241</v>
      </c>
      <c r="B61" s="258"/>
      <c r="C61" s="258"/>
      <c r="D61" s="258"/>
      <c r="E61" s="258"/>
      <c r="F61" s="258"/>
      <c r="G61" s="258"/>
      <c r="H61" s="258"/>
      <c r="I61" s="2"/>
    </row>
    <row r="62" spans="1:9" s="69" customFormat="1" ht="25.5" customHeight="1" x14ac:dyDescent="0.25">
      <c r="A62" s="173"/>
      <c r="B62" s="174"/>
      <c r="C62" s="174" t="s">
        <v>86</v>
      </c>
      <c r="D62" s="175" t="s">
        <v>85</v>
      </c>
      <c r="E62" s="174" t="s">
        <v>87</v>
      </c>
      <c r="F62" s="174" t="s">
        <v>89</v>
      </c>
      <c r="G62" s="174" t="s">
        <v>31</v>
      </c>
      <c r="H62" s="176" t="s">
        <v>32</v>
      </c>
      <c r="I62" s="177"/>
    </row>
    <row r="63" spans="1:9" ht="15" customHeight="1" x14ac:dyDescent="0.25">
      <c r="A63" s="87"/>
      <c r="B63" s="88"/>
      <c r="C63" s="224">
        <f>+C59</f>
        <v>585.00055453419463</v>
      </c>
      <c r="D63" s="224">
        <f>+D59*E20</f>
        <v>114751.91249272926</v>
      </c>
      <c r="E63" s="224">
        <f>+E59*E20</f>
        <v>349397.12608647061</v>
      </c>
      <c r="F63" s="225">
        <f>+A63+B63+C63+D63+E63</f>
        <v>464734.03913373407</v>
      </c>
      <c r="G63" s="88">
        <f>+B15</f>
        <v>5922</v>
      </c>
      <c r="H63" s="227">
        <f>+F63/G63</f>
        <v>78.475859360644051</v>
      </c>
      <c r="I63" s="42"/>
    </row>
    <row r="64" spans="1:9" ht="15" customHeight="1" x14ac:dyDescent="0.25">
      <c r="C64" s="60"/>
      <c r="D64" s="60"/>
      <c r="E64" s="60"/>
      <c r="F64" s="60"/>
    </row>
    <row r="65" spans="3:6" ht="15" customHeight="1" x14ac:dyDescent="0.25">
      <c r="C65" s="60"/>
      <c r="D65" s="60"/>
      <c r="E65" s="60"/>
      <c r="F65" s="60"/>
    </row>
    <row r="66" spans="3:6" ht="15" customHeight="1" x14ac:dyDescent="0.25">
      <c r="C66" s="49"/>
      <c r="D66" s="49"/>
      <c r="E66" s="49"/>
      <c r="F66" s="49"/>
    </row>
  </sheetData>
  <mergeCells count="16">
    <mergeCell ref="F18:G18"/>
    <mergeCell ref="A9:I9"/>
    <mergeCell ref="K9:L9"/>
    <mergeCell ref="A11:I11"/>
    <mergeCell ref="G13:H13"/>
    <mergeCell ref="F15:H15"/>
    <mergeCell ref="A40:I40"/>
    <mergeCell ref="A55:I55"/>
    <mergeCell ref="A57:H57"/>
    <mergeCell ref="A61:H61"/>
    <mergeCell ref="F19:G19"/>
    <mergeCell ref="C20:D20"/>
    <mergeCell ref="F20:G20"/>
    <mergeCell ref="F21:G21"/>
    <mergeCell ref="A22:I22"/>
    <mergeCell ref="A31:I31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L70"/>
  <sheetViews>
    <sheetView showGridLines="0" zoomScale="90" zoomScaleNormal="90" workbookViewId="0"/>
  </sheetViews>
  <sheetFormatPr defaultRowHeight="15" customHeight="1" x14ac:dyDescent="0.25"/>
  <cols>
    <col min="1" max="1" width="46.7109375" style="62" bestFit="1" customWidth="1"/>
    <col min="2" max="2" width="16.85546875" bestFit="1" customWidth="1"/>
    <col min="3" max="3" width="19.85546875" bestFit="1" customWidth="1"/>
    <col min="4" max="4" width="15.5703125" bestFit="1" customWidth="1"/>
    <col min="5" max="5" width="17.85546875" customWidth="1"/>
    <col min="6" max="6" width="19.7109375" bestFit="1" customWidth="1"/>
    <col min="7" max="7" width="21.7109375" bestFit="1" customWidth="1"/>
    <col min="8" max="8" width="15.5703125" bestFit="1" customWidth="1"/>
    <col min="9" max="9" width="10.7109375" bestFit="1" customWidth="1"/>
    <col min="11" max="11" width="26.7109375" bestFit="1" customWidth="1"/>
    <col min="12" max="12" width="23.140625" bestFit="1" customWidth="1"/>
  </cols>
  <sheetData>
    <row r="2" spans="1:12" ht="15" customHeight="1" x14ac:dyDescent="0.25">
      <c r="A2" s="62" t="s">
        <v>176</v>
      </c>
      <c r="B2" s="147">
        <f>+'Ref5_Percentile Volumes'!B8</f>
        <v>40</v>
      </c>
      <c r="D2" s="121" t="s">
        <v>140</v>
      </c>
    </row>
    <row r="3" spans="1:12" ht="15" customHeight="1" x14ac:dyDescent="0.25">
      <c r="B3" s="4"/>
      <c r="D3" s="209">
        <f>+H65</f>
        <v>78.336144866686197</v>
      </c>
    </row>
    <row r="4" spans="1:12" ht="15" customHeight="1" x14ac:dyDescent="0.25">
      <c r="A4" s="62" t="s">
        <v>126</v>
      </c>
      <c r="B4" s="70">
        <f>+'Ref5_Percentile Volumes'!C8</f>
        <v>10386</v>
      </c>
      <c r="D4" s="148" t="s">
        <v>178</v>
      </c>
    </row>
    <row r="5" spans="1:12" ht="15" customHeight="1" x14ac:dyDescent="0.25">
      <c r="B5" s="112"/>
      <c r="C5" s="112"/>
      <c r="D5" s="149">
        <f>+D3/ERD</f>
        <v>5.4277599076172667</v>
      </c>
    </row>
    <row r="6" spans="1:12" ht="15" customHeight="1" x14ac:dyDescent="0.25">
      <c r="A6" s="128"/>
      <c r="B6" s="127"/>
    </row>
    <row r="7" spans="1:12" ht="15" customHeight="1" x14ac:dyDescent="0.25">
      <c r="A7" s="128"/>
      <c r="B7" s="127"/>
    </row>
    <row r="8" spans="1:12" ht="15" customHeight="1" x14ac:dyDescent="0.25">
      <c r="A8" s="128"/>
      <c r="B8" s="127"/>
    </row>
    <row r="10" spans="1:12" ht="15" customHeight="1" x14ac:dyDescent="0.3">
      <c r="A10" s="276" t="s">
        <v>129</v>
      </c>
      <c r="B10" s="277"/>
      <c r="C10" s="277"/>
      <c r="D10" s="277"/>
      <c r="E10" s="277"/>
      <c r="F10" s="277"/>
      <c r="G10" s="277"/>
      <c r="H10" s="277"/>
      <c r="I10" s="278"/>
    </row>
    <row r="11" spans="1:12" ht="15" customHeight="1" x14ac:dyDescent="0.25">
      <c r="A11" s="63"/>
      <c r="B11" s="1"/>
      <c r="C11" s="1"/>
      <c r="D11" s="1"/>
      <c r="E11" s="1"/>
      <c r="F11" s="1"/>
      <c r="G11" s="1"/>
      <c r="H11" s="1"/>
      <c r="I11" s="2"/>
      <c r="K11" s="269" t="s">
        <v>128</v>
      </c>
      <c r="L11" s="270"/>
    </row>
    <row r="12" spans="1:12" ht="15" customHeight="1" x14ac:dyDescent="0.25">
      <c r="A12" s="249" t="s">
        <v>0</v>
      </c>
      <c r="B12" s="250"/>
      <c r="C12" s="250"/>
      <c r="D12" s="250"/>
      <c r="E12" s="250"/>
      <c r="F12" s="250"/>
      <c r="G12" s="250"/>
      <c r="H12" s="250"/>
      <c r="I12" s="251"/>
      <c r="K12" s="50"/>
      <c r="L12" s="51"/>
    </row>
    <row r="13" spans="1:12" ht="15" customHeight="1" x14ac:dyDescent="0.25">
      <c r="A13" s="61"/>
      <c r="B13" s="16"/>
      <c r="C13" s="16"/>
      <c r="D13" s="16"/>
      <c r="E13" s="16"/>
      <c r="F13" s="76"/>
      <c r="G13" s="77"/>
      <c r="H13" s="77"/>
      <c r="I13" s="78"/>
      <c r="K13" s="52" t="s">
        <v>55</v>
      </c>
      <c r="L13" s="199">
        <f>+B2</f>
        <v>40</v>
      </c>
    </row>
    <row r="14" spans="1:12" ht="15" customHeight="1" x14ac:dyDescent="0.25">
      <c r="A14" s="44"/>
      <c r="B14" s="112"/>
      <c r="C14" s="1"/>
      <c r="D14" s="1"/>
      <c r="E14" s="1"/>
      <c r="F14" s="155"/>
      <c r="G14" s="271"/>
      <c r="H14" s="271"/>
      <c r="I14" s="79"/>
      <c r="K14" s="52"/>
      <c r="L14" s="53"/>
    </row>
    <row r="15" spans="1:12" ht="15" customHeight="1" x14ac:dyDescent="0.25">
      <c r="A15" s="44"/>
      <c r="B15" s="1"/>
      <c r="C15" s="1"/>
      <c r="D15" s="1"/>
      <c r="E15" s="1"/>
      <c r="F15" s="155"/>
      <c r="G15" s="75"/>
      <c r="H15" s="75"/>
      <c r="I15" s="80"/>
      <c r="K15" s="54"/>
      <c r="L15" s="200"/>
    </row>
    <row r="16" spans="1:12" ht="15" customHeight="1" x14ac:dyDescent="0.25">
      <c r="A16" s="44" t="s">
        <v>35</v>
      </c>
      <c r="B16" s="70">
        <f>+B4</f>
        <v>10386</v>
      </c>
      <c r="C16" s="72" t="s">
        <v>236</v>
      </c>
      <c r="D16" s="1"/>
      <c r="E16" s="112"/>
      <c r="F16" s="272"/>
      <c r="G16" s="272"/>
      <c r="H16" s="272"/>
      <c r="I16" s="3"/>
      <c r="K16" s="122"/>
      <c r="L16" s="90" t="s">
        <v>56</v>
      </c>
    </row>
    <row r="17" spans="1:12" ht="15" customHeight="1" x14ac:dyDescent="0.25">
      <c r="A17" s="44" t="s">
        <v>1</v>
      </c>
      <c r="B17" s="8">
        <v>5</v>
      </c>
      <c r="C17" s="1"/>
      <c r="D17" s="1"/>
      <c r="E17" s="1"/>
      <c r="F17" s="155"/>
      <c r="G17" s="155"/>
      <c r="H17" s="155"/>
      <c r="I17" s="3"/>
      <c r="K17" s="50"/>
      <c r="L17" s="103"/>
    </row>
    <row r="18" spans="1:12" ht="15" customHeight="1" x14ac:dyDescent="0.25">
      <c r="A18" s="44" t="s">
        <v>2</v>
      </c>
      <c r="B18" s="9">
        <v>0.04</v>
      </c>
      <c r="C18" s="1"/>
      <c r="D18" s="1"/>
      <c r="E18" s="1"/>
      <c r="F18" s="155"/>
      <c r="G18" s="155"/>
      <c r="H18" s="155"/>
      <c r="I18" s="3"/>
      <c r="K18" s="52" t="s">
        <v>59</v>
      </c>
      <c r="L18" s="129">
        <v>2</v>
      </c>
    </row>
    <row r="19" spans="1:12" ht="15" customHeight="1" x14ac:dyDescent="0.25">
      <c r="A19" s="44"/>
      <c r="B19" s="1"/>
      <c r="C19" s="1"/>
      <c r="D19" s="46"/>
      <c r="E19" s="71"/>
      <c r="F19" s="264" t="s">
        <v>3</v>
      </c>
      <c r="G19" s="265"/>
      <c r="H19" s="120" t="s">
        <v>116</v>
      </c>
      <c r="I19" s="10"/>
      <c r="K19" s="55" t="s">
        <v>60</v>
      </c>
      <c r="L19" s="129">
        <v>5.8333333333333339</v>
      </c>
    </row>
    <row r="20" spans="1:12" ht="15" customHeight="1" x14ac:dyDescent="0.25">
      <c r="A20" s="44" t="s">
        <v>4</v>
      </c>
      <c r="B20" s="1"/>
      <c r="C20" s="1"/>
      <c r="D20" s="1"/>
      <c r="E20" s="1"/>
      <c r="F20" s="259" t="s">
        <v>88</v>
      </c>
      <c r="G20" s="260"/>
      <c r="H20" s="94">
        <v>12</v>
      </c>
      <c r="I20" s="11"/>
      <c r="K20" s="55" t="s">
        <v>92</v>
      </c>
      <c r="L20" s="129">
        <v>2</v>
      </c>
    </row>
    <row r="21" spans="1:12" ht="15" customHeight="1" x14ac:dyDescent="0.25">
      <c r="A21" s="44" t="s">
        <v>5</v>
      </c>
      <c r="B21" s="1"/>
      <c r="C21" s="261" t="s">
        <v>6</v>
      </c>
      <c r="D21" s="261"/>
      <c r="E21" s="1">
        <v>1.01</v>
      </c>
      <c r="F21" s="259"/>
      <c r="G21" s="260"/>
      <c r="H21" s="12"/>
      <c r="I21" s="11"/>
      <c r="K21" s="52" t="s">
        <v>93</v>
      </c>
      <c r="L21" s="129">
        <v>0.83333333333333348</v>
      </c>
    </row>
    <row r="22" spans="1:12" ht="15" customHeight="1" x14ac:dyDescent="0.25">
      <c r="A22" s="64"/>
      <c r="B22" s="13"/>
      <c r="C22" s="13"/>
      <c r="D22" s="13"/>
      <c r="E22" s="13"/>
      <c r="F22" s="262"/>
      <c r="G22" s="263"/>
      <c r="H22" s="14"/>
      <c r="I22" s="15"/>
      <c r="K22" s="55" t="s">
        <v>94</v>
      </c>
      <c r="L22" s="129">
        <v>2.0833333333333335</v>
      </c>
    </row>
    <row r="23" spans="1:12" ht="15" customHeight="1" x14ac:dyDescent="0.25">
      <c r="A23" s="273" t="s">
        <v>7</v>
      </c>
      <c r="B23" s="274"/>
      <c r="C23" s="274"/>
      <c r="D23" s="274"/>
      <c r="E23" s="274"/>
      <c r="F23" s="274"/>
      <c r="G23" s="274"/>
      <c r="H23" s="274"/>
      <c r="I23" s="275"/>
      <c r="K23" s="52" t="s">
        <v>95</v>
      </c>
      <c r="L23" s="129">
        <v>15</v>
      </c>
    </row>
    <row r="24" spans="1:12" ht="15" customHeight="1" x14ac:dyDescent="0.25">
      <c r="A24" s="61"/>
      <c r="B24" s="16"/>
      <c r="C24" s="16"/>
      <c r="D24" s="16"/>
      <c r="E24" s="16"/>
      <c r="F24" s="16"/>
      <c r="G24" s="16"/>
      <c r="H24" s="16"/>
      <c r="I24" s="7"/>
      <c r="K24" s="52" t="s">
        <v>96</v>
      </c>
      <c r="L24" s="129">
        <v>5</v>
      </c>
    </row>
    <row r="25" spans="1:12" s="62" customFormat="1" ht="30.75" customHeight="1" x14ac:dyDescent="0.25">
      <c r="A25" s="102" t="s">
        <v>8</v>
      </c>
      <c r="B25" s="102" t="s">
        <v>9</v>
      </c>
      <c r="C25" s="102" t="s">
        <v>10</v>
      </c>
      <c r="D25" s="102" t="s">
        <v>75</v>
      </c>
      <c r="E25" s="102" t="s">
        <v>11</v>
      </c>
      <c r="F25" s="102" t="s">
        <v>12</v>
      </c>
      <c r="G25" s="102" t="s">
        <v>75</v>
      </c>
      <c r="H25" s="102" t="s">
        <v>13</v>
      </c>
      <c r="I25" s="19"/>
      <c r="K25" s="52" t="s">
        <v>97</v>
      </c>
      <c r="L25" s="129">
        <v>4.166666666666667</v>
      </c>
    </row>
    <row r="26" spans="1:12" ht="15" customHeight="1" x14ac:dyDescent="0.25">
      <c r="A26" s="18" t="s">
        <v>76</v>
      </c>
      <c r="B26" s="18">
        <v>1</v>
      </c>
      <c r="C26" s="18" t="s">
        <v>14</v>
      </c>
      <c r="D26" s="210">
        <f>+Ref3_CTC!B3</f>
        <v>417172.21572000004</v>
      </c>
      <c r="E26" s="211">
        <f t="shared" ref="E26:E27" si="0">+D26*B26</f>
        <v>417172.21572000004</v>
      </c>
      <c r="F26" s="89">
        <f>+L39</f>
        <v>0.1627572016460905</v>
      </c>
      <c r="G26" s="215">
        <f t="shared" ref="G26:G27" si="1">+E26*F26</f>
        <v>67897.78243508641</v>
      </c>
      <c r="H26" s="20" t="s">
        <v>237</v>
      </c>
      <c r="I26" s="21" t="s">
        <v>15</v>
      </c>
      <c r="K26" s="52" t="s">
        <v>98</v>
      </c>
      <c r="L26" s="129">
        <v>2</v>
      </c>
    </row>
    <row r="27" spans="1:12" ht="15" customHeight="1" x14ac:dyDescent="0.25">
      <c r="A27" s="18" t="s">
        <v>77</v>
      </c>
      <c r="B27" s="18">
        <v>1</v>
      </c>
      <c r="C27" s="18" t="s">
        <v>17</v>
      </c>
      <c r="D27" s="210">
        <f>+Ref3_CTC!B4</f>
        <v>656827.16</v>
      </c>
      <c r="E27" s="211">
        <f t="shared" si="0"/>
        <v>656827.16</v>
      </c>
      <c r="F27" s="89">
        <f>+L44</f>
        <v>9.8765432098765427E-2</v>
      </c>
      <c r="G27" s="215">
        <f t="shared" si="1"/>
        <v>64871.818271604941</v>
      </c>
      <c r="H27" s="20" t="s">
        <v>237</v>
      </c>
      <c r="I27" s="21" t="s">
        <v>15</v>
      </c>
      <c r="K27" s="52" t="s">
        <v>99</v>
      </c>
      <c r="L27" s="129">
        <v>15</v>
      </c>
    </row>
    <row r="28" spans="1:12" ht="15" customHeight="1" x14ac:dyDescent="0.25">
      <c r="A28" s="18"/>
      <c r="B28" s="18"/>
      <c r="C28" s="18"/>
      <c r="D28" s="212"/>
      <c r="E28" s="212"/>
      <c r="F28" s="4"/>
      <c r="G28" s="216"/>
      <c r="H28" s="4"/>
      <c r="I28" s="2"/>
      <c r="K28" s="52" t="s">
        <v>100</v>
      </c>
      <c r="L28" s="129">
        <v>2</v>
      </c>
    </row>
    <row r="29" spans="1:12" ht="15" customHeight="1" x14ac:dyDescent="0.25">
      <c r="A29" s="18"/>
      <c r="B29" s="18"/>
      <c r="C29" s="18"/>
      <c r="D29" s="212"/>
      <c r="E29" s="212"/>
      <c r="F29" s="4"/>
      <c r="G29" s="216"/>
      <c r="H29" s="4"/>
      <c r="I29" s="2"/>
      <c r="K29" s="52" t="s">
        <v>101</v>
      </c>
      <c r="L29" s="129">
        <v>10</v>
      </c>
    </row>
    <row r="30" spans="1:12" ht="15" customHeight="1" x14ac:dyDescent="0.25">
      <c r="A30" s="65" t="s">
        <v>18</v>
      </c>
      <c r="B30" s="23"/>
      <c r="C30" s="24"/>
      <c r="D30" s="213"/>
      <c r="E30" s="214">
        <f>SUM(E26:E29)</f>
        <v>1073999.3757200001</v>
      </c>
      <c r="F30" s="25">
        <f>SUM(F26:F29)</f>
        <v>0.26152263374485596</v>
      </c>
      <c r="G30" s="214">
        <f>SUM(G26:G29)</f>
        <v>132769.60070669136</v>
      </c>
      <c r="H30" s="4"/>
      <c r="I30" s="2"/>
      <c r="K30" s="52"/>
      <c r="L30" s="53"/>
    </row>
    <row r="31" spans="1:12" ht="15" customHeight="1" x14ac:dyDescent="0.25">
      <c r="A31" s="44"/>
      <c r="B31" s="1"/>
      <c r="C31" s="1"/>
      <c r="D31" s="1"/>
      <c r="E31" s="1"/>
      <c r="F31" s="1"/>
      <c r="G31" s="1"/>
      <c r="H31" s="1"/>
      <c r="I31" s="2"/>
      <c r="K31" s="56" t="s">
        <v>36</v>
      </c>
      <c r="L31" s="57">
        <f>SUM(L17:L29)</f>
        <v>65.916666666666657</v>
      </c>
    </row>
    <row r="32" spans="1:12" ht="15" customHeight="1" x14ac:dyDescent="0.25">
      <c r="A32" s="273" t="s">
        <v>19</v>
      </c>
      <c r="B32" s="274"/>
      <c r="C32" s="274"/>
      <c r="D32" s="274"/>
      <c r="E32" s="274"/>
      <c r="F32" s="274"/>
      <c r="G32" s="274"/>
      <c r="H32" s="274"/>
      <c r="I32" s="275"/>
      <c r="K32" s="58" t="s">
        <v>37</v>
      </c>
      <c r="L32" s="59">
        <f>+L31/60</f>
        <v>1.098611111111111</v>
      </c>
    </row>
    <row r="33" spans="1:12" ht="15" customHeight="1" x14ac:dyDescent="0.25">
      <c r="A33" s="61"/>
      <c r="B33" s="16"/>
      <c r="C33" s="16"/>
      <c r="D33" s="16"/>
      <c r="E33" s="16"/>
      <c r="F33" s="16"/>
      <c r="G33" s="16"/>
      <c r="H33" s="16"/>
      <c r="I33" s="7"/>
      <c r="K33" s="43"/>
      <c r="L33" s="43"/>
    </row>
    <row r="34" spans="1:12" s="62" customFormat="1" ht="28.5" customHeight="1" x14ac:dyDescent="0.25">
      <c r="A34" s="102" t="s">
        <v>20</v>
      </c>
      <c r="B34" s="102" t="s">
        <v>21</v>
      </c>
      <c r="C34" s="102" t="s">
        <v>22</v>
      </c>
      <c r="D34" s="102" t="s">
        <v>23</v>
      </c>
      <c r="E34" s="102" t="s">
        <v>1</v>
      </c>
      <c r="F34" s="102" t="s">
        <v>2</v>
      </c>
      <c r="G34" s="102" t="s">
        <v>78</v>
      </c>
      <c r="H34" s="102" t="s">
        <v>13</v>
      </c>
      <c r="I34" s="19"/>
      <c r="K34" s="50" t="s">
        <v>70</v>
      </c>
      <c r="L34" s="51">
        <f>8*60</f>
        <v>480</v>
      </c>
    </row>
    <row r="35" spans="1:12" ht="17.25" customHeight="1" x14ac:dyDescent="0.25">
      <c r="A35" s="37" t="s">
        <v>103</v>
      </c>
      <c r="B35" s="4">
        <v>1</v>
      </c>
      <c r="C35" s="215">
        <v>440028.6</v>
      </c>
      <c r="D35" s="217">
        <f>SUM(B35*C35)</f>
        <v>440028.6</v>
      </c>
      <c r="E35" s="27">
        <f>+$B$17</f>
        <v>5</v>
      </c>
      <c r="F35" s="28">
        <f>+$B$18</f>
        <v>0.04</v>
      </c>
      <c r="G35" s="218">
        <f>-PMT(F35/12,E35,D35,0,1)</f>
        <v>88592.42154922073</v>
      </c>
      <c r="H35" s="20" t="s">
        <v>238</v>
      </c>
      <c r="I35" s="21" t="s">
        <v>15</v>
      </c>
      <c r="K35" s="52" t="s">
        <v>82</v>
      </c>
      <c r="L35" s="53">
        <f>+L34-75</f>
        <v>405</v>
      </c>
    </row>
    <row r="36" spans="1:12" ht="15" customHeight="1" x14ac:dyDescent="0.25">
      <c r="A36" s="37" t="s">
        <v>114</v>
      </c>
      <c r="B36" s="4">
        <v>1</v>
      </c>
      <c r="C36" s="215">
        <v>11055.264000000001</v>
      </c>
      <c r="D36" s="217">
        <f>SUM(B36*C36)</f>
        <v>11055.264000000001</v>
      </c>
      <c r="E36" s="27">
        <v>1</v>
      </c>
      <c r="F36" s="28">
        <f>+F35</f>
        <v>0.04</v>
      </c>
      <c r="G36" s="218">
        <f>-PMT(F36/12,E36,D36,0,1)</f>
        <v>11055.263999999999</v>
      </c>
      <c r="H36" s="20" t="s">
        <v>238</v>
      </c>
      <c r="I36" s="21" t="s">
        <v>15</v>
      </c>
      <c r="K36" s="52"/>
      <c r="L36" s="53"/>
    </row>
    <row r="37" spans="1:12" ht="15" customHeight="1" x14ac:dyDescent="0.25">
      <c r="A37" s="4"/>
      <c r="B37" s="4"/>
      <c r="C37" s="5"/>
      <c r="D37" s="26"/>
      <c r="E37" s="27"/>
      <c r="F37" s="28"/>
      <c r="G37" s="29"/>
      <c r="H37" s="20"/>
      <c r="I37" s="21"/>
      <c r="K37" s="52" t="s">
        <v>102</v>
      </c>
      <c r="L37" s="68">
        <f>+L31</f>
        <v>65.916666666666657</v>
      </c>
    </row>
    <row r="38" spans="1:12" ht="15" customHeight="1" x14ac:dyDescent="0.25">
      <c r="A38" s="104"/>
      <c r="B38" s="4"/>
      <c r="C38" s="5"/>
      <c r="D38" s="26"/>
      <c r="E38" s="27"/>
      <c r="F38" s="28"/>
      <c r="G38" s="29"/>
      <c r="H38" s="20"/>
      <c r="I38" s="21"/>
      <c r="K38" s="52"/>
      <c r="L38" s="53"/>
    </row>
    <row r="39" spans="1:12" ht="15" customHeight="1" x14ac:dyDescent="0.25">
      <c r="A39" s="104"/>
      <c r="B39" s="4"/>
      <c r="C39" s="5"/>
      <c r="D39" s="26"/>
      <c r="E39" s="27"/>
      <c r="F39" s="28"/>
      <c r="G39" s="29"/>
      <c r="H39" s="20"/>
      <c r="I39" s="21"/>
      <c r="K39" s="54" t="s">
        <v>71</v>
      </c>
      <c r="L39" s="201">
        <f>+L37/L35</f>
        <v>0.1627572016460905</v>
      </c>
    </row>
    <row r="40" spans="1:12" ht="15" customHeight="1" x14ac:dyDescent="0.25">
      <c r="A40" s="37"/>
      <c r="B40" s="4"/>
      <c r="C40" s="5"/>
      <c r="D40" s="26"/>
      <c r="E40" s="27"/>
      <c r="F40" s="28"/>
      <c r="G40" s="29"/>
      <c r="H40" s="20"/>
      <c r="I40" s="21"/>
    </row>
    <row r="41" spans="1:12" ht="15" customHeight="1" x14ac:dyDescent="0.25">
      <c r="A41" s="202" t="s">
        <v>18</v>
      </c>
      <c r="B41" s="203">
        <f>SUM(B35:B36)</f>
        <v>2</v>
      </c>
      <c r="C41" s="219">
        <f>SUM(C35:C40)</f>
        <v>451083.864</v>
      </c>
      <c r="D41" s="219">
        <f>SUM(D35:D40)</f>
        <v>451083.864</v>
      </c>
      <c r="E41" s="204"/>
      <c r="F41" s="205"/>
      <c r="G41" s="219">
        <f>SUM(G35:G40)</f>
        <v>99647.685549220725</v>
      </c>
      <c r="H41" s="206"/>
      <c r="I41" s="31"/>
      <c r="K41" s="193"/>
      <c r="L41" s="196" t="s">
        <v>130</v>
      </c>
    </row>
    <row r="42" spans="1:12" ht="15" customHeight="1" x14ac:dyDescent="0.25">
      <c r="A42" s="66"/>
      <c r="B42" s="32"/>
      <c r="C42" s="33"/>
      <c r="D42" s="33"/>
      <c r="E42" s="34"/>
      <c r="F42" s="35"/>
      <c r="G42" s="33"/>
      <c r="H42" s="36"/>
      <c r="I42" s="31"/>
      <c r="K42" s="197" t="s">
        <v>246</v>
      </c>
      <c r="L42" s="198">
        <f>1*L13</f>
        <v>40</v>
      </c>
    </row>
    <row r="43" spans="1:12" ht="15" customHeight="1" x14ac:dyDescent="0.25">
      <c r="A43" s="273" t="s">
        <v>24</v>
      </c>
      <c r="B43" s="274"/>
      <c r="C43" s="274"/>
      <c r="D43" s="274"/>
      <c r="E43" s="274"/>
      <c r="F43" s="274"/>
      <c r="G43" s="274"/>
      <c r="H43" s="274"/>
      <c r="I43" s="275"/>
    </row>
    <row r="44" spans="1:12" ht="15" customHeight="1" x14ac:dyDescent="0.25">
      <c r="A44" s="61"/>
      <c r="B44" s="16"/>
      <c r="C44" s="16"/>
      <c r="D44" s="16"/>
      <c r="E44" s="16"/>
      <c r="F44" s="16"/>
      <c r="G44" s="16"/>
      <c r="H44" s="7"/>
      <c r="I44" s="7"/>
      <c r="K44" s="118" t="s">
        <v>71</v>
      </c>
      <c r="L44" s="119">
        <f>+L42/L35</f>
        <v>9.8765432098765427E-2</v>
      </c>
    </row>
    <row r="45" spans="1:12" ht="30.75" customHeight="1" x14ac:dyDescent="0.25">
      <c r="A45" s="102" t="s">
        <v>25</v>
      </c>
      <c r="B45" s="102" t="s">
        <v>26</v>
      </c>
      <c r="C45" s="102" t="s">
        <v>11</v>
      </c>
      <c r="D45" s="102" t="s">
        <v>27</v>
      </c>
      <c r="E45" s="102" t="s">
        <v>28</v>
      </c>
      <c r="F45" s="102" t="s">
        <v>29</v>
      </c>
      <c r="G45" s="102" t="s">
        <v>81</v>
      </c>
      <c r="H45" s="102" t="s">
        <v>79</v>
      </c>
      <c r="I45" s="102" t="s">
        <v>13</v>
      </c>
    </row>
    <row r="46" spans="1:12" ht="15" customHeight="1" x14ac:dyDescent="0.25">
      <c r="A46" s="37" t="s">
        <v>90</v>
      </c>
      <c r="B46" s="37">
        <v>192</v>
      </c>
      <c r="C46" s="220">
        <v>10257.434999999999</v>
      </c>
      <c r="D46" s="220">
        <f t="shared" ref="D46:D53" si="2">+C46/B46</f>
        <v>53.424140625</v>
      </c>
      <c r="E46" s="4">
        <v>1</v>
      </c>
      <c r="F46" s="215">
        <f t="shared" ref="F46:F53" si="3">+D46*E46</f>
        <v>53.424140625</v>
      </c>
      <c r="G46" s="74">
        <f>+$B$16</f>
        <v>10386</v>
      </c>
      <c r="H46" s="221">
        <f t="shared" ref="H46:H53" si="4">+F46*G46</f>
        <v>554863.12453124998</v>
      </c>
      <c r="I46" s="20" t="s">
        <v>238</v>
      </c>
    </row>
    <row r="47" spans="1:12" ht="15" customHeight="1" x14ac:dyDescent="0.25">
      <c r="A47" s="37" t="s">
        <v>42</v>
      </c>
      <c r="B47" s="37">
        <v>100</v>
      </c>
      <c r="C47" s="220">
        <v>74.099999999999994</v>
      </c>
      <c r="D47" s="220">
        <f t="shared" si="2"/>
        <v>0.74099999999999999</v>
      </c>
      <c r="E47" s="22">
        <v>1.0416666666666666E-2</v>
      </c>
      <c r="F47" s="215">
        <f t="shared" si="3"/>
        <v>7.7187499999999999E-3</v>
      </c>
      <c r="G47" s="74">
        <f t="shared" ref="G47:G53" si="5">+$B$16</f>
        <v>10386</v>
      </c>
      <c r="H47" s="221">
        <f t="shared" si="4"/>
        <v>80.166937500000003</v>
      </c>
      <c r="I47" s="20" t="s">
        <v>41</v>
      </c>
    </row>
    <row r="48" spans="1:12" ht="15" customHeight="1" x14ac:dyDescent="0.25">
      <c r="A48" s="37" t="s">
        <v>40</v>
      </c>
      <c r="B48" s="37">
        <v>1000</v>
      </c>
      <c r="C48" s="220">
        <v>1325.6717999999998</v>
      </c>
      <c r="D48" s="220">
        <f t="shared" si="2"/>
        <v>1.3256717999999998</v>
      </c>
      <c r="E48" s="22">
        <v>1</v>
      </c>
      <c r="F48" s="215">
        <f t="shared" si="3"/>
        <v>1.3256717999999998</v>
      </c>
      <c r="G48" s="74">
        <f t="shared" si="5"/>
        <v>10386</v>
      </c>
      <c r="H48" s="221">
        <f t="shared" si="4"/>
        <v>13768.427314799999</v>
      </c>
      <c r="I48" s="20" t="s">
        <v>39</v>
      </c>
    </row>
    <row r="49" spans="1:12" ht="15" customHeight="1" x14ac:dyDescent="0.25">
      <c r="A49" s="37" t="s">
        <v>50</v>
      </c>
      <c r="B49" s="37">
        <v>500</v>
      </c>
      <c r="C49" s="220">
        <v>52.063800000000001</v>
      </c>
      <c r="D49" s="220">
        <f t="shared" si="2"/>
        <v>0.1041276</v>
      </c>
      <c r="E49" s="22">
        <v>2.0833333333333332E-2</v>
      </c>
      <c r="F49" s="215">
        <f t="shared" si="3"/>
        <v>2.1693249999999997E-3</v>
      </c>
      <c r="G49" s="74">
        <f t="shared" si="5"/>
        <v>10386</v>
      </c>
      <c r="H49" s="221">
        <f t="shared" si="4"/>
        <v>22.530609449999996</v>
      </c>
      <c r="I49" s="20" t="s">
        <v>49</v>
      </c>
    </row>
    <row r="50" spans="1:12" ht="15" customHeight="1" x14ac:dyDescent="0.25">
      <c r="A50" s="37" t="s">
        <v>45</v>
      </c>
      <c r="B50" s="37">
        <v>1</v>
      </c>
      <c r="C50" s="220">
        <v>315.66599999999994</v>
      </c>
      <c r="D50" s="220">
        <f t="shared" si="2"/>
        <v>315.66599999999994</v>
      </c>
      <c r="E50" s="22">
        <v>1.1086474501108647E-3</v>
      </c>
      <c r="F50" s="215">
        <f t="shared" si="3"/>
        <v>0.34996230598669614</v>
      </c>
      <c r="G50" s="74">
        <f t="shared" si="5"/>
        <v>10386</v>
      </c>
      <c r="H50" s="221">
        <f t="shared" si="4"/>
        <v>3634.708509977826</v>
      </c>
      <c r="I50" s="20" t="s">
        <v>44</v>
      </c>
    </row>
    <row r="51" spans="1:12" ht="15" customHeight="1" x14ac:dyDescent="0.25">
      <c r="A51" s="37" t="s">
        <v>43</v>
      </c>
      <c r="B51" s="37">
        <v>1</v>
      </c>
      <c r="C51" s="220">
        <v>87.893999999999991</v>
      </c>
      <c r="D51" s="220">
        <f t="shared" si="2"/>
        <v>87.893999999999991</v>
      </c>
      <c r="E51" s="22">
        <v>1.1086474501108647E-3</v>
      </c>
      <c r="F51" s="215">
        <f t="shared" si="3"/>
        <v>9.7443458980044334E-2</v>
      </c>
      <c r="G51" s="74">
        <f t="shared" si="5"/>
        <v>10386</v>
      </c>
      <c r="H51" s="221">
        <f t="shared" si="4"/>
        <v>1012.0477649667405</v>
      </c>
      <c r="I51" s="20" t="s">
        <v>46</v>
      </c>
    </row>
    <row r="52" spans="1:12" ht="15" customHeight="1" x14ac:dyDescent="0.25">
      <c r="A52" s="37" t="s">
        <v>118</v>
      </c>
      <c r="B52" s="74">
        <v>10386</v>
      </c>
      <c r="C52" s="220">
        <v>205.2</v>
      </c>
      <c r="D52" s="220">
        <f t="shared" si="2"/>
        <v>1.9757365684575388E-2</v>
      </c>
      <c r="E52" s="115">
        <v>1</v>
      </c>
      <c r="F52" s="215">
        <f t="shared" si="3"/>
        <v>1.9757365684575388E-2</v>
      </c>
      <c r="G52" s="74">
        <f t="shared" si="5"/>
        <v>10386</v>
      </c>
      <c r="H52" s="221">
        <f t="shared" si="4"/>
        <v>205.2</v>
      </c>
      <c r="I52" s="20" t="s">
        <v>238</v>
      </c>
    </row>
    <row r="53" spans="1:12" ht="15" customHeight="1" x14ac:dyDescent="0.25">
      <c r="A53" s="37" t="s">
        <v>119</v>
      </c>
      <c r="B53" s="37">
        <v>3200</v>
      </c>
      <c r="C53" s="220">
        <v>162.33600000000001</v>
      </c>
      <c r="D53" s="220">
        <f t="shared" si="2"/>
        <v>5.0730000000000004E-2</v>
      </c>
      <c r="E53" s="22">
        <v>1</v>
      </c>
      <c r="F53" s="215">
        <f t="shared" si="3"/>
        <v>5.0730000000000004E-2</v>
      </c>
      <c r="G53" s="74">
        <f t="shared" si="5"/>
        <v>10386</v>
      </c>
      <c r="H53" s="221">
        <f t="shared" si="4"/>
        <v>526.88178000000005</v>
      </c>
      <c r="I53" s="20" t="s">
        <v>91</v>
      </c>
    </row>
    <row r="54" spans="1:12" ht="15" customHeight="1" x14ac:dyDescent="0.25">
      <c r="A54" s="37"/>
      <c r="B54" s="37"/>
      <c r="C54" s="37"/>
      <c r="D54" s="38"/>
      <c r="E54" s="4"/>
      <c r="F54" s="215"/>
      <c r="G54" s="37"/>
      <c r="H54" s="221"/>
      <c r="I54" s="20"/>
    </row>
    <row r="55" spans="1:12" ht="15" customHeight="1" x14ac:dyDescent="0.25">
      <c r="A55" s="202" t="s">
        <v>18</v>
      </c>
      <c r="B55" s="202"/>
      <c r="C55" s="202"/>
      <c r="D55" s="207"/>
      <c r="E55" s="203"/>
      <c r="F55" s="219">
        <f>SUM(F46:F54)</f>
        <v>55.277593630651317</v>
      </c>
      <c r="G55" s="202"/>
      <c r="H55" s="219">
        <f>SUM(H46:H54)</f>
        <v>574113.08744794445</v>
      </c>
      <c r="I55" s="208"/>
    </row>
    <row r="56" spans="1:12" ht="15" customHeight="1" x14ac:dyDescent="0.25">
      <c r="A56" s="44"/>
      <c r="B56" s="17"/>
      <c r="C56" s="17"/>
      <c r="D56" s="45"/>
      <c r="E56" s="1"/>
      <c r="F56" s="46"/>
      <c r="G56" s="17"/>
      <c r="I56" s="30"/>
    </row>
    <row r="57" spans="1:12" ht="15" customHeight="1" x14ac:dyDescent="0.25">
      <c r="A57" s="273" t="s">
        <v>80</v>
      </c>
      <c r="B57" s="274"/>
      <c r="C57" s="274"/>
      <c r="D57" s="274"/>
      <c r="E57" s="274"/>
      <c r="F57" s="274"/>
      <c r="G57" s="274"/>
      <c r="H57" s="274"/>
      <c r="I57" s="275"/>
    </row>
    <row r="58" spans="1:12" ht="15" customHeight="1" x14ac:dyDescent="0.25">
      <c r="A58" s="61"/>
      <c r="B58" s="16"/>
      <c r="C58" s="16"/>
      <c r="D58" s="16"/>
      <c r="E58" s="16"/>
      <c r="F58" s="16"/>
      <c r="G58" s="16"/>
      <c r="H58" s="16"/>
      <c r="I58" s="6"/>
    </row>
    <row r="59" spans="1:12" ht="15" customHeight="1" x14ac:dyDescent="0.25">
      <c r="A59" s="255" t="s">
        <v>240</v>
      </c>
      <c r="B59" s="256"/>
      <c r="C59" s="256"/>
      <c r="D59" s="256"/>
      <c r="E59" s="256"/>
      <c r="F59" s="256"/>
      <c r="G59" s="256"/>
      <c r="H59" s="256"/>
      <c r="I59" s="8"/>
    </row>
    <row r="60" spans="1:12" s="62" customFormat="1" ht="28.5" customHeight="1" x14ac:dyDescent="0.25">
      <c r="A60" s="95"/>
      <c r="B60" s="96"/>
      <c r="C60" s="96" t="s">
        <v>30</v>
      </c>
      <c r="D60" s="96" t="s">
        <v>84</v>
      </c>
      <c r="E60" s="96" t="s">
        <v>87</v>
      </c>
      <c r="F60" s="96" t="s">
        <v>89</v>
      </c>
      <c r="G60" s="96" t="s">
        <v>31</v>
      </c>
      <c r="H60" s="97" t="s">
        <v>32</v>
      </c>
      <c r="I60" s="39"/>
      <c r="K60"/>
      <c r="L60"/>
    </row>
    <row r="61" spans="1:12" ht="15" customHeight="1" x14ac:dyDescent="0.25">
      <c r="A61" s="67"/>
      <c r="B61" s="40"/>
      <c r="C61" s="222">
        <f>+G41</f>
        <v>99647.685549220725</v>
      </c>
      <c r="D61" s="222">
        <f>+G30</f>
        <v>132769.60070669136</v>
      </c>
      <c r="E61" s="222">
        <f>+H55</f>
        <v>574113.08744794445</v>
      </c>
      <c r="F61" s="223">
        <f>+A61+B61+C61+D61+E61</f>
        <v>806530.37370385649</v>
      </c>
      <c r="G61" s="40">
        <f>+B16</f>
        <v>10386</v>
      </c>
      <c r="H61" s="226">
        <f>+F61/G61</f>
        <v>77.655533766980213</v>
      </c>
      <c r="I61" s="41"/>
    </row>
    <row r="62" spans="1:12" ht="15" customHeight="1" x14ac:dyDescent="0.25">
      <c r="A62" s="81"/>
      <c r="B62" s="82"/>
      <c r="C62" s="82"/>
      <c r="D62" s="82"/>
      <c r="E62" s="82"/>
      <c r="F62" s="83"/>
      <c r="G62" s="82"/>
      <c r="H62" s="84"/>
      <c r="I62" s="85"/>
      <c r="K62" s="62"/>
      <c r="L62" s="62"/>
    </row>
    <row r="63" spans="1:12" ht="15" customHeight="1" x14ac:dyDescent="0.25">
      <c r="A63" s="257" t="s">
        <v>241</v>
      </c>
      <c r="B63" s="258"/>
      <c r="C63" s="258"/>
      <c r="D63" s="258"/>
      <c r="E63" s="258"/>
      <c r="F63" s="258"/>
      <c r="G63" s="258"/>
      <c r="H63" s="258"/>
      <c r="I63" s="2"/>
    </row>
    <row r="64" spans="1:12" s="69" customFormat="1" ht="25.5" customHeight="1" x14ac:dyDescent="0.25">
      <c r="A64" s="98"/>
      <c r="B64" s="99"/>
      <c r="C64" s="99" t="s">
        <v>86</v>
      </c>
      <c r="D64" s="100" t="s">
        <v>85</v>
      </c>
      <c r="E64" s="99" t="s">
        <v>87</v>
      </c>
      <c r="F64" s="99" t="s">
        <v>89</v>
      </c>
      <c r="G64" s="99" t="s">
        <v>31</v>
      </c>
      <c r="H64" s="101" t="s">
        <v>32</v>
      </c>
      <c r="I64" s="93"/>
      <c r="K64"/>
      <c r="L64"/>
    </row>
    <row r="65" spans="1:12" ht="15" customHeight="1" x14ac:dyDescent="0.25">
      <c r="A65" s="87"/>
      <c r="B65" s="88"/>
      <c r="C65" s="224">
        <f>+C61</f>
        <v>99647.685549220725</v>
      </c>
      <c r="D65" s="224">
        <f>+D61*E21</f>
        <v>134097.29671375826</v>
      </c>
      <c r="E65" s="224">
        <f>+E61*E21</f>
        <v>579854.21832242387</v>
      </c>
      <c r="F65" s="225">
        <f>+A65+B65+C65+D65+E65</f>
        <v>813599.20058540278</v>
      </c>
      <c r="G65" s="88">
        <f>+B16</f>
        <v>10386</v>
      </c>
      <c r="H65" s="227">
        <f>+F65/G65</f>
        <v>78.336144866686197</v>
      </c>
      <c r="I65" s="42"/>
    </row>
    <row r="66" spans="1:12" ht="15" customHeight="1" x14ac:dyDescent="0.25">
      <c r="C66" s="60"/>
      <c r="D66" s="60"/>
      <c r="E66" s="60"/>
      <c r="F66" s="60"/>
      <c r="K66" s="69"/>
      <c r="L66" s="69"/>
    </row>
    <row r="67" spans="1:12" ht="15" customHeight="1" x14ac:dyDescent="0.25">
      <c r="C67" s="60"/>
      <c r="D67" s="60"/>
      <c r="E67" s="60"/>
      <c r="F67" s="60"/>
    </row>
    <row r="68" spans="1:12" ht="15" customHeight="1" x14ac:dyDescent="0.25">
      <c r="C68" s="91"/>
      <c r="D68" s="91"/>
      <c r="E68" s="91"/>
      <c r="F68" s="91"/>
    </row>
    <row r="69" spans="1:12" ht="15" customHeight="1" x14ac:dyDescent="0.25">
      <c r="D69" s="151"/>
      <c r="E69" s="151"/>
    </row>
    <row r="70" spans="1:12" ht="15" customHeight="1" x14ac:dyDescent="0.25">
      <c r="D70" s="151"/>
      <c r="E70" s="151"/>
    </row>
  </sheetData>
  <mergeCells count="16">
    <mergeCell ref="F19:G19"/>
    <mergeCell ref="A10:I10"/>
    <mergeCell ref="K11:L11"/>
    <mergeCell ref="A12:I12"/>
    <mergeCell ref="G14:H14"/>
    <mergeCell ref="F16:H16"/>
    <mergeCell ref="A43:I43"/>
    <mergeCell ref="A57:I57"/>
    <mergeCell ref="A59:H59"/>
    <mergeCell ref="A63:H63"/>
    <mergeCell ref="F20:G20"/>
    <mergeCell ref="C21:D21"/>
    <mergeCell ref="F21:G21"/>
    <mergeCell ref="F22:G22"/>
    <mergeCell ref="A23:I23"/>
    <mergeCell ref="A32:I32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GridLines="0" zoomScale="106" zoomScaleNormal="106" workbookViewId="0">
      <pane ySplit="3" topLeftCell="A4" activePane="bottomLeft" state="frozen"/>
      <selection activeCell="B1" sqref="B1"/>
      <selection pane="bottomLeft" activeCell="G4" sqref="G4"/>
    </sheetView>
  </sheetViews>
  <sheetFormatPr defaultColWidth="9" defaultRowHeight="15" x14ac:dyDescent="0.25"/>
  <cols>
    <col min="1" max="1" width="2.7109375" style="105" bestFit="1" customWidth="1"/>
    <col min="2" max="2" width="11.28515625" style="105" bestFit="1" customWidth="1"/>
    <col min="3" max="3" width="14.85546875" style="105" bestFit="1" customWidth="1"/>
    <col min="4" max="4" width="14.85546875" style="105" customWidth="1"/>
    <col min="5" max="5" width="15.7109375" style="105" bestFit="1" customWidth="1"/>
    <col min="6" max="6" width="12.140625" style="105" customWidth="1"/>
    <col min="7" max="7" width="13.7109375" style="105" bestFit="1" customWidth="1"/>
    <col min="8" max="8" width="14" style="108" bestFit="1" customWidth="1"/>
    <col min="9" max="9" width="11.140625" style="109" bestFit="1" customWidth="1"/>
    <col min="10" max="10" width="6.85546875" style="109" bestFit="1" customWidth="1"/>
    <col min="11" max="12" width="12.85546875" style="109" bestFit="1" customWidth="1"/>
    <col min="13" max="13" width="9.7109375" style="105" bestFit="1" customWidth="1"/>
    <col min="14" max="14" width="14" style="105" bestFit="1" customWidth="1"/>
    <col min="15" max="15" width="9.7109375" style="105" customWidth="1"/>
    <col min="16" max="16" width="8" style="105" bestFit="1" customWidth="1"/>
    <col min="17" max="17" width="14" style="105" bestFit="1" customWidth="1"/>
    <col min="18" max="18" width="10.5703125" style="105" customWidth="1"/>
    <col min="19" max="16384" width="9" style="105"/>
  </cols>
  <sheetData>
    <row r="1" spans="1:18" s="131" customFormat="1" x14ac:dyDescent="0.25">
      <c r="G1" s="157" t="s">
        <v>163</v>
      </c>
      <c r="H1" s="158">
        <f>+G56</f>
        <v>344506</v>
      </c>
      <c r="I1" s="159"/>
      <c r="J1" s="160" t="s">
        <v>162</v>
      </c>
      <c r="K1" s="161">
        <v>63085</v>
      </c>
      <c r="L1" s="162">
        <f>+K1/H1</f>
        <v>0.18311727517082432</v>
      </c>
      <c r="M1" s="163" t="s">
        <v>164</v>
      </c>
      <c r="N1" s="164">
        <v>238647</v>
      </c>
      <c r="O1" s="165">
        <f>+N1/H1</f>
        <v>0.69272233284761364</v>
      </c>
      <c r="P1" s="166" t="s">
        <v>165</v>
      </c>
      <c r="Q1" s="167">
        <v>537310</v>
      </c>
      <c r="R1" s="168">
        <f>+Q1/H1</f>
        <v>1.5596535328847683</v>
      </c>
    </row>
    <row r="2" spans="1:18" s="131" customFormat="1" x14ac:dyDescent="0.25">
      <c r="D2" s="169"/>
      <c r="G2" s="280" t="s">
        <v>124</v>
      </c>
      <c r="H2" s="281"/>
      <c r="I2" s="281"/>
      <c r="J2" s="282" t="s">
        <v>121</v>
      </c>
      <c r="K2" s="282"/>
      <c r="L2" s="282"/>
      <c r="M2" s="283" t="s">
        <v>122</v>
      </c>
      <c r="N2" s="283"/>
      <c r="O2" s="283"/>
      <c r="P2" s="279" t="s">
        <v>123</v>
      </c>
      <c r="Q2" s="279"/>
      <c r="R2" s="279"/>
    </row>
    <row r="3" spans="1:18" s="116" customFormat="1" ht="59.25" customHeight="1" x14ac:dyDescent="0.25">
      <c r="A3" s="111" t="s">
        <v>160</v>
      </c>
      <c r="B3" s="111" t="s">
        <v>151</v>
      </c>
      <c r="C3" s="111" t="s">
        <v>161</v>
      </c>
      <c r="D3" s="111" t="s">
        <v>117</v>
      </c>
      <c r="E3" s="111" t="s">
        <v>104</v>
      </c>
      <c r="F3" s="111" t="s">
        <v>115</v>
      </c>
      <c r="G3" s="123" t="s">
        <v>133</v>
      </c>
      <c r="H3" s="123" t="s">
        <v>229</v>
      </c>
      <c r="I3" s="123" t="s">
        <v>138</v>
      </c>
      <c r="J3" s="124" t="s">
        <v>131</v>
      </c>
      <c r="K3" s="124" t="s">
        <v>132</v>
      </c>
      <c r="L3" s="124" t="s">
        <v>230</v>
      </c>
      <c r="M3" s="125" t="s">
        <v>134</v>
      </c>
      <c r="N3" s="125" t="s">
        <v>231</v>
      </c>
      <c r="O3" s="125" t="s">
        <v>137</v>
      </c>
      <c r="P3" s="126" t="s">
        <v>135</v>
      </c>
      <c r="Q3" s="126" t="s">
        <v>232</v>
      </c>
      <c r="R3" s="126" t="s">
        <v>136</v>
      </c>
    </row>
    <row r="4" spans="1:18" x14ac:dyDescent="0.25">
      <c r="A4" s="145">
        <v>1</v>
      </c>
      <c r="B4" s="145" t="s">
        <v>179</v>
      </c>
      <c r="C4" s="107">
        <v>24950</v>
      </c>
      <c r="D4" s="150">
        <f>+C4/$C$56</f>
        <v>7.242254126198093E-2</v>
      </c>
      <c r="E4" s="106">
        <f>+C4/12</f>
        <v>2079.1666666666665</v>
      </c>
      <c r="F4" s="114">
        <f>ROUNDUP(E4/21.73,0)</f>
        <v>96</v>
      </c>
      <c r="G4" s="110">
        <f t="shared" ref="G4:G35" si="0">+C4</f>
        <v>24950</v>
      </c>
      <c r="H4" s="110">
        <f t="shared" ref="H4:H35" si="1">+F4</f>
        <v>96</v>
      </c>
      <c r="I4" s="107" t="str">
        <f>IF(H4&lt;=30,"LFA","EIA")</f>
        <v>EIA</v>
      </c>
      <c r="J4" s="110">
        <f>ROUNDUP(G4*$L$1,0)</f>
        <v>4569</v>
      </c>
      <c r="K4" s="107">
        <f>ROUNDUP(SUM(J4)/SUM(12*21.73),0)</f>
        <v>18</v>
      </c>
      <c r="L4" s="107" t="str">
        <f>IF(K4&lt;=30,"LFA","EIA")</f>
        <v>LFA</v>
      </c>
      <c r="M4" s="110">
        <f>+G4*$O$1</f>
        <v>17283.422204547962</v>
      </c>
      <c r="N4" s="107">
        <f>ROUNDUP(SUM(M4)/SUM(12*21.73),0)</f>
        <v>67</v>
      </c>
      <c r="O4" s="107" t="str">
        <f>IF(N4&lt;=35,"LFA","EIA")</f>
        <v>EIA</v>
      </c>
      <c r="P4" s="110">
        <f>+G4*$R$1</f>
        <v>38913.355645474971</v>
      </c>
      <c r="Q4" s="107">
        <f>ROUNDUP(SUM(P4)/SUM(12*21.73),0)</f>
        <v>150</v>
      </c>
      <c r="R4" s="107" t="str">
        <f>IF(Q4&lt;=35,"LFA","EIA")</f>
        <v>EIA</v>
      </c>
    </row>
    <row r="5" spans="1:18" x14ac:dyDescent="0.25">
      <c r="A5" s="145">
        <f>+A4+1</f>
        <v>2</v>
      </c>
      <c r="B5" s="145" t="s">
        <v>180</v>
      </c>
      <c r="C5" s="107">
        <v>17548</v>
      </c>
      <c r="D5" s="150">
        <f t="shared" ref="D5:D55" si="2">+C5/$C$56</f>
        <v>5.093670356974915E-2</v>
      </c>
      <c r="E5" s="106">
        <f t="shared" ref="E5:E55" si="3">+C5/12</f>
        <v>1462.3333333333333</v>
      </c>
      <c r="F5" s="114">
        <f t="shared" ref="F5:F55" si="4">ROUNDUP(E5/21.73,0)</f>
        <v>68</v>
      </c>
      <c r="G5" s="110">
        <f t="shared" si="0"/>
        <v>17548</v>
      </c>
      <c r="H5" s="110">
        <f t="shared" si="1"/>
        <v>68</v>
      </c>
      <c r="I5" s="107" t="str">
        <f t="shared" ref="I5:I55" si="5">IF(H5&lt;=30,"LFA","EIA")</f>
        <v>EIA</v>
      </c>
      <c r="J5" s="110">
        <f t="shared" ref="J5:J36" si="6">+G5*$L$1</f>
        <v>3213.3419446976254</v>
      </c>
      <c r="K5" s="107">
        <f t="shared" ref="K5:K55" si="7">ROUNDUP(SUM(J5)/SUM(12*21.73),0)</f>
        <v>13</v>
      </c>
      <c r="L5" s="107" t="str">
        <f t="shared" ref="L5:L55" si="8">IF(K5&lt;=30,"LFA","EIA")</f>
        <v>LFA</v>
      </c>
      <c r="M5" s="110">
        <f t="shared" ref="M5:M55" si="9">+G5*$O$1</f>
        <v>12155.891496809923</v>
      </c>
      <c r="N5" s="107">
        <f t="shared" ref="N5:N55" si="10">ROUNDUP(SUM(M5)/SUM(12*21.73),0)</f>
        <v>47</v>
      </c>
      <c r="O5" s="107" t="str">
        <f t="shared" ref="O5:O33" si="11">IF(N5&lt;=35,"LFA","EIA")</f>
        <v>EIA</v>
      </c>
      <c r="P5" s="110">
        <f t="shared" ref="P5:P55" si="12">+G5*$R$1</f>
        <v>27368.800195061915</v>
      </c>
      <c r="Q5" s="107">
        <f t="shared" ref="Q5:Q55" si="13">ROUNDUP(SUM(P5)/SUM(12*21.73),0)</f>
        <v>105</v>
      </c>
      <c r="R5" s="107" t="str">
        <f t="shared" ref="R5:R33" si="14">IF(Q5&lt;=35,"LFA","EIA")</f>
        <v>EIA</v>
      </c>
    </row>
    <row r="6" spans="1:18" x14ac:dyDescent="0.25">
      <c r="A6" s="145">
        <f t="shared" ref="A6:A55" si="15">+A5+1</f>
        <v>3</v>
      </c>
      <c r="B6" s="145" t="s">
        <v>181</v>
      </c>
      <c r="C6" s="107">
        <v>16590</v>
      </c>
      <c r="D6" s="150">
        <f t="shared" si="2"/>
        <v>4.8155910201854252E-2</v>
      </c>
      <c r="E6" s="106">
        <f t="shared" si="3"/>
        <v>1382.5</v>
      </c>
      <c r="F6" s="114">
        <f t="shared" si="4"/>
        <v>64</v>
      </c>
      <c r="G6" s="110">
        <f t="shared" si="0"/>
        <v>16590</v>
      </c>
      <c r="H6" s="110">
        <f t="shared" si="1"/>
        <v>64</v>
      </c>
      <c r="I6" s="107" t="str">
        <f t="shared" si="5"/>
        <v>EIA</v>
      </c>
      <c r="J6" s="110">
        <f t="shared" si="6"/>
        <v>3037.9155950839754</v>
      </c>
      <c r="K6" s="107">
        <f t="shared" si="7"/>
        <v>12</v>
      </c>
      <c r="L6" s="107" t="str">
        <f t="shared" si="8"/>
        <v>LFA</v>
      </c>
      <c r="M6" s="110">
        <f t="shared" si="9"/>
        <v>11492.26350194191</v>
      </c>
      <c r="N6" s="107">
        <f t="shared" si="10"/>
        <v>45</v>
      </c>
      <c r="O6" s="107" t="str">
        <f t="shared" si="11"/>
        <v>EIA</v>
      </c>
      <c r="P6" s="110">
        <f t="shared" si="12"/>
        <v>25874.652110558305</v>
      </c>
      <c r="Q6" s="107">
        <f t="shared" si="13"/>
        <v>100</v>
      </c>
      <c r="R6" s="107" t="str">
        <f t="shared" si="14"/>
        <v>EIA</v>
      </c>
    </row>
    <row r="7" spans="1:18" x14ac:dyDescent="0.25">
      <c r="A7" s="145">
        <f t="shared" si="15"/>
        <v>4</v>
      </c>
      <c r="B7" s="145" t="s">
        <v>182</v>
      </c>
      <c r="C7" s="107">
        <v>15788</v>
      </c>
      <c r="D7" s="150">
        <f t="shared" si="2"/>
        <v>4.5827939136038269E-2</v>
      </c>
      <c r="E7" s="106">
        <f t="shared" si="3"/>
        <v>1315.6666666666667</v>
      </c>
      <c r="F7" s="114">
        <f t="shared" si="4"/>
        <v>61</v>
      </c>
      <c r="G7" s="110">
        <f t="shared" si="0"/>
        <v>15788</v>
      </c>
      <c r="H7" s="110">
        <f t="shared" si="1"/>
        <v>61</v>
      </c>
      <c r="I7" s="107" t="str">
        <f t="shared" si="5"/>
        <v>EIA</v>
      </c>
      <c r="J7" s="110">
        <f t="shared" si="6"/>
        <v>2891.0555403969743</v>
      </c>
      <c r="K7" s="107">
        <f t="shared" si="7"/>
        <v>12</v>
      </c>
      <c r="L7" s="107" t="str">
        <f t="shared" si="8"/>
        <v>LFA</v>
      </c>
      <c r="M7" s="110">
        <f t="shared" si="9"/>
        <v>10936.700190998125</v>
      </c>
      <c r="N7" s="107">
        <f t="shared" si="10"/>
        <v>42</v>
      </c>
      <c r="O7" s="107" t="str">
        <f t="shared" si="11"/>
        <v>EIA</v>
      </c>
      <c r="P7" s="110">
        <f t="shared" si="12"/>
        <v>24623.809977184723</v>
      </c>
      <c r="Q7" s="107">
        <f t="shared" si="13"/>
        <v>95</v>
      </c>
      <c r="R7" s="107" t="str">
        <f t="shared" si="14"/>
        <v>EIA</v>
      </c>
    </row>
    <row r="8" spans="1:18" x14ac:dyDescent="0.25">
      <c r="A8" s="145">
        <f t="shared" si="15"/>
        <v>5</v>
      </c>
      <c r="B8" s="145" t="s">
        <v>183</v>
      </c>
      <c r="C8" s="107">
        <v>14793</v>
      </c>
      <c r="D8" s="150">
        <f t="shared" si="2"/>
        <v>4.2939745606752858E-2</v>
      </c>
      <c r="E8" s="106">
        <f t="shared" si="3"/>
        <v>1232.75</v>
      </c>
      <c r="F8" s="114">
        <f t="shared" si="4"/>
        <v>57</v>
      </c>
      <c r="G8" s="110">
        <f t="shared" si="0"/>
        <v>14793</v>
      </c>
      <c r="H8" s="110">
        <f t="shared" si="1"/>
        <v>57</v>
      </c>
      <c r="I8" s="107" t="str">
        <f t="shared" si="5"/>
        <v>EIA</v>
      </c>
      <c r="J8" s="110">
        <f t="shared" si="6"/>
        <v>2708.8538516020044</v>
      </c>
      <c r="K8" s="107">
        <f t="shared" si="7"/>
        <v>11</v>
      </c>
      <c r="L8" s="107" t="str">
        <f t="shared" si="8"/>
        <v>LFA</v>
      </c>
      <c r="M8" s="110">
        <f t="shared" si="9"/>
        <v>10247.441469814748</v>
      </c>
      <c r="N8" s="107">
        <f t="shared" si="10"/>
        <v>40</v>
      </c>
      <c r="O8" s="107" t="str">
        <f t="shared" si="11"/>
        <v>EIA</v>
      </c>
      <c r="P8" s="110">
        <f t="shared" si="12"/>
        <v>23071.954711964376</v>
      </c>
      <c r="Q8" s="107">
        <f t="shared" si="13"/>
        <v>89</v>
      </c>
      <c r="R8" s="107" t="str">
        <f t="shared" si="14"/>
        <v>EIA</v>
      </c>
    </row>
    <row r="9" spans="1:18" x14ac:dyDescent="0.25">
      <c r="A9" s="145">
        <f t="shared" si="15"/>
        <v>6</v>
      </c>
      <c r="B9" s="145" t="s">
        <v>184</v>
      </c>
      <c r="C9" s="107">
        <v>14112</v>
      </c>
      <c r="D9" s="150">
        <f t="shared" si="2"/>
        <v>4.09630020957545E-2</v>
      </c>
      <c r="E9" s="106">
        <f t="shared" si="3"/>
        <v>1176</v>
      </c>
      <c r="F9" s="114">
        <f t="shared" si="4"/>
        <v>55</v>
      </c>
      <c r="G9" s="110">
        <f t="shared" si="0"/>
        <v>14112</v>
      </c>
      <c r="H9" s="110">
        <f t="shared" si="1"/>
        <v>55</v>
      </c>
      <c r="I9" s="107" t="str">
        <f t="shared" si="5"/>
        <v>EIA</v>
      </c>
      <c r="J9" s="110">
        <f t="shared" si="6"/>
        <v>2584.1509872106731</v>
      </c>
      <c r="K9" s="107">
        <f t="shared" si="7"/>
        <v>10</v>
      </c>
      <c r="L9" s="107" t="str">
        <f t="shared" si="8"/>
        <v>LFA</v>
      </c>
      <c r="M9" s="110">
        <f t="shared" si="9"/>
        <v>9775.6975611455237</v>
      </c>
      <c r="N9" s="107">
        <f t="shared" si="10"/>
        <v>38</v>
      </c>
      <c r="O9" s="107" t="str">
        <f t="shared" si="11"/>
        <v>EIA</v>
      </c>
      <c r="P9" s="110">
        <f t="shared" si="12"/>
        <v>22009.830656069851</v>
      </c>
      <c r="Q9" s="107">
        <f t="shared" si="13"/>
        <v>85</v>
      </c>
      <c r="R9" s="107" t="str">
        <f t="shared" si="14"/>
        <v>EIA</v>
      </c>
    </row>
    <row r="10" spans="1:18" x14ac:dyDescent="0.25">
      <c r="A10" s="145">
        <f t="shared" si="15"/>
        <v>7</v>
      </c>
      <c r="B10" s="145" t="s">
        <v>185</v>
      </c>
      <c r="C10" s="107">
        <v>13190</v>
      </c>
      <c r="D10" s="150">
        <f t="shared" si="2"/>
        <v>3.8286706182185506E-2</v>
      </c>
      <c r="E10" s="106">
        <f t="shared" si="3"/>
        <v>1099.1666666666667</v>
      </c>
      <c r="F10" s="114">
        <f t="shared" si="4"/>
        <v>51</v>
      </c>
      <c r="G10" s="110">
        <f t="shared" si="0"/>
        <v>13190</v>
      </c>
      <c r="H10" s="110">
        <f t="shared" si="1"/>
        <v>51</v>
      </c>
      <c r="I10" s="107" t="str">
        <f t="shared" si="5"/>
        <v>EIA</v>
      </c>
      <c r="J10" s="110">
        <f t="shared" si="6"/>
        <v>2415.316859503173</v>
      </c>
      <c r="K10" s="107">
        <f t="shared" si="7"/>
        <v>10</v>
      </c>
      <c r="L10" s="107" t="str">
        <f t="shared" si="8"/>
        <v>LFA</v>
      </c>
      <c r="M10" s="110">
        <f t="shared" si="9"/>
        <v>9137.0075702600243</v>
      </c>
      <c r="N10" s="107">
        <f t="shared" si="10"/>
        <v>36</v>
      </c>
      <c r="O10" s="107" t="str">
        <f t="shared" si="11"/>
        <v>EIA</v>
      </c>
      <c r="P10" s="110">
        <f t="shared" si="12"/>
        <v>20571.830098750095</v>
      </c>
      <c r="Q10" s="107">
        <f t="shared" si="13"/>
        <v>79</v>
      </c>
      <c r="R10" s="107" t="str">
        <f t="shared" si="14"/>
        <v>EIA</v>
      </c>
    </row>
    <row r="11" spans="1:18" x14ac:dyDescent="0.25">
      <c r="A11" s="145">
        <f t="shared" si="15"/>
        <v>8</v>
      </c>
      <c r="B11" s="145" t="s">
        <v>186</v>
      </c>
      <c r="C11" s="107">
        <v>12288</v>
      </c>
      <c r="D11" s="150">
        <f t="shared" si="2"/>
        <v>3.566846440990868E-2</v>
      </c>
      <c r="E11" s="106">
        <f t="shared" si="3"/>
        <v>1024</v>
      </c>
      <c r="F11" s="114">
        <f t="shared" si="4"/>
        <v>48</v>
      </c>
      <c r="G11" s="110">
        <f t="shared" si="0"/>
        <v>12288</v>
      </c>
      <c r="H11" s="110">
        <f t="shared" si="1"/>
        <v>48</v>
      </c>
      <c r="I11" s="107" t="str">
        <f t="shared" si="5"/>
        <v>EIA</v>
      </c>
      <c r="J11" s="110">
        <f t="shared" si="6"/>
        <v>2250.1450772990893</v>
      </c>
      <c r="K11" s="107">
        <f t="shared" si="7"/>
        <v>9</v>
      </c>
      <c r="L11" s="107" t="str">
        <f t="shared" si="8"/>
        <v>LFA</v>
      </c>
      <c r="M11" s="110">
        <f t="shared" si="9"/>
        <v>8512.172026031476</v>
      </c>
      <c r="N11" s="107">
        <f t="shared" si="10"/>
        <v>33</v>
      </c>
      <c r="O11" s="107" t="str">
        <f t="shared" si="11"/>
        <v>LFA</v>
      </c>
      <c r="P11" s="110">
        <f t="shared" si="12"/>
        <v>19165.022612088032</v>
      </c>
      <c r="Q11" s="107">
        <f t="shared" si="13"/>
        <v>74</v>
      </c>
      <c r="R11" s="107" t="str">
        <f t="shared" si="14"/>
        <v>EIA</v>
      </c>
    </row>
    <row r="12" spans="1:18" x14ac:dyDescent="0.25">
      <c r="A12" s="145">
        <f t="shared" si="15"/>
        <v>9</v>
      </c>
      <c r="B12" s="145" t="s">
        <v>186</v>
      </c>
      <c r="C12" s="107">
        <v>11826</v>
      </c>
      <c r="D12" s="150">
        <f t="shared" si="2"/>
        <v>3.4327413746059576E-2</v>
      </c>
      <c r="E12" s="106">
        <f t="shared" si="3"/>
        <v>985.5</v>
      </c>
      <c r="F12" s="114">
        <f t="shared" si="4"/>
        <v>46</v>
      </c>
      <c r="G12" s="110">
        <f t="shared" si="0"/>
        <v>11826</v>
      </c>
      <c r="H12" s="110">
        <f t="shared" si="1"/>
        <v>46</v>
      </c>
      <c r="I12" s="107" t="str">
        <f t="shared" si="5"/>
        <v>EIA</v>
      </c>
      <c r="J12" s="110">
        <f t="shared" si="6"/>
        <v>2165.5448961701686</v>
      </c>
      <c r="K12" s="107">
        <f t="shared" si="7"/>
        <v>9</v>
      </c>
      <c r="L12" s="107" t="str">
        <f t="shared" si="8"/>
        <v>LFA</v>
      </c>
      <c r="M12" s="110">
        <f t="shared" si="9"/>
        <v>8192.1343082558797</v>
      </c>
      <c r="N12" s="107">
        <f t="shared" si="10"/>
        <v>32</v>
      </c>
      <c r="O12" s="107" t="str">
        <f t="shared" si="11"/>
        <v>LFA</v>
      </c>
      <c r="P12" s="110">
        <f t="shared" si="12"/>
        <v>18444.46267989527</v>
      </c>
      <c r="Q12" s="107">
        <f t="shared" si="13"/>
        <v>71</v>
      </c>
      <c r="R12" s="107" t="str">
        <f t="shared" si="14"/>
        <v>EIA</v>
      </c>
    </row>
    <row r="13" spans="1:18" x14ac:dyDescent="0.25">
      <c r="A13" s="145">
        <f t="shared" si="15"/>
        <v>10</v>
      </c>
      <c r="B13" s="145" t="s">
        <v>187</v>
      </c>
      <c r="C13" s="107">
        <v>11017</v>
      </c>
      <c r="D13" s="150">
        <f t="shared" si="2"/>
        <v>3.1979123730791335E-2</v>
      </c>
      <c r="E13" s="106">
        <f t="shared" si="3"/>
        <v>918.08333333333337</v>
      </c>
      <c r="F13" s="114">
        <f t="shared" si="4"/>
        <v>43</v>
      </c>
      <c r="G13" s="110">
        <f t="shared" si="0"/>
        <v>11017</v>
      </c>
      <c r="H13" s="110">
        <f t="shared" si="1"/>
        <v>43</v>
      </c>
      <c r="I13" s="107" t="str">
        <f t="shared" si="5"/>
        <v>EIA</v>
      </c>
      <c r="J13" s="110">
        <f t="shared" si="6"/>
        <v>2017.4030205569716</v>
      </c>
      <c r="K13" s="107">
        <f t="shared" si="7"/>
        <v>8</v>
      </c>
      <c r="L13" s="107" t="str">
        <f t="shared" si="8"/>
        <v>LFA</v>
      </c>
      <c r="M13" s="110">
        <f t="shared" si="9"/>
        <v>7631.7219409821591</v>
      </c>
      <c r="N13" s="107">
        <f t="shared" si="10"/>
        <v>30</v>
      </c>
      <c r="O13" s="107" t="str">
        <f t="shared" si="11"/>
        <v>LFA</v>
      </c>
      <c r="P13" s="110">
        <f t="shared" si="12"/>
        <v>17182.702971791492</v>
      </c>
      <c r="Q13" s="107">
        <f t="shared" si="13"/>
        <v>66</v>
      </c>
      <c r="R13" s="107" t="str">
        <f t="shared" si="14"/>
        <v>EIA</v>
      </c>
    </row>
    <row r="14" spans="1:18" x14ac:dyDescent="0.25">
      <c r="A14" s="145">
        <f t="shared" si="15"/>
        <v>11</v>
      </c>
      <c r="B14" s="145" t="s">
        <v>188</v>
      </c>
      <c r="C14" s="107">
        <v>10602</v>
      </c>
      <c r="D14" s="150">
        <f t="shared" si="2"/>
        <v>3.0774500298978828E-2</v>
      </c>
      <c r="E14" s="106">
        <f t="shared" si="3"/>
        <v>883.5</v>
      </c>
      <c r="F14" s="114">
        <f t="shared" si="4"/>
        <v>41</v>
      </c>
      <c r="G14" s="110">
        <f t="shared" si="0"/>
        <v>10602</v>
      </c>
      <c r="H14" s="110">
        <f t="shared" si="1"/>
        <v>41</v>
      </c>
      <c r="I14" s="107" t="str">
        <f t="shared" si="5"/>
        <v>EIA</v>
      </c>
      <c r="J14" s="110">
        <f t="shared" si="6"/>
        <v>1941.4093513610794</v>
      </c>
      <c r="K14" s="107">
        <f t="shared" si="7"/>
        <v>8</v>
      </c>
      <c r="L14" s="107" t="str">
        <f t="shared" si="8"/>
        <v>LFA</v>
      </c>
      <c r="M14" s="110">
        <f t="shared" si="9"/>
        <v>7344.2421728503996</v>
      </c>
      <c r="N14" s="107">
        <f t="shared" si="10"/>
        <v>29</v>
      </c>
      <c r="O14" s="107" t="str">
        <f t="shared" si="11"/>
        <v>LFA</v>
      </c>
      <c r="P14" s="110">
        <f t="shared" si="12"/>
        <v>16535.446755644312</v>
      </c>
      <c r="Q14" s="107">
        <f t="shared" si="13"/>
        <v>64</v>
      </c>
      <c r="R14" s="107" t="str">
        <f t="shared" si="14"/>
        <v>EIA</v>
      </c>
    </row>
    <row r="15" spans="1:18" x14ac:dyDescent="0.25">
      <c r="A15" s="145">
        <f t="shared" si="15"/>
        <v>12</v>
      </c>
      <c r="B15" s="145" t="s">
        <v>189</v>
      </c>
      <c r="C15" s="107">
        <v>10386</v>
      </c>
      <c r="D15" s="150">
        <f t="shared" si="2"/>
        <v>3.0147515573023403E-2</v>
      </c>
      <c r="E15" s="106">
        <f t="shared" si="3"/>
        <v>865.5</v>
      </c>
      <c r="F15" s="114">
        <f t="shared" si="4"/>
        <v>40</v>
      </c>
      <c r="G15" s="110">
        <f t="shared" si="0"/>
        <v>10386</v>
      </c>
      <c r="H15" s="110">
        <f t="shared" si="1"/>
        <v>40</v>
      </c>
      <c r="I15" s="107" t="str">
        <f t="shared" si="5"/>
        <v>EIA</v>
      </c>
      <c r="J15" s="110">
        <f t="shared" si="6"/>
        <v>1901.8560199241815</v>
      </c>
      <c r="K15" s="107">
        <f t="shared" si="7"/>
        <v>8</v>
      </c>
      <c r="L15" s="107" t="str">
        <f t="shared" si="8"/>
        <v>LFA</v>
      </c>
      <c r="M15" s="110">
        <f t="shared" si="9"/>
        <v>7194.6141489553156</v>
      </c>
      <c r="N15" s="107">
        <f t="shared" si="10"/>
        <v>28</v>
      </c>
      <c r="O15" s="107" t="str">
        <f t="shared" si="11"/>
        <v>LFA</v>
      </c>
      <c r="P15" s="110">
        <f t="shared" si="12"/>
        <v>16198.561592541204</v>
      </c>
      <c r="Q15" s="107">
        <f t="shared" si="13"/>
        <v>63</v>
      </c>
      <c r="R15" s="107" t="str">
        <f t="shared" si="14"/>
        <v>EIA</v>
      </c>
    </row>
    <row r="16" spans="1:18" x14ac:dyDescent="0.25">
      <c r="A16" s="145">
        <f t="shared" si="15"/>
        <v>13</v>
      </c>
      <c r="B16" s="145" t="s">
        <v>190</v>
      </c>
      <c r="C16" s="107">
        <v>10297</v>
      </c>
      <c r="D16" s="150">
        <f t="shared" si="2"/>
        <v>2.988917464427325E-2</v>
      </c>
      <c r="E16" s="106">
        <f t="shared" si="3"/>
        <v>858.08333333333337</v>
      </c>
      <c r="F16" s="114">
        <f t="shared" si="4"/>
        <v>40</v>
      </c>
      <c r="G16" s="110">
        <f t="shared" si="0"/>
        <v>10297</v>
      </c>
      <c r="H16" s="110">
        <f t="shared" si="1"/>
        <v>40</v>
      </c>
      <c r="I16" s="107" t="str">
        <f t="shared" si="5"/>
        <v>EIA</v>
      </c>
      <c r="J16" s="110">
        <f t="shared" si="6"/>
        <v>1885.558582433978</v>
      </c>
      <c r="K16" s="107">
        <f t="shared" si="7"/>
        <v>8</v>
      </c>
      <c r="L16" s="107" t="str">
        <f t="shared" si="8"/>
        <v>LFA</v>
      </c>
      <c r="M16" s="110">
        <f t="shared" si="9"/>
        <v>7132.961861331878</v>
      </c>
      <c r="N16" s="107">
        <f t="shared" si="10"/>
        <v>28</v>
      </c>
      <c r="O16" s="107" t="str">
        <f t="shared" si="11"/>
        <v>LFA</v>
      </c>
      <c r="P16" s="110">
        <f t="shared" si="12"/>
        <v>16059.75242811446</v>
      </c>
      <c r="Q16" s="107">
        <f t="shared" si="13"/>
        <v>62</v>
      </c>
      <c r="R16" s="107" t="str">
        <f t="shared" si="14"/>
        <v>EIA</v>
      </c>
    </row>
    <row r="17" spans="1:18" x14ac:dyDescent="0.25">
      <c r="A17" s="145">
        <f t="shared" si="15"/>
        <v>14</v>
      </c>
      <c r="B17" s="145" t="s">
        <v>191</v>
      </c>
      <c r="C17" s="107">
        <v>10205</v>
      </c>
      <c r="D17" s="150">
        <f t="shared" si="2"/>
        <v>2.9622125594329272E-2</v>
      </c>
      <c r="E17" s="106">
        <f t="shared" si="3"/>
        <v>850.41666666666663</v>
      </c>
      <c r="F17" s="114">
        <f t="shared" si="4"/>
        <v>40</v>
      </c>
      <c r="G17" s="110">
        <f t="shared" si="0"/>
        <v>10205</v>
      </c>
      <c r="H17" s="110">
        <f t="shared" si="1"/>
        <v>40</v>
      </c>
      <c r="I17" s="107" t="str">
        <f t="shared" si="5"/>
        <v>EIA</v>
      </c>
      <c r="J17" s="110">
        <f t="shared" si="6"/>
        <v>1868.7117931182622</v>
      </c>
      <c r="K17" s="107">
        <f t="shared" si="7"/>
        <v>8</v>
      </c>
      <c r="L17" s="107" t="str">
        <f t="shared" si="8"/>
        <v>LFA</v>
      </c>
      <c r="M17" s="110">
        <f t="shared" si="9"/>
        <v>7069.2314067098969</v>
      </c>
      <c r="N17" s="107">
        <f t="shared" si="10"/>
        <v>28</v>
      </c>
      <c r="O17" s="107" t="str">
        <f t="shared" si="11"/>
        <v>LFA</v>
      </c>
      <c r="P17" s="110">
        <f t="shared" si="12"/>
        <v>15916.264303089059</v>
      </c>
      <c r="Q17" s="107">
        <f t="shared" si="13"/>
        <v>62</v>
      </c>
      <c r="R17" s="107" t="str">
        <f t="shared" si="14"/>
        <v>EIA</v>
      </c>
    </row>
    <row r="18" spans="1:18" x14ac:dyDescent="0.25">
      <c r="A18" s="145">
        <f t="shared" si="15"/>
        <v>15</v>
      </c>
      <c r="B18" s="145" t="s">
        <v>192</v>
      </c>
      <c r="C18" s="107">
        <v>9341</v>
      </c>
      <c r="D18" s="150">
        <f t="shared" si="2"/>
        <v>2.7114186690507566E-2</v>
      </c>
      <c r="E18" s="106">
        <f t="shared" si="3"/>
        <v>778.41666666666663</v>
      </c>
      <c r="F18" s="114">
        <f t="shared" si="4"/>
        <v>36</v>
      </c>
      <c r="G18" s="110">
        <f t="shared" si="0"/>
        <v>9341</v>
      </c>
      <c r="H18" s="110">
        <f t="shared" si="1"/>
        <v>36</v>
      </c>
      <c r="I18" s="107" t="str">
        <f t="shared" si="5"/>
        <v>EIA</v>
      </c>
      <c r="J18" s="110">
        <f t="shared" si="6"/>
        <v>1710.4984673706699</v>
      </c>
      <c r="K18" s="107">
        <f t="shared" si="7"/>
        <v>7</v>
      </c>
      <c r="L18" s="107" t="str">
        <f t="shared" si="8"/>
        <v>LFA</v>
      </c>
      <c r="M18" s="110">
        <f t="shared" si="9"/>
        <v>6470.7193111295592</v>
      </c>
      <c r="N18" s="107">
        <f t="shared" si="10"/>
        <v>25</v>
      </c>
      <c r="O18" s="107" t="str">
        <f t="shared" si="11"/>
        <v>LFA</v>
      </c>
      <c r="P18" s="110">
        <f t="shared" si="12"/>
        <v>14568.72365067662</v>
      </c>
      <c r="Q18" s="107">
        <f t="shared" si="13"/>
        <v>56</v>
      </c>
      <c r="R18" s="107" t="str">
        <f t="shared" si="14"/>
        <v>EIA</v>
      </c>
    </row>
    <row r="19" spans="1:18" x14ac:dyDescent="0.25">
      <c r="A19" s="145">
        <f t="shared" si="15"/>
        <v>16</v>
      </c>
      <c r="B19" s="145" t="s">
        <v>193</v>
      </c>
      <c r="C19" s="107">
        <v>8963</v>
      </c>
      <c r="D19" s="150">
        <f t="shared" si="2"/>
        <v>2.6016963420085571E-2</v>
      </c>
      <c r="E19" s="106">
        <f t="shared" si="3"/>
        <v>746.91666666666663</v>
      </c>
      <c r="F19" s="114">
        <f t="shared" si="4"/>
        <v>35</v>
      </c>
      <c r="G19" s="110">
        <f t="shared" si="0"/>
        <v>8963</v>
      </c>
      <c r="H19" s="110">
        <f t="shared" si="1"/>
        <v>35</v>
      </c>
      <c r="I19" s="107" t="str">
        <f t="shared" si="5"/>
        <v>EIA</v>
      </c>
      <c r="J19" s="110">
        <f t="shared" si="6"/>
        <v>1641.2801373560983</v>
      </c>
      <c r="K19" s="107">
        <f t="shared" si="7"/>
        <v>7</v>
      </c>
      <c r="L19" s="107" t="str">
        <f t="shared" si="8"/>
        <v>LFA</v>
      </c>
      <c r="M19" s="110">
        <f t="shared" si="9"/>
        <v>6208.8702693131609</v>
      </c>
      <c r="N19" s="107">
        <f t="shared" si="10"/>
        <v>24</v>
      </c>
      <c r="O19" s="107" t="str">
        <f t="shared" si="11"/>
        <v>LFA</v>
      </c>
      <c r="P19" s="110">
        <f t="shared" si="12"/>
        <v>13979.174615246178</v>
      </c>
      <c r="Q19" s="107">
        <f t="shared" si="13"/>
        <v>54</v>
      </c>
      <c r="R19" s="107" t="str">
        <f t="shared" si="14"/>
        <v>EIA</v>
      </c>
    </row>
    <row r="20" spans="1:18" x14ac:dyDescent="0.25">
      <c r="A20" s="145">
        <f t="shared" si="15"/>
        <v>17</v>
      </c>
      <c r="B20" s="145" t="s">
        <v>194</v>
      </c>
      <c r="C20" s="107">
        <v>8842</v>
      </c>
      <c r="D20" s="150">
        <f t="shared" si="2"/>
        <v>2.566573586526795E-2</v>
      </c>
      <c r="E20" s="106">
        <f t="shared" si="3"/>
        <v>736.83333333333337</v>
      </c>
      <c r="F20" s="114">
        <f t="shared" si="4"/>
        <v>34</v>
      </c>
      <c r="G20" s="110">
        <f t="shared" si="0"/>
        <v>8842</v>
      </c>
      <c r="H20" s="110">
        <f t="shared" si="1"/>
        <v>34</v>
      </c>
      <c r="I20" s="107" t="str">
        <f t="shared" si="5"/>
        <v>EIA</v>
      </c>
      <c r="J20" s="110">
        <f t="shared" si="6"/>
        <v>1619.1229470604287</v>
      </c>
      <c r="K20" s="107">
        <f t="shared" si="7"/>
        <v>7</v>
      </c>
      <c r="L20" s="107" t="str">
        <f t="shared" si="8"/>
        <v>LFA</v>
      </c>
      <c r="M20" s="110">
        <f t="shared" si="9"/>
        <v>6125.0508670385998</v>
      </c>
      <c r="N20" s="107">
        <f t="shared" si="10"/>
        <v>24</v>
      </c>
      <c r="O20" s="107" t="str">
        <f t="shared" si="11"/>
        <v>LFA</v>
      </c>
      <c r="P20" s="110">
        <f t="shared" si="12"/>
        <v>13790.456537767121</v>
      </c>
      <c r="Q20" s="107">
        <f t="shared" si="13"/>
        <v>53</v>
      </c>
      <c r="R20" s="107" t="str">
        <f t="shared" si="14"/>
        <v>EIA</v>
      </c>
    </row>
    <row r="21" spans="1:18" x14ac:dyDescent="0.25">
      <c r="A21" s="145">
        <f t="shared" si="15"/>
        <v>18</v>
      </c>
      <c r="B21" s="145" t="s">
        <v>198</v>
      </c>
      <c r="C21" s="107">
        <v>8236</v>
      </c>
      <c r="D21" s="150">
        <f t="shared" si="2"/>
        <v>2.3906695384115224E-2</v>
      </c>
      <c r="E21" s="106">
        <f t="shared" si="3"/>
        <v>686.33333333333337</v>
      </c>
      <c r="F21" s="114">
        <f t="shared" si="4"/>
        <v>32</v>
      </c>
      <c r="G21" s="110">
        <f t="shared" si="0"/>
        <v>8236</v>
      </c>
      <c r="H21" s="110">
        <f t="shared" si="1"/>
        <v>32</v>
      </c>
      <c r="I21" s="107" t="str">
        <f t="shared" si="5"/>
        <v>EIA</v>
      </c>
      <c r="J21" s="110">
        <f t="shared" si="6"/>
        <v>1508.1538783069091</v>
      </c>
      <c r="K21" s="107">
        <f t="shared" si="7"/>
        <v>6</v>
      </c>
      <c r="L21" s="107" t="str">
        <f t="shared" si="8"/>
        <v>LFA</v>
      </c>
      <c r="M21" s="110">
        <f t="shared" si="9"/>
        <v>5705.261133332946</v>
      </c>
      <c r="N21" s="107">
        <f t="shared" si="10"/>
        <v>22</v>
      </c>
      <c r="O21" s="107" t="str">
        <f t="shared" si="11"/>
        <v>LFA</v>
      </c>
      <c r="P21" s="110">
        <f t="shared" si="12"/>
        <v>12845.306496838952</v>
      </c>
      <c r="Q21" s="107">
        <f t="shared" si="13"/>
        <v>50</v>
      </c>
      <c r="R21" s="107" t="str">
        <f t="shared" si="14"/>
        <v>EIA</v>
      </c>
    </row>
    <row r="22" spans="1:18" x14ac:dyDescent="0.25">
      <c r="A22" s="145">
        <f t="shared" si="15"/>
        <v>19</v>
      </c>
      <c r="B22" s="145" t="s">
        <v>195</v>
      </c>
      <c r="C22" s="107">
        <v>7885</v>
      </c>
      <c r="D22" s="150">
        <f t="shared" si="2"/>
        <v>2.2887845204437658E-2</v>
      </c>
      <c r="E22" s="106">
        <f t="shared" si="3"/>
        <v>657.08333333333337</v>
      </c>
      <c r="F22" s="114">
        <f t="shared" si="4"/>
        <v>31</v>
      </c>
      <c r="G22" s="110">
        <f t="shared" si="0"/>
        <v>7885</v>
      </c>
      <c r="H22" s="110">
        <f t="shared" si="1"/>
        <v>31</v>
      </c>
      <c r="I22" s="107" t="str">
        <f t="shared" si="5"/>
        <v>EIA</v>
      </c>
      <c r="J22" s="110">
        <f t="shared" si="6"/>
        <v>1443.8797147219498</v>
      </c>
      <c r="K22" s="107">
        <f t="shared" si="7"/>
        <v>6</v>
      </c>
      <c r="L22" s="107" t="str">
        <f t="shared" si="8"/>
        <v>LFA</v>
      </c>
      <c r="M22" s="110">
        <f t="shared" si="9"/>
        <v>5462.1155945034334</v>
      </c>
      <c r="N22" s="107">
        <f t="shared" si="10"/>
        <v>21</v>
      </c>
      <c r="O22" s="107" t="str">
        <f t="shared" si="11"/>
        <v>LFA</v>
      </c>
      <c r="P22" s="110">
        <f t="shared" si="12"/>
        <v>12297.868106796397</v>
      </c>
      <c r="Q22" s="107">
        <f t="shared" si="13"/>
        <v>48</v>
      </c>
      <c r="R22" s="107" t="str">
        <f t="shared" si="14"/>
        <v>EIA</v>
      </c>
    </row>
    <row r="23" spans="1:18" x14ac:dyDescent="0.25">
      <c r="A23" s="145">
        <f t="shared" si="15"/>
        <v>20</v>
      </c>
      <c r="B23" s="145" t="s">
        <v>196</v>
      </c>
      <c r="C23" s="107">
        <v>7178</v>
      </c>
      <c r="D23" s="150">
        <f t="shared" si="2"/>
        <v>2.0835631309759482E-2</v>
      </c>
      <c r="E23" s="106">
        <f t="shared" si="3"/>
        <v>598.16666666666663</v>
      </c>
      <c r="F23" s="113">
        <f t="shared" si="4"/>
        <v>28</v>
      </c>
      <c r="G23" s="110">
        <f t="shared" si="0"/>
        <v>7178</v>
      </c>
      <c r="H23" s="110">
        <f t="shared" si="1"/>
        <v>28</v>
      </c>
      <c r="I23" s="107" t="str">
        <f t="shared" si="5"/>
        <v>LFA</v>
      </c>
      <c r="J23" s="110">
        <f t="shared" si="6"/>
        <v>1314.415801176177</v>
      </c>
      <c r="K23" s="107">
        <f t="shared" si="7"/>
        <v>6</v>
      </c>
      <c r="L23" s="107" t="str">
        <f t="shared" si="8"/>
        <v>LFA</v>
      </c>
      <c r="M23" s="110">
        <f t="shared" si="9"/>
        <v>4972.3609051801704</v>
      </c>
      <c r="N23" s="107">
        <f t="shared" si="10"/>
        <v>20</v>
      </c>
      <c r="O23" s="107" t="str">
        <f t="shared" si="11"/>
        <v>LFA</v>
      </c>
      <c r="P23" s="110">
        <f t="shared" si="12"/>
        <v>11195.193059046867</v>
      </c>
      <c r="Q23" s="107">
        <f t="shared" si="13"/>
        <v>43</v>
      </c>
      <c r="R23" s="107" t="str">
        <f t="shared" si="14"/>
        <v>EIA</v>
      </c>
    </row>
    <row r="24" spans="1:18" x14ac:dyDescent="0.25">
      <c r="A24" s="145">
        <f t="shared" si="15"/>
        <v>21</v>
      </c>
      <c r="B24" s="145" t="s">
        <v>197</v>
      </c>
      <c r="C24" s="107">
        <v>6931</v>
      </c>
      <c r="D24" s="150">
        <f t="shared" si="2"/>
        <v>2.0118662664801192E-2</v>
      </c>
      <c r="E24" s="106">
        <f t="shared" si="3"/>
        <v>577.58333333333337</v>
      </c>
      <c r="F24" s="113">
        <f t="shared" si="4"/>
        <v>27</v>
      </c>
      <c r="G24" s="110">
        <f t="shared" si="0"/>
        <v>6931</v>
      </c>
      <c r="H24" s="110">
        <f t="shared" si="1"/>
        <v>27</v>
      </c>
      <c r="I24" s="107" t="str">
        <f t="shared" si="5"/>
        <v>LFA</v>
      </c>
      <c r="J24" s="110">
        <f t="shared" si="6"/>
        <v>1269.1858342089834</v>
      </c>
      <c r="K24" s="107">
        <f t="shared" si="7"/>
        <v>5</v>
      </c>
      <c r="L24" s="107" t="str">
        <f t="shared" si="8"/>
        <v>LFA</v>
      </c>
      <c r="M24" s="110">
        <f t="shared" si="9"/>
        <v>4801.2584889668105</v>
      </c>
      <c r="N24" s="107">
        <f t="shared" si="10"/>
        <v>19</v>
      </c>
      <c r="O24" s="107" t="str">
        <f t="shared" si="11"/>
        <v>LFA</v>
      </c>
      <c r="P24" s="110">
        <f t="shared" si="12"/>
        <v>10809.95863642433</v>
      </c>
      <c r="Q24" s="107">
        <f t="shared" si="13"/>
        <v>42</v>
      </c>
      <c r="R24" s="107" t="str">
        <f t="shared" si="14"/>
        <v>EIA</v>
      </c>
    </row>
    <row r="25" spans="1:18" x14ac:dyDescent="0.25">
      <c r="A25" s="145">
        <f t="shared" si="15"/>
        <v>22</v>
      </c>
      <c r="B25" s="145" t="s">
        <v>199</v>
      </c>
      <c r="C25" s="107">
        <v>6298</v>
      </c>
      <c r="D25" s="150">
        <f t="shared" si="2"/>
        <v>1.8281249092904042E-2</v>
      </c>
      <c r="E25" s="106">
        <f t="shared" si="3"/>
        <v>524.83333333333337</v>
      </c>
      <c r="F25" s="113">
        <f t="shared" si="4"/>
        <v>25</v>
      </c>
      <c r="G25" s="110">
        <f t="shared" si="0"/>
        <v>6298</v>
      </c>
      <c r="H25" s="110">
        <f t="shared" si="1"/>
        <v>25</v>
      </c>
      <c r="I25" s="107" t="str">
        <f t="shared" si="5"/>
        <v>LFA</v>
      </c>
      <c r="J25" s="110">
        <f t="shared" si="6"/>
        <v>1153.2725990258516</v>
      </c>
      <c r="K25" s="107">
        <f t="shared" si="7"/>
        <v>5</v>
      </c>
      <c r="L25" s="107" t="str">
        <f t="shared" si="8"/>
        <v>LFA</v>
      </c>
      <c r="M25" s="110">
        <f t="shared" si="9"/>
        <v>4362.765252274271</v>
      </c>
      <c r="N25" s="107">
        <f t="shared" si="10"/>
        <v>17</v>
      </c>
      <c r="O25" s="107" t="str">
        <f t="shared" si="11"/>
        <v>LFA</v>
      </c>
      <c r="P25" s="110">
        <f t="shared" si="12"/>
        <v>9822.6979501082697</v>
      </c>
      <c r="Q25" s="107">
        <f t="shared" si="13"/>
        <v>38</v>
      </c>
      <c r="R25" s="107" t="str">
        <f t="shared" si="14"/>
        <v>EIA</v>
      </c>
    </row>
    <row r="26" spans="1:18" x14ac:dyDescent="0.25">
      <c r="A26" s="145">
        <f t="shared" si="15"/>
        <v>23</v>
      </c>
      <c r="B26" s="145" t="s">
        <v>200</v>
      </c>
      <c r="C26" s="107">
        <v>6246</v>
      </c>
      <c r="D26" s="150">
        <f t="shared" si="2"/>
        <v>1.8130308325544402E-2</v>
      </c>
      <c r="E26" s="106">
        <f t="shared" si="3"/>
        <v>520.5</v>
      </c>
      <c r="F26" s="113">
        <f t="shared" si="4"/>
        <v>24</v>
      </c>
      <c r="G26" s="110">
        <f t="shared" si="0"/>
        <v>6246</v>
      </c>
      <c r="H26" s="110">
        <f t="shared" si="1"/>
        <v>24</v>
      </c>
      <c r="I26" s="107" t="str">
        <f t="shared" si="5"/>
        <v>LFA</v>
      </c>
      <c r="J26" s="110">
        <f t="shared" si="6"/>
        <v>1143.7505007169686</v>
      </c>
      <c r="K26" s="107">
        <f t="shared" si="7"/>
        <v>5</v>
      </c>
      <c r="L26" s="107" t="str">
        <f t="shared" si="8"/>
        <v>LFA</v>
      </c>
      <c r="M26" s="110">
        <f t="shared" si="9"/>
        <v>4326.7436909661947</v>
      </c>
      <c r="N26" s="107">
        <f t="shared" si="10"/>
        <v>17</v>
      </c>
      <c r="O26" s="107" t="str">
        <f t="shared" si="11"/>
        <v>LFA</v>
      </c>
      <c r="P26" s="110">
        <f t="shared" si="12"/>
        <v>9741.595966398263</v>
      </c>
      <c r="Q26" s="107">
        <f t="shared" si="13"/>
        <v>38</v>
      </c>
      <c r="R26" s="107" t="str">
        <f t="shared" si="14"/>
        <v>EIA</v>
      </c>
    </row>
    <row r="27" spans="1:18" x14ac:dyDescent="0.25">
      <c r="A27" s="145">
        <f t="shared" si="15"/>
        <v>24</v>
      </c>
      <c r="B27" s="145" t="s">
        <v>201</v>
      </c>
      <c r="C27" s="107">
        <v>5922</v>
      </c>
      <c r="D27" s="150">
        <f t="shared" si="2"/>
        <v>1.7189831236611264E-2</v>
      </c>
      <c r="E27" s="106">
        <f t="shared" si="3"/>
        <v>493.5</v>
      </c>
      <c r="F27" s="113">
        <f t="shared" si="4"/>
        <v>23</v>
      </c>
      <c r="G27" s="110">
        <f t="shared" si="0"/>
        <v>5922</v>
      </c>
      <c r="H27" s="110">
        <f t="shared" si="1"/>
        <v>23</v>
      </c>
      <c r="I27" s="107" t="str">
        <f t="shared" si="5"/>
        <v>LFA</v>
      </c>
      <c r="J27" s="110">
        <f t="shared" si="6"/>
        <v>1084.4205035616217</v>
      </c>
      <c r="K27" s="107">
        <f t="shared" si="7"/>
        <v>5</v>
      </c>
      <c r="L27" s="107" t="str">
        <f t="shared" si="8"/>
        <v>LFA</v>
      </c>
      <c r="M27" s="110">
        <f t="shared" si="9"/>
        <v>4102.3016551235678</v>
      </c>
      <c r="N27" s="107">
        <f t="shared" si="10"/>
        <v>16</v>
      </c>
      <c r="O27" s="107" t="str">
        <f t="shared" si="11"/>
        <v>LFA</v>
      </c>
      <c r="P27" s="110">
        <f t="shared" si="12"/>
        <v>9236.2682217435977</v>
      </c>
      <c r="Q27" s="107">
        <f t="shared" si="13"/>
        <v>36</v>
      </c>
      <c r="R27" s="107" t="str">
        <f t="shared" si="14"/>
        <v>EIA</v>
      </c>
    </row>
    <row r="28" spans="1:18" x14ac:dyDescent="0.25">
      <c r="A28" s="145">
        <f t="shared" si="15"/>
        <v>25</v>
      </c>
      <c r="B28" s="145" t="s">
        <v>157</v>
      </c>
      <c r="C28" s="107">
        <v>5905</v>
      </c>
      <c r="D28" s="150">
        <f t="shared" si="2"/>
        <v>1.7140485216512919E-2</v>
      </c>
      <c r="E28" s="106">
        <f t="shared" si="3"/>
        <v>492.08333333333331</v>
      </c>
      <c r="F28" s="113">
        <f t="shared" si="4"/>
        <v>23</v>
      </c>
      <c r="G28" s="110">
        <f t="shared" si="0"/>
        <v>5905</v>
      </c>
      <c r="H28" s="110">
        <f t="shared" si="1"/>
        <v>23</v>
      </c>
      <c r="I28" s="107" t="str">
        <f t="shared" si="5"/>
        <v>LFA</v>
      </c>
      <c r="J28" s="110">
        <f t="shared" si="6"/>
        <v>1081.3075098837176</v>
      </c>
      <c r="K28" s="107">
        <f t="shared" si="7"/>
        <v>5</v>
      </c>
      <c r="L28" s="107" t="str">
        <f t="shared" si="8"/>
        <v>LFA</v>
      </c>
      <c r="M28" s="110">
        <f t="shared" si="9"/>
        <v>4090.5253754651585</v>
      </c>
      <c r="N28" s="107">
        <f t="shared" si="10"/>
        <v>16</v>
      </c>
      <c r="O28" s="107" t="str">
        <f t="shared" si="11"/>
        <v>LFA</v>
      </c>
      <c r="P28" s="110">
        <f t="shared" si="12"/>
        <v>9209.7541116845568</v>
      </c>
      <c r="Q28" s="107">
        <f t="shared" si="13"/>
        <v>36</v>
      </c>
      <c r="R28" s="107" t="str">
        <f t="shared" si="14"/>
        <v>EIA</v>
      </c>
    </row>
    <row r="29" spans="1:18" x14ac:dyDescent="0.25">
      <c r="A29" s="145">
        <f t="shared" si="15"/>
        <v>26</v>
      </c>
      <c r="B29" s="145" t="s">
        <v>202</v>
      </c>
      <c r="C29" s="107">
        <v>5756</v>
      </c>
      <c r="D29" s="150">
        <f t="shared" si="2"/>
        <v>1.6707981863886261E-2</v>
      </c>
      <c r="E29" s="106">
        <f t="shared" si="3"/>
        <v>479.66666666666669</v>
      </c>
      <c r="F29" s="113">
        <f t="shared" si="4"/>
        <v>23</v>
      </c>
      <c r="G29" s="110">
        <f t="shared" si="0"/>
        <v>5756</v>
      </c>
      <c r="H29" s="110">
        <f t="shared" si="1"/>
        <v>23</v>
      </c>
      <c r="I29" s="107" t="str">
        <f t="shared" si="5"/>
        <v>LFA</v>
      </c>
      <c r="J29" s="110">
        <f t="shared" si="6"/>
        <v>1054.0230358832648</v>
      </c>
      <c r="K29" s="107">
        <f t="shared" si="7"/>
        <v>5</v>
      </c>
      <c r="L29" s="107" t="str">
        <f t="shared" si="8"/>
        <v>LFA</v>
      </c>
      <c r="M29" s="110">
        <f t="shared" si="9"/>
        <v>3987.3097478708642</v>
      </c>
      <c r="N29" s="107">
        <f t="shared" si="10"/>
        <v>16</v>
      </c>
      <c r="O29" s="107" t="str">
        <f t="shared" si="11"/>
        <v>LFA</v>
      </c>
      <c r="P29" s="110">
        <f t="shared" si="12"/>
        <v>8977.3657352847258</v>
      </c>
      <c r="Q29" s="107">
        <f t="shared" si="13"/>
        <v>35</v>
      </c>
      <c r="R29" s="107" t="str">
        <f t="shared" si="14"/>
        <v>LFA</v>
      </c>
    </row>
    <row r="30" spans="1:18" x14ac:dyDescent="0.25">
      <c r="A30" s="145">
        <f t="shared" si="15"/>
        <v>27</v>
      </c>
      <c r="B30" s="145" t="s">
        <v>203</v>
      </c>
      <c r="C30" s="107">
        <v>5535</v>
      </c>
      <c r="D30" s="150">
        <f t="shared" si="2"/>
        <v>1.6066483602607793E-2</v>
      </c>
      <c r="E30" s="106">
        <f t="shared" si="3"/>
        <v>461.25</v>
      </c>
      <c r="F30" s="113">
        <f t="shared" si="4"/>
        <v>22</v>
      </c>
      <c r="G30" s="110">
        <f t="shared" si="0"/>
        <v>5535</v>
      </c>
      <c r="H30" s="110">
        <f t="shared" si="1"/>
        <v>22</v>
      </c>
      <c r="I30" s="107" t="str">
        <f t="shared" si="5"/>
        <v>LFA</v>
      </c>
      <c r="J30" s="110">
        <f t="shared" si="6"/>
        <v>1013.5541180705126</v>
      </c>
      <c r="K30" s="107">
        <f t="shared" si="7"/>
        <v>4</v>
      </c>
      <c r="L30" s="107" t="str">
        <f t="shared" si="8"/>
        <v>LFA</v>
      </c>
      <c r="M30" s="110">
        <f t="shared" si="9"/>
        <v>3834.2181123115415</v>
      </c>
      <c r="N30" s="107">
        <f t="shared" si="10"/>
        <v>15</v>
      </c>
      <c r="O30" s="107" t="str">
        <f t="shared" si="11"/>
        <v>LFA</v>
      </c>
      <c r="P30" s="110">
        <f t="shared" si="12"/>
        <v>8632.6823045171932</v>
      </c>
      <c r="Q30" s="107">
        <f t="shared" si="13"/>
        <v>34</v>
      </c>
      <c r="R30" s="107" t="str">
        <f t="shared" si="14"/>
        <v>LFA</v>
      </c>
    </row>
    <row r="31" spans="1:18" x14ac:dyDescent="0.25">
      <c r="A31" s="145">
        <f t="shared" si="15"/>
        <v>28</v>
      </c>
      <c r="B31" s="145" t="s">
        <v>204</v>
      </c>
      <c r="C31" s="107">
        <v>5248</v>
      </c>
      <c r="D31" s="150">
        <f t="shared" si="2"/>
        <v>1.5233406675065165E-2</v>
      </c>
      <c r="E31" s="106">
        <f t="shared" si="3"/>
        <v>437.33333333333331</v>
      </c>
      <c r="F31" s="113">
        <f t="shared" si="4"/>
        <v>21</v>
      </c>
      <c r="G31" s="110">
        <f t="shared" si="0"/>
        <v>5248</v>
      </c>
      <c r="H31" s="110">
        <f t="shared" si="1"/>
        <v>21</v>
      </c>
      <c r="I31" s="107" t="str">
        <f t="shared" si="5"/>
        <v>LFA</v>
      </c>
      <c r="J31" s="110">
        <f t="shared" si="6"/>
        <v>960.99946009648602</v>
      </c>
      <c r="K31" s="107">
        <f t="shared" si="7"/>
        <v>4</v>
      </c>
      <c r="L31" s="107" t="str">
        <f t="shared" si="8"/>
        <v>LFA</v>
      </c>
      <c r="M31" s="110">
        <f t="shared" si="9"/>
        <v>3635.4068027842764</v>
      </c>
      <c r="N31" s="107">
        <f t="shared" si="10"/>
        <v>14</v>
      </c>
      <c r="O31" s="107" t="str">
        <f t="shared" si="11"/>
        <v>LFA</v>
      </c>
      <c r="P31" s="110">
        <f t="shared" si="12"/>
        <v>8185.0617405792636</v>
      </c>
      <c r="Q31" s="107">
        <f t="shared" si="13"/>
        <v>32</v>
      </c>
      <c r="R31" s="107" t="str">
        <f t="shared" si="14"/>
        <v>LFA</v>
      </c>
    </row>
    <row r="32" spans="1:18" x14ac:dyDescent="0.25">
      <c r="A32" s="145">
        <f t="shared" si="15"/>
        <v>29</v>
      </c>
      <c r="B32" s="145" t="s">
        <v>205</v>
      </c>
      <c r="C32" s="107">
        <v>5194</v>
      </c>
      <c r="D32" s="150">
        <f t="shared" si="2"/>
        <v>1.5076660493576309E-2</v>
      </c>
      <c r="E32" s="106">
        <f t="shared" si="3"/>
        <v>432.83333333333331</v>
      </c>
      <c r="F32" s="113">
        <f t="shared" si="4"/>
        <v>20</v>
      </c>
      <c r="G32" s="110">
        <f t="shared" si="0"/>
        <v>5194</v>
      </c>
      <c r="H32" s="110">
        <f t="shared" si="1"/>
        <v>20</v>
      </c>
      <c r="I32" s="107" t="str">
        <f t="shared" si="5"/>
        <v>LFA</v>
      </c>
      <c r="J32" s="110">
        <f t="shared" si="6"/>
        <v>951.11112723726148</v>
      </c>
      <c r="K32" s="107">
        <f t="shared" si="7"/>
        <v>4</v>
      </c>
      <c r="L32" s="107" t="str">
        <f t="shared" si="8"/>
        <v>LFA</v>
      </c>
      <c r="M32" s="110">
        <f t="shared" si="9"/>
        <v>3597.9997968105054</v>
      </c>
      <c r="N32" s="107">
        <f t="shared" si="10"/>
        <v>14</v>
      </c>
      <c r="O32" s="107" t="str">
        <f t="shared" si="11"/>
        <v>LFA</v>
      </c>
      <c r="P32" s="110">
        <f t="shared" si="12"/>
        <v>8100.8404498034861</v>
      </c>
      <c r="Q32" s="107">
        <f t="shared" si="13"/>
        <v>32</v>
      </c>
      <c r="R32" s="107" t="str">
        <f t="shared" si="14"/>
        <v>LFA</v>
      </c>
    </row>
    <row r="33" spans="1:18" x14ac:dyDescent="0.25">
      <c r="A33" s="145">
        <f t="shared" si="15"/>
        <v>30</v>
      </c>
      <c r="B33" s="145" t="s">
        <v>206</v>
      </c>
      <c r="C33" s="107">
        <v>4107</v>
      </c>
      <c r="D33" s="150">
        <f t="shared" si="2"/>
        <v>1.1921417914346919E-2</v>
      </c>
      <c r="E33" s="106">
        <f t="shared" si="3"/>
        <v>342.25</v>
      </c>
      <c r="F33" s="113">
        <f t="shared" si="4"/>
        <v>16</v>
      </c>
      <c r="G33" s="110">
        <f t="shared" si="0"/>
        <v>4107</v>
      </c>
      <c r="H33" s="110">
        <f t="shared" si="1"/>
        <v>16</v>
      </c>
      <c r="I33" s="107" t="str">
        <f t="shared" si="5"/>
        <v>LFA</v>
      </c>
      <c r="J33" s="110">
        <f t="shared" si="6"/>
        <v>752.06264912657548</v>
      </c>
      <c r="K33" s="107">
        <f t="shared" si="7"/>
        <v>3</v>
      </c>
      <c r="L33" s="107" t="str">
        <f t="shared" si="8"/>
        <v>LFA</v>
      </c>
      <c r="M33" s="110">
        <f t="shared" si="9"/>
        <v>2845.010621005149</v>
      </c>
      <c r="N33" s="107">
        <f t="shared" si="10"/>
        <v>11</v>
      </c>
      <c r="O33" s="107" t="str">
        <f t="shared" si="11"/>
        <v>LFA</v>
      </c>
      <c r="P33" s="110">
        <f t="shared" si="12"/>
        <v>6405.4970595577433</v>
      </c>
      <c r="Q33" s="107">
        <f t="shared" si="13"/>
        <v>25</v>
      </c>
      <c r="R33" s="107" t="str">
        <f t="shared" si="14"/>
        <v>LFA</v>
      </c>
    </row>
    <row r="34" spans="1:18" x14ac:dyDescent="0.25">
      <c r="A34" s="145">
        <f t="shared" si="15"/>
        <v>31</v>
      </c>
      <c r="B34" s="145" t="s">
        <v>207</v>
      </c>
      <c r="C34" s="107">
        <v>3814</v>
      </c>
      <c r="D34" s="150">
        <f t="shared" si="2"/>
        <v>1.1070924744416642E-2</v>
      </c>
      <c r="E34" s="106">
        <f t="shared" si="3"/>
        <v>317.83333333333331</v>
      </c>
      <c r="F34" s="113">
        <f t="shared" si="4"/>
        <v>15</v>
      </c>
      <c r="G34" s="110">
        <f t="shared" si="0"/>
        <v>3814</v>
      </c>
      <c r="H34" s="110">
        <f t="shared" si="1"/>
        <v>15</v>
      </c>
      <c r="I34" s="107" t="str">
        <f t="shared" si="5"/>
        <v>LFA</v>
      </c>
      <c r="J34" s="110">
        <f t="shared" si="6"/>
        <v>698.40928750152398</v>
      </c>
      <c r="K34" s="107">
        <f t="shared" si="7"/>
        <v>3</v>
      </c>
      <c r="L34" s="107" t="str">
        <f t="shared" si="8"/>
        <v>LFA</v>
      </c>
      <c r="M34" s="110">
        <f t="shared" si="9"/>
        <v>2642.0429774807985</v>
      </c>
      <c r="N34" s="107">
        <f t="shared" si="10"/>
        <v>11</v>
      </c>
      <c r="O34" s="107" t="str">
        <f>IF(N34&lt;=30,"LFA","EIA")</f>
        <v>LFA</v>
      </c>
      <c r="P34" s="110">
        <f t="shared" si="12"/>
        <v>5948.5185744225064</v>
      </c>
      <c r="Q34" s="107">
        <f t="shared" si="13"/>
        <v>23</v>
      </c>
      <c r="R34" s="107" t="str">
        <f>IF(Q34&lt;=30,"LFA","EIA")</f>
        <v>LFA</v>
      </c>
    </row>
    <row r="35" spans="1:18" x14ac:dyDescent="0.25">
      <c r="A35" s="145">
        <f t="shared" si="15"/>
        <v>32</v>
      </c>
      <c r="B35" s="145" t="s">
        <v>208</v>
      </c>
      <c r="C35" s="107">
        <v>3805</v>
      </c>
      <c r="D35" s="150">
        <f t="shared" si="2"/>
        <v>1.1044800380835168E-2</v>
      </c>
      <c r="E35" s="106">
        <f t="shared" si="3"/>
        <v>317.08333333333331</v>
      </c>
      <c r="F35" s="113">
        <f t="shared" si="4"/>
        <v>15</v>
      </c>
      <c r="G35" s="110">
        <f t="shared" si="0"/>
        <v>3805</v>
      </c>
      <c r="H35" s="110">
        <f t="shared" si="1"/>
        <v>15</v>
      </c>
      <c r="I35" s="107" t="str">
        <f t="shared" si="5"/>
        <v>LFA</v>
      </c>
      <c r="J35" s="110">
        <f t="shared" si="6"/>
        <v>696.7612320249865</v>
      </c>
      <c r="K35" s="107">
        <f t="shared" si="7"/>
        <v>3</v>
      </c>
      <c r="L35" s="107" t="str">
        <f t="shared" si="8"/>
        <v>LFA</v>
      </c>
      <c r="M35" s="110">
        <f t="shared" si="9"/>
        <v>2635.8084764851701</v>
      </c>
      <c r="N35" s="107">
        <f t="shared" si="10"/>
        <v>11</v>
      </c>
      <c r="O35" s="107" t="str">
        <f t="shared" ref="O35:O55" si="16">IF(N35&lt;=30,"LFA","EIA")</f>
        <v>LFA</v>
      </c>
      <c r="P35" s="110">
        <f t="shared" si="12"/>
        <v>5934.481692626543</v>
      </c>
      <c r="Q35" s="107">
        <f t="shared" si="13"/>
        <v>23</v>
      </c>
      <c r="R35" s="107" t="str">
        <f t="shared" ref="R35:R55" si="17">IF(Q35&lt;=30,"LFA","EIA")</f>
        <v>LFA</v>
      </c>
    </row>
    <row r="36" spans="1:18" x14ac:dyDescent="0.25">
      <c r="A36" s="145">
        <f t="shared" si="15"/>
        <v>33</v>
      </c>
      <c r="B36" s="145" t="s">
        <v>209</v>
      </c>
      <c r="C36" s="107">
        <v>3602</v>
      </c>
      <c r="D36" s="150">
        <f t="shared" si="2"/>
        <v>1.045555084671965E-2</v>
      </c>
      <c r="E36" s="106">
        <f t="shared" si="3"/>
        <v>300.16666666666669</v>
      </c>
      <c r="F36" s="113">
        <f t="shared" si="4"/>
        <v>14</v>
      </c>
      <c r="G36" s="110">
        <f t="shared" ref="G36:G55" si="18">+C36</f>
        <v>3602</v>
      </c>
      <c r="H36" s="110">
        <f t="shared" ref="H36:H55" si="19">+F36</f>
        <v>14</v>
      </c>
      <c r="I36" s="107" t="str">
        <f t="shared" si="5"/>
        <v>LFA</v>
      </c>
      <c r="J36" s="110">
        <f t="shared" si="6"/>
        <v>659.58842516530922</v>
      </c>
      <c r="K36" s="107">
        <f t="shared" si="7"/>
        <v>3</v>
      </c>
      <c r="L36" s="107" t="str">
        <f t="shared" si="8"/>
        <v>LFA</v>
      </c>
      <c r="M36" s="110">
        <f t="shared" si="9"/>
        <v>2495.1858429171043</v>
      </c>
      <c r="N36" s="107">
        <f t="shared" si="10"/>
        <v>10</v>
      </c>
      <c r="O36" s="107" t="str">
        <f t="shared" si="16"/>
        <v>LFA</v>
      </c>
      <c r="P36" s="110">
        <f t="shared" si="12"/>
        <v>5617.8720254509353</v>
      </c>
      <c r="Q36" s="107">
        <f t="shared" si="13"/>
        <v>22</v>
      </c>
      <c r="R36" s="107" t="str">
        <f t="shared" si="17"/>
        <v>LFA</v>
      </c>
    </row>
    <row r="37" spans="1:18" x14ac:dyDescent="0.25">
      <c r="A37" s="145">
        <f t="shared" si="15"/>
        <v>34</v>
      </c>
      <c r="B37" s="145" t="s">
        <v>210</v>
      </c>
      <c r="C37" s="107">
        <v>3558</v>
      </c>
      <c r="D37" s="150">
        <f t="shared" si="2"/>
        <v>1.0327831735876879E-2</v>
      </c>
      <c r="E37" s="106">
        <f t="shared" si="3"/>
        <v>296.5</v>
      </c>
      <c r="F37" s="113">
        <f t="shared" si="4"/>
        <v>14</v>
      </c>
      <c r="G37" s="110">
        <f t="shared" si="18"/>
        <v>3558</v>
      </c>
      <c r="H37" s="110">
        <f t="shared" si="19"/>
        <v>14</v>
      </c>
      <c r="I37" s="107" t="str">
        <f t="shared" si="5"/>
        <v>LFA</v>
      </c>
      <c r="J37" s="110">
        <f t="shared" ref="J37:J55" si="20">+G37*$L$1</f>
        <v>651.53126505779289</v>
      </c>
      <c r="K37" s="107">
        <f t="shared" si="7"/>
        <v>3</v>
      </c>
      <c r="L37" s="107" t="str">
        <f t="shared" si="8"/>
        <v>LFA</v>
      </c>
      <c r="M37" s="110">
        <f t="shared" si="9"/>
        <v>2464.7060602718093</v>
      </c>
      <c r="N37" s="107">
        <f t="shared" si="10"/>
        <v>10</v>
      </c>
      <c r="O37" s="107" t="str">
        <f t="shared" si="16"/>
        <v>LFA</v>
      </c>
      <c r="P37" s="110">
        <f t="shared" si="12"/>
        <v>5549.2472700040053</v>
      </c>
      <c r="Q37" s="107">
        <f t="shared" si="13"/>
        <v>22</v>
      </c>
      <c r="R37" s="107" t="str">
        <f t="shared" si="17"/>
        <v>LFA</v>
      </c>
    </row>
    <row r="38" spans="1:18" x14ac:dyDescent="0.25">
      <c r="A38" s="145">
        <f t="shared" si="15"/>
        <v>35</v>
      </c>
      <c r="B38" s="145" t="s">
        <v>211</v>
      </c>
      <c r="C38" s="107">
        <v>3396</v>
      </c>
      <c r="D38" s="150">
        <f t="shared" si="2"/>
        <v>9.857593191410309E-3</v>
      </c>
      <c r="E38" s="106">
        <f t="shared" si="3"/>
        <v>283</v>
      </c>
      <c r="F38" s="113">
        <f t="shared" si="4"/>
        <v>14</v>
      </c>
      <c r="G38" s="110">
        <f t="shared" si="18"/>
        <v>3396</v>
      </c>
      <c r="H38" s="110">
        <f t="shared" si="19"/>
        <v>14</v>
      </c>
      <c r="I38" s="107" t="str">
        <f t="shared" si="5"/>
        <v>LFA</v>
      </c>
      <c r="J38" s="110">
        <f t="shared" si="20"/>
        <v>621.86626648011941</v>
      </c>
      <c r="K38" s="107">
        <f t="shared" si="7"/>
        <v>3</v>
      </c>
      <c r="L38" s="107" t="str">
        <f t="shared" si="8"/>
        <v>LFA</v>
      </c>
      <c r="M38" s="110">
        <f t="shared" si="9"/>
        <v>2352.4850423504959</v>
      </c>
      <c r="N38" s="107">
        <f t="shared" si="10"/>
        <v>10</v>
      </c>
      <c r="O38" s="107" t="str">
        <f t="shared" si="16"/>
        <v>LFA</v>
      </c>
      <c r="P38" s="110">
        <f t="shared" si="12"/>
        <v>5296.5833976766735</v>
      </c>
      <c r="Q38" s="107">
        <f t="shared" si="13"/>
        <v>21</v>
      </c>
      <c r="R38" s="107" t="str">
        <f t="shared" si="17"/>
        <v>LFA</v>
      </c>
    </row>
    <row r="39" spans="1:18" x14ac:dyDescent="0.25">
      <c r="A39" s="145">
        <f t="shared" si="15"/>
        <v>36</v>
      </c>
      <c r="B39" s="145" t="s">
        <v>212</v>
      </c>
      <c r="C39" s="107">
        <v>3004</v>
      </c>
      <c r="D39" s="150">
        <f t="shared" si="2"/>
        <v>8.7197320220837957E-3</v>
      </c>
      <c r="E39" s="106">
        <f t="shared" si="3"/>
        <v>250.33333333333334</v>
      </c>
      <c r="F39" s="113">
        <f t="shared" si="4"/>
        <v>12</v>
      </c>
      <c r="G39" s="110">
        <f t="shared" si="18"/>
        <v>3004</v>
      </c>
      <c r="H39" s="110">
        <f t="shared" si="19"/>
        <v>12</v>
      </c>
      <c r="I39" s="107" t="str">
        <f t="shared" si="5"/>
        <v>LFA</v>
      </c>
      <c r="J39" s="110">
        <f t="shared" si="20"/>
        <v>550.08429461315632</v>
      </c>
      <c r="K39" s="107">
        <f t="shared" si="7"/>
        <v>3</v>
      </c>
      <c r="L39" s="107" t="str">
        <f t="shared" si="8"/>
        <v>LFA</v>
      </c>
      <c r="M39" s="110">
        <f t="shared" si="9"/>
        <v>2080.9378878742314</v>
      </c>
      <c r="N39" s="107">
        <f t="shared" si="10"/>
        <v>8</v>
      </c>
      <c r="O39" s="107" t="str">
        <f t="shared" si="16"/>
        <v>LFA</v>
      </c>
      <c r="P39" s="110">
        <f t="shared" si="12"/>
        <v>4685.1992127858439</v>
      </c>
      <c r="Q39" s="107">
        <f t="shared" si="13"/>
        <v>18</v>
      </c>
      <c r="R39" s="107" t="str">
        <f t="shared" si="17"/>
        <v>LFA</v>
      </c>
    </row>
    <row r="40" spans="1:18" x14ac:dyDescent="0.25">
      <c r="A40" s="145">
        <f t="shared" si="15"/>
        <v>37</v>
      </c>
      <c r="B40" s="145" t="s">
        <v>213</v>
      </c>
      <c r="C40" s="107">
        <v>2401</v>
      </c>
      <c r="D40" s="150">
        <f t="shared" si="2"/>
        <v>6.9693996621248977E-3</v>
      </c>
      <c r="E40" s="106">
        <f t="shared" si="3"/>
        <v>200.08333333333334</v>
      </c>
      <c r="F40" s="113">
        <f t="shared" si="4"/>
        <v>10</v>
      </c>
      <c r="G40" s="110">
        <f t="shared" si="18"/>
        <v>2401</v>
      </c>
      <c r="H40" s="110">
        <f t="shared" si="19"/>
        <v>10</v>
      </c>
      <c r="I40" s="107" t="str">
        <f t="shared" si="5"/>
        <v>LFA</v>
      </c>
      <c r="J40" s="110">
        <f t="shared" si="20"/>
        <v>439.6645776851492</v>
      </c>
      <c r="K40" s="107">
        <f t="shared" si="7"/>
        <v>2</v>
      </c>
      <c r="L40" s="107" t="str">
        <f t="shared" si="8"/>
        <v>LFA</v>
      </c>
      <c r="M40" s="110">
        <f t="shared" si="9"/>
        <v>1663.2263211671204</v>
      </c>
      <c r="N40" s="107">
        <f t="shared" si="10"/>
        <v>7</v>
      </c>
      <c r="O40" s="107" t="str">
        <f t="shared" si="16"/>
        <v>LFA</v>
      </c>
      <c r="P40" s="110">
        <f t="shared" si="12"/>
        <v>3744.7281324563287</v>
      </c>
      <c r="Q40" s="107">
        <f t="shared" si="13"/>
        <v>15</v>
      </c>
      <c r="R40" s="107" t="str">
        <f t="shared" si="17"/>
        <v>LFA</v>
      </c>
    </row>
    <row r="41" spans="1:18" x14ac:dyDescent="0.25">
      <c r="A41" s="145">
        <f t="shared" si="15"/>
        <v>38</v>
      </c>
      <c r="B41" s="145" t="s">
        <v>214</v>
      </c>
      <c r="C41" s="107">
        <v>2211</v>
      </c>
      <c r="D41" s="150">
        <f t="shared" si="2"/>
        <v>6.4178853198492911E-3</v>
      </c>
      <c r="E41" s="106">
        <f t="shared" si="3"/>
        <v>184.25</v>
      </c>
      <c r="F41" s="113">
        <f t="shared" si="4"/>
        <v>9</v>
      </c>
      <c r="G41" s="110">
        <f t="shared" si="18"/>
        <v>2211</v>
      </c>
      <c r="H41" s="110">
        <f t="shared" si="19"/>
        <v>9</v>
      </c>
      <c r="I41" s="107" t="str">
        <f t="shared" si="5"/>
        <v>LFA</v>
      </c>
      <c r="J41" s="110">
        <f t="shared" si="20"/>
        <v>404.8722954026926</v>
      </c>
      <c r="K41" s="107">
        <f t="shared" si="7"/>
        <v>2</v>
      </c>
      <c r="L41" s="107" t="str">
        <f t="shared" si="8"/>
        <v>LFA</v>
      </c>
      <c r="M41" s="110">
        <f t="shared" si="9"/>
        <v>1531.6090779260737</v>
      </c>
      <c r="N41" s="107">
        <f t="shared" si="10"/>
        <v>6</v>
      </c>
      <c r="O41" s="107" t="str">
        <f t="shared" si="16"/>
        <v>LFA</v>
      </c>
      <c r="P41" s="110">
        <f t="shared" si="12"/>
        <v>3448.3939612082227</v>
      </c>
      <c r="Q41" s="107">
        <f t="shared" si="13"/>
        <v>14</v>
      </c>
      <c r="R41" s="107" t="str">
        <f t="shared" si="17"/>
        <v>LFA</v>
      </c>
    </row>
    <row r="42" spans="1:18" x14ac:dyDescent="0.25">
      <c r="A42" s="145">
        <f t="shared" si="15"/>
        <v>39</v>
      </c>
      <c r="B42" s="145" t="s">
        <v>215</v>
      </c>
      <c r="C42" s="107">
        <v>1907</v>
      </c>
      <c r="D42" s="150">
        <f t="shared" si="2"/>
        <v>5.5354623722083211E-3</v>
      </c>
      <c r="E42" s="106">
        <f t="shared" si="3"/>
        <v>158.91666666666666</v>
      </c>
      <c r="F42" s="113">
        <f t="shared" si="4"/>
        <v>8</v>
      </c>
      <c r="G42" s="110">
        <f t="shared" si="18"/>
        <v>1907</v>
      </c>
      <c r="H42" s="110">
        <f t="shared" si="19"/>
        <v>8</v>
      </c>
      <c r="I42" s="107" t="str">
        <f t="shared" si="5"/>
        <v>LFA</v>
      </c>
      <c r="J42" s="110">
        <f t="shared" si="20"/>
        <v>349.20464375076199</v>
      </c>
      <c r="K42" s="107">
        <f t="shared" si="7"/>
        <v>2</v>
      </c>
      <c r="L42" s="107" t="str">
        <f t="shared" si="8"/>
        <v>LFA</v>
      </c>
      <c r="M42" s="110">
        <f t="shared" si="9"/>
        <v>1321.0214887403993</v>
      </c>
      <c r="N42" s="107">
        <f t="shared" si="10"/>
        <v>6</v>
      </c>
      <c r="O42" s="107" t="str">
        <f t="shared" si="16"/>
        <v>LFA</v>
      </c>
      <c r="P42" s="110">
        <f t="shared" si="12"/>
        <v>2974.2592872112532</v>
      </c>
      <c r="Q42" s="107">
        <f t="shared" si="13"/>
        <v>12</v>
      </c>
      <c r="R42" s="107" t="str">
        <f t="shared" si="17"/>
        <v>LFA</v>
      </c>
    </row>
    <row r="43" spans="1:18" x14ac:dyDescent="0.25">
      <c r="A43" s="145">
        <f t="shared" si="15"/>
        <v>40</v>
      </c>
      <c r="B43" s="145" t="s">
        <v>216</v>
      </c>
      <c r="C43" s="107">
        <v>1902</v>
      </c>
      <c r="D43" s="150">
        <f t="shared" si="2"/>
        <v>5.5209488368852793E-3</v>
      </c>
      <c r="E43" s="106">
        <f t="shared" si="3"/>
        <v>158.5</v>
      </c>
      <c r="F43" s="113">
        <f t="shared" si="4"/>
        <v>8</v>
      </c>
      <c r="G43" s="110">
        <f t="shared" si="18"/>
        <v>1902</v>
      </c>
      <c r="H43" s="110">
        <f t="shared" si="19"/>
        <v>8</v>
      </c>
      <c r="I43" s="107" t="str">
        <f t="shared" si="5"/>
        <v>LFA</v>
      </c>
      <c r="J43" s="110">
        <f t="shared" si="20"/>
        <v>348.28905737490788</v>
      </c>
      <c r="K43" s="107">
        <f t="shared" si="7"/>
        <v>2</v>
      </c>
      <c r="L43" s="107" t="str">
        <f t="shared" si="8"/>
        <v>LFA</v>
      </c>
      <c r="M43" s="110">
        <f t="shared" si="9"/>
        <v>1317.557877076161</v>
      </c>
      <c r="N43" s="107">
        <f t="shared" si="10"/>
        <v>6</v>
      </c>
      <c r="O43" s="107" t="str">
        <f t="shared" si="16"/>
        <v>LFA</v>
      </c>
      <c r="P43" s="110">
        <f t="shared" si="12"/>
        <v>2966.4610195468294</v>
      </c>
      <c r="Q43" s="107">
        <f t="shared" si="13"/>
        <v>12</v>
      </c>
      <c r="R43" s="107" t="str">
        <f t="shared" si="17"/>
        <v>LFA</v>
      </c>
    </row>
    <row r="44" spans="1:18" x14ac:dyDescent="0.25">
      <c r="A44" s="145">
        <f t="shared" si="15"/>
        <v>41</v>
      </c>
      <c r="B44" s="145" t="s">
        <v>217</v>
      </c>
      <c r="C44" s="107">
        <v>1892</v>
      </c>
      <c r="D44" s="150">
        <f t="shared" si="2"/>
        <v>5.4919217662391948E-3</v>
      </c>
      <c r="E44" s="106">
        <f t="shared" si="3"/>
        <v>157.66666666666666</v>
      </c>
      <c r="F44" s="113">
        <f t="shared" si="4"/>
        <v>8</v>
      </c>
      <c r="G44" s="110">
        <f t="shared" si="18"/>
        <v>1892</v>
      </c>
      <c r="H44" s="110">
        <f t="shared" si="19"/>
        <v>8</v>
      </c>
      <c r="I44" s="107" t="str">
        <f t="shared" si="5"/>
        <v>LFA</v>
      </c>
      <c r="J44" s="110">
        <f t="shared" si="20"/>
        <v>346.45788462319962</v>
      </c>
      <c r="K44" s="107">
        <f t="shared" si="7"/>
        <v>2</v>
      </c>
      <c r="L44" s="107" t="str">
        <f t="shared" si="8"/>
        <v>LFA</v>
      </c>
      <c r="M44" s="110">
        <f t="shared" si="9"/>
        <v>1310.6306537476851</v>
      </c>
      <c r="N44" s="107">
        <f t="shared" si="10"/>
        <v>6</v>
      </c>
      <c r="O44" s="107" t="str">
        <f t="shared" si="16"/>
        <v>LFA</v>
      </c>
      <c r="P44" s="110">
        <f t="shared" si="12"/>
        <v>2950.8644842179815</v>
      </c>
      <c r="Q44" s="107">
        <f t="shared" si="13"/>
        <v>12</v>
      </c>
      <c r="R44" s="107" t="str">
        <f t="shared" si="17"/>
        <v>LFA</v>
      </c>
    </row>
    <row r="45" spans="1:18" x14ac:dyDescent="0.25">
      <c r="A45" s="145">
        <f t="shared" si="15"/>
        <v>42</v>
      </c>
      <c r="B45" s="145" t="s">
        <v>218</v>
      </c>
      <c r="C45" s="107">
        <v>1551</v>
      </c>
      <c r="D45" s="150">
        <f t="shared" si="2"/>
        <v>4.5020986572077122E-3</v>
      </c>
      <c r="E45" s="106">
        <f t="shared" si="3"/>
        <v>129.25</v>
      </c>
      <c r="F45" s="113">
        <f t="shared" si="4"/>
        <v>6</v>
      </c>
      <c r="G45" s="110">
        <f t="shared" si="18"/>
        <v>1551</v>
      </c>
      <c r="H45" s="110">
        <f t="shared" si="19"/>
        <v>6</v>
      </c>
      <c r="I45" s="107" t="str">
        <f t="shared" si="5"/>
        <v>LFA</v>
      </c>
      <c r="J45" s="110">
        <f t="shared" si="20"/>
        <v>284.01489378994853</v>
      </c>
      <c r="K45" s="107">
        <f t="shared" si="7"/>
        <v>2</v>
      </c>
      <c r="L45" s="107" t="str">
        <f t="shared" si="8"/>
        <v>LFA</v>
      </c>
      <c r="M45" s="110">
        <f t="shared" si="9"/>
        <v>1074.4123382466487</v>
      </c>
      <c r="N45" s="107">
        <f t="shared" si="10"/>
        <v>5</v>
      </c>
      <c r="O45" s="107" t="str">
        <f t="shared" si="16"/>
        <v>LFA</v>
      </c>
      <c r="P45" s="110">
        <f t="shared" si="12"/>
        <v>2419.0226295042758</v>
      </c>
      <c r="Q45" s="107">
        <f t="shared" si="13"/>
        <v>10</v>
      </c>
      <c r="R45" s="107" t="str">
        <f t="shared" si="17"/>
        <v>LFA</v>
      </c>
    </row>
    <row r="46" spans="1:18" x14ac:dyDescent="0.25">
      <c r="A46" s="145">
        <f t="shared" si="15"/>
        <v>43</v>
      </c>
      <c r="B46" s="145" t="s">
        <v>219</v>
      </c>
      <c r="C46" s="107">
        <v>1514</v>
      </c>
      <c r="D46" s="150">
        <f t="shared" si="2"/>
        <v>4.3946984958171988E-3</v>
      </c>
      <c r="E46" s="106">
        <f t="shared" si="3"/>
        <v>126.16666666666667</v>
      </c>
      <c r="F46" s="113">
        <f t="shared" si="4"/>
        <v>6</v>
      </c>
      <c r="G46" s="110">
        <f t="shared" si="18"/>
        <v>1514</v>
      </c>
      <c r="H46" s="110">
        <f t="shared" si="19"/>
        <v>6</v>
      </c>
      <c r="I46" s="107" t="str">
        <f t="shared" si="5"/>
        <v>LFA</v>
      </c>
      <c r="J46" s="110">
        <f t="shared" si="20"/>
        <v>277.239554608628</v>
      </c>
      <c r="K46" s="107">
        <f t="shared" si="7"/>
        <v>2</v>
      </c>
      <c r="L46" s="107" t="str">
        <f t="shared" si="8"/>
        <v>LFA</v>
      </c>
      <c r="M46" s="110">
        <f t="shared" si="9"/>
        <v>1048.781611931287</v>
      </c>
      <c r="N46" s="107">
        <f t="shared" si="10"/>
        <v>5</v>
      </c>
      <c r="O46" s="107" t="str">
        <f t="shared" si="16"/>
        <v>LFA</v>
      </c>
      <c r="P46" s="110">
        <f t="shared" si="12"/>
        <v>2361.315448787539</v>
      </c>
      <c r="Q46" s="107">
        <f t="shared" si="13"/>
        <v>10</v>
      </c>
      <c r="R46" s="107" t="str">
        <f t="shared" si="17"/>
        <v>LFA</v>
      </c>
    </row>
    <row r="47" spans="1:18" x14ac:dyDescent="0.25">
      <c r="A47" s="145">
        <f t="shared" si="15"/>
        <v>44</v>
      </c>
      <c r="B47" s="145" t="s">
        <v>220</v>
      </c>
      <c r="C47" s="107">
        <v>1423</v>
      </c>
      <c r="D47" s="150">
        <f t="shared" si="2"/>
        <v>4.1305521529378299E-3</v>
      </c>
      <c r="E47" s="106">
        <f t="shared" si="3"/>
        <v>118.58333333333333</v>
      </c>
      <c r="F47" s="113">
        <f t="shared" si="4"/>
        <v>6</v>
      </c>
      <c r="G47" s="110">
        <f t="shared" si="18"/>
        <v>1423</v>
      </c>
      <c r="H47" s="110">
        <f t="shared" si="19"/>
        <v>6</v>
      </c>
      <c r="I47" s="107" t="str">
        <f t="shared" si="5"/>
        <v>LFA</v>
      </c>
      <c r="J47" s="110">
        <f t="shared" si="20"/>
        <v>260.57588256808299</v>
      </c>
      <c r="K47" s="107">
        <f t="shared" si="7"/>
        <v>1</v>
      </c>
      <c r="L47" s="107" t="str">
        <f t="shared" si="8"/>
        <v>LFA</v>
      </c>
      <c r="M47" s="110">
        <f t="shared" si="9"/>
        <v>985.74387964215418</v>
      </c>
      <c r="N47" s="107">
        <f t="shared" si="10"/>
        <v>4</v>
      </c>
      <c r="O47" s="107" t="str">
        <f t="shared" si="16"/>
        <v>LFA</v>
      </c>
      <c r="P47" s="110">
        <f t="shared" si="12"/>
        <v>2219.3869772950252</v>
      </c>
      <c r="Q47" s="107">
        <f t="shared" si="13"/>
        <v>9</v>
      </c>
      <c r="R47" s="107" t="str">
        <f t="shared" si="17"/>
        <v>LFA</v>
      </c>
    </row>
    <row r="48" spans="1:18" x14ac:dyDescent="0.25">
      <c r="A48" s="145">
        <f t="shared" si="15"/>
        <v>45</v>
      </c>
      <c r="B48" s="145" t="s">
        <v>221</v>
      </c>
      <c r="C48" s="107">
        <v>1369</v>
      </c>
      <c r="D48" s="150">
        <f t="shared" si="2"/>
        <v>3.9738059714489737E-3</v>
      </c>
      <c r="E48" s="106">
        <f t="shared" si="3"/>
        <v>114.08333333333333</v>
      </c>
      <c r="F48" s="113">
        <f t="shared" si="4"/>
        <v>6</v>
      </c>
      <c r="G48" s="110">
        <f t="shared" si="18"/>
        <v>1369</v>
      </c>
      <c r="H48" s="110">
        <f t="shared" si="19"/>
        <v>6</v>
      </c>
      <c r="I48" s="107" t="str">
        <f t="shared" si="5"/>
        <v>LFA</v>
      </c>
      <c r="J48" s="110">
        <f t="shared" si="20"/>
        <v>250.68754970885851</v>
      </c>
      <c r="K48" s="107">
        <f t="shared" si="7"/>
        <v>1</v>
      </c>
      <c r="L48" s="107" t="str">
        <f t="shared" si="8"/>
        <v>LFA</v>
      </c>
      <c r="M48" s="110">
        <f t="shared" si="9"/>
        <v>948.33687366838308</v>
      </c>
      <c r="N48" s="107">
        <f t="shared" si="10"/>
        <v>4</v>
      </c>
      <c r="O48" s="107" t="str">
        <f t="shared" si="16"/>
        <v>LFA</v>
      </c>
      <c r="P48" s="110">
        <f t="shared" si="12"/>
        <v>2135.1656865192476</v>
      </c>
      <c r="Q48" s="107">
        <f t="shared" si="13"/>
        <v>9</v>
      </c>
      <c r="R48" s="107" t="str">
        <f t="shared" si="17"/>
        <v>LFA</v>
      </c>
    </row>
    <row r="49" spans="1:18" x14ac:dyDescent="0.25">
      <c r="A49" s="145">
        <f t="shared" si="15"/>
        <v>46</v>
      </c>
      <c r="B49" s="145" t="s">
        <v>222</v>
      </c>
      <c r="C49" s="107">
        <v>1310</v>
      </c>
      <c r="D49" s="150">
        <f t="shared" si="2"/>
        <v>3.8025462546370744E-3</v>
      </c>
      <c r="E49" s="106">
        <f t="shared" si="3"/>
        <v>109.16666666666667</v>
      </c>
      <c r="F49" s="113">
        <f t="shared" si="4"/>
        <v>6</v>
      </c>
      <c r="G49" s="110">
        <f t="shared" si="18"/>
        <v>1310</v>
      </c>
      <c r="H49" s="110">
        <f t="shared" si="19"/>
        <v>6</v>
      </c>
      <c r="I49" s="107" t="str">
        <f t="shared" si="5"/>
        <v>LFA</v>
      </c>
      <c r="J49" s="110">
        <f t="shared" si="20"/>
        <v>239.88363047377987</v>
      </c>
      <c r="K49" s="107">
        <f t="shared" si="7"/>
        <v>1</v>
      </c>
      <c r="L49" s="107" t="str">
        <f t="shared" si="8"/>
        <v>LFA</v>
      </c>
      <c r="M49" s="110">
        <f t="shared" si="9"/>
        <v>907.46625603037387</v>
      </c>
      <c r="N49" s="107">
        <f t="shared" si="10"/>
        <v>4</v>
      </c>
      <c r="O49" s="107" t="str">
        <f t="shared" si="16"/>
        <v>LFA</v>
      </c>
      <c r="P49" s="110">
        <f t="shared" si="12"/>
        <v>2043.1461280790463</v>
      </c>
      <c r="Q49" s="107">
        <f t="shared" si="13"/>
        <v>8</v>
      </c>
      <c r="R49" s="107" t="str">
        <f t="shared" si="17"/>
        <v>LFA</v>
      </c>
    </row>
    <row r="50" spans="1:18" x14ac:dyDescent="0.25">
      <c r="A50" s="145">
        <f t="shared" si="15"/>
        <v>47</v>
      </c>
      <c r="B50" s="145" t="s">
        <v>223</v>
      </c>
      <c r="C50" s="107">
        <v>1233</v>
      </c>
      <c r="D50" s="150">
        <f t="shared" si="2"/>
        <v>3.5790378106622237E-3</v>
      </c>
      <c r="E50" s="106">
        <f t="shared" si="3"/>
        <v>102.75</v>
      </c>
      <c r="F50" s="113">
        <f t="shared" si="4"/>
        <v>5</v>
      </c>
      <c r="G50" s="110">
        <f t="shared" si="18"/>
        <v>1233</v>
      </c>
      <c r="H50" s="110">
        <f t="shared" si="19"/>
        <v>5</v>
      </c>
      <c r="I50" s="107" t="str">
        <f t="shared" si="5"/>
        <v>LFA</v>
      </c>
      <c r="J50" s="110">
        <f t="shared" si="20"/>
        <v>225.78360028562639</v>
      </c>
      <c r="K50" s="107">
        <f t="shared" si="7"/>
        <v>1</v>
      </c>
      <c r="L50" s="107" t="str">
        <f t="shared" si="8"/>
        <v>LFA</v>
      </c>
      <c r="M50" s="110">
        <f t="shared" si="9"/>
        <v>854.12663640110759</v>
      </c>
      <c r="N50" s="107">
        <f t="shared" si="10"/>
        <v>4</v>
      </c>
      <c r="O50" s="107" t="str">
        <f t="shared" si="16"/>
        <v>LFA</v>
      </c>
      <c r="P50" s="110">
        <f t="shared" si="12"/>
        <v>1923.0528060469194</v>
      </c>
      <c r="Q50" s="107">
        <f t="shared" si="13"/>
        <v>8</v>
      </c>
      <c r="R50" s="107" t="str">
        <f t="shared" si="17"/>
        <v>LFA</v>
      </c>
    </row>
    <row r="51" spans="1:18" x14ac:dyDescent="0.25">
      <c r="A51" s="145">
        <f t="shared" si="15"/>
        <v>48</v>
      </c>
      <c r="B51" s="145" t="s">
        <v>224</v>
      </c>
      <c r="C51" s="107">
        <v>857</v>
      </c>
      <c r="D51" s="150">
        <f t="shared" si="2"/>
        <v>2.487619954369445E-3</v>
      </c>
      <c r="E51" s="106">
        <f t="shared" si="3"/>
        <v>71.416666666666671</v>
      </c>
      <c r="F51" s="113">
        <f t="shared" si="4"/>
        <v>4</v>
      </c>
      <c r="G51" s="110">
        <f t="shared" si="18"/>
        <v>857</v>
      </c>
      <c r="H51" s="110">
        <f t="shared" si="19"/>
        <v>4</v>
      </c>
      <c r="I51" s="107" t="str">
        <f t="shared" si="5"/>
        <v>LFA</v>
      </c>
      <c r="J51" s="110">
        <f t="shared" si="20"/>
        <v>156.93150482139646</v>
      </c>
      <c r="K51" s="107">
        <f t="shared" si="7"/>
        <v>1</v>
      </c>
      <c r="L51" s="107" t="str">
        <f t="shared" si="8"/>
        <v>LFA</v>
      </c>
      <c r="M51" s="110">
        <f t="shared" si="9"/>
        <v>593.66303925040484</v>
      </c>
      <c r="N51" s="107">
        <f t="shared" si="10"/>
        <v>3</v>
      </c>
      <c r="O51" s="107" t="str">
        <f t="shared" si="16"/>
        <v>LFA</v>
      </c>
      <c r="P51" s="110">
        <f t="shared" si="12"/>
        <v>1336.6230776822465</v>
      </c>
      <c r="Q51" s="107">
        <f t="shared" si="13"/>
        <v>6</v>
      </c>
      <c r="R51" s="107" t="str">
        <f t="shared" si="17"/>
        <v>LFA</v>
      </c>
    </row>
    <row r="52" spans="1:18" x14ac:dyDescent="0.25">
      <c r="A52" s="145">
        <f t="shared" si="15"/>
        <v>49</v>
      </c>
      <c r="B52" s="145" t="s">
        <v>225</v>
      </c>
      <c r="C52" s="107">
        <v>853</v>
      </c>
      <c r="D52" s="150">
        <f t="shared" si="2"/>
        <v>2.4760091261110113E-3</v>
      </c>
      <c r="E52" s="106">
        <f t="shared" si="3"/>
        <v>71.083333333333329</v>
      </c>
      <c r="F52" s="113">
        <f t="shared" si="4"/>
        <v>4</v>
      </c>
      <c r="G52" s="110">
        <f t="shared" si="18"/>
        <v>853</v>
      </c>
      <c r="H52" s="110">
        <f t="shared" si="19"/>
        <v>4</v>
      </c>
      <c r="I52" s="107" t="str">
        <f t="shared" si="5"/>
        <v>LFA</v>
      </c>
      <c r="J52" s="110">
        <f t="shared" si="20"/>
        <v>156.19903572071314</v>
      </c>
      <c r="K52" s="107">
        <f t="shared" si="7"/>
        <v>1</v>
      </c>
      <c r="L52" s="107" t="str">
        <f t="shared" si="8"/>
        <v>LFA</v>
      </c>
      <c r="M52" s="110">
        <f t="shared" si="9"/>
        <v>590.8921499190144</v>
      </c>
      <c r="N52" s="107">
        <f t="shared" si="10"/>
        <v>3</v>
      </c>
      <c r="O52" s="107" t="str">
        <f t="shared" si="16"/>
        <v>LFA</v>
      </c>
      <c r="P52" s="110">
        <f t="shared" si="12"/>
        <v>1330.3844635507073</v>
      </c>
      <c r="Q52" s="107">
        <f t="shared" si="13"/>
        <v>6</v>
      </c>
      <c r="R52" s="107" t="str">
        <f t="shared" si="17"/>
        <v>LFA</v>
      </c>
    </row>
    <row r="53" spans="1:18" x14ac:dyDescent="0.25">
      <c r="A53" s="145">
        <f t="shared" si="15"/>
        <v>50</v>
      </c>
      <c r="B53" s="145" t="s">
        <v>226</v>
      </c>
      <c r="C53" s="107">
        <v>744</v>
      </c>
      <c r="D53" s="150">
        <f t="shared" si="2"/>
        <v>2.1596140560686899E-3</v>
      </c>
      <c r="E53" s="106">
        <f t="shared" si="3"/>
        <v>62</v>
      </c>
      <c r="F53" s="113">
        <f t="shared" si="4"/>
        <v>3</v>
      </c>
      <c r="G53" s="110">
        <f t="shared" si="18"/>
        <v>744</v>
      </c>
      <c r="H53" s="110">
        <f t="shared" si="19"/>
        <v>3</v>
      </c>
      <c r="I53" s="107" t="str">
        <f t="shared" si="5"/>
        <v>LFA</v>
      </c>
      <c r="J53" s="110">
        <f t="shared" si="20"/>
        <v>136.23925272709329</v>
      </c>
      <c r="K53" s="107">
        <f t="shared" si="7"/>
        <v>1</v>
      </c>
      <c r="L53" s="107" t="str">
        <f t="shared" si="8"/>
        <v>LFA</v>
      </c>
      <c r="M53" s="110">
        <f t="shared" si="9"/>
        <v>515.38541563862452</v>
      </c>
      <c r="N53" s="107">
        <f t="shared" si="10"/>
        <v>2</v>
      </c>
      <c r="O53" s="107" t="str">
        <f t="shared" si="16"/>
        <v>LFA</v>
      </c>
      <c r="P53" s="110">
        <f t="shared" si="12"/>
        <v>1160.3822284662676</v>
      </c>
      <c r="Q53" s="107">
        <f t="shared" si="13"/>
        <v>5</v>
      </c>
      <c r="R53" s="107" t="str">
        <f t="shared" si="17"/>
        <v>LFA</v>
      </c>
    </row>
    <row r="54" spans="1:18" x14ac:dyDescent="0.25">
      <c r="A54" s="145">
        <f t="shared" si="15"/>
        <v>51</v>
      </c>
      <c r="B54" s="145" t="s">
        <v>227</v>
      </c>
      <c r="C54" s="107">
        <v>500</v>
      </c>
      <c r="D54" s="150">
        <f t="shared" si="2"/>
        <v>1.451353532304227E-3</v>
      </c>
      <c r="E54" s="106">
        <f t="shared" si="3"/>
        <v>41.666666666666664</v>
      </c>
      <c r="F54" s="113">
        <f t="shared" si="4"/>
        <v>2</v>
      </c>
      <c r="G54" s="110">
        <f t="shared" si="18"/>
        <v>500</v>
      </c>
      <c r="H54" s="110">
        <f t="shared" si="19"/>
        <v>2</v>
      </c>
      <c r="I54" s="107" t="str">
        <f t="shared" si="5"/>
        <v>LFA</v>
      </c>
      <c r="J54" s="110">
        <f t="shared" si="20"/>
        <v>91.558637585412157</v>
      </c>
      <c r="K54" s="107">
        <f t="shared" si="7"/>
        <v>1</v>
      </c>
      <c r="L54" s="107" t="str">
        <f t="shared" si="8"/>
        <v>LFA</v>
      </c>
      <c r="M54" s="110">
        <f t="shared" si="9"/>
        <v>346.36116642380682</v>
      </c>
      <c r="N54" s="107">
        <f t="shared" si="10"/>
        <v>2</v>
      </c>
      <c r="O54" s="107" t="str">
        <f t="shared" si="16"/>
        <v>LFA</v>
      </c>
      <c r="P54" s="110">
        <f t="shared" si="12"/>
        <v>779.82676644238416</v>
      </c>
      <c r="Q54" s="107">
        <f t="shared" si="13"/>
        <v>3</v>
      </c>
      <c r="R54" s="107" t="str">
        <f t="shared" si="17"/>
        <v>LFA</v>
      </c>
    </row>
    <row r="55" spans="1:18" x14ac:dyDescent="0.25">
      <c r="A55" s="145">
        <f t="shared" si="15"/>
        <v>52</v>
      </c>
      <c r="B55" s="145" t="s">
        <v>228</v>
      </c>
      <c r="C55" s="107">
        <v>481</v>
      </c>
      <c r="D55" s="150">
        <f t="shared" si="2"/>
        <v>1.3962020980766664E-3</v>
      </c>
      <c r="E55" s="106">
        <f t="shared" si="3"/>
        <v>40.083333333333336</v>
      </c>
      <c r="F55" s="113">
        <f t="shared" si="4"/>
        <v>2</v>
      </c>
      <c r="G55" s="110">
        <f t="shared" si="18"/>
        <v>481</v>
      </c>
      <c r="H55" s="110">
        <f t="shared" si="19"/>
        <v>2</v>
      </c>
      <c r="I55" s="107" t="str">
        <f t="shared" si="5"/>
        <v>LFA</v>
      </c>
      <c r="J55" s="110">
        <f t="shared" si="20"/>
        <v>88.079409357166497</v>
      </c>
      <c r="K55" s="107">
        <f t="shared" si="7"/>
        <v>1</v>
      </c>
      <c r="L55" s="107" t="str">
        <f t="shared" si="8"/>
        <v>LFA</v>
      </c>
      <c r="M55" s="110">
        <f t="shared" si="9"/>
        <v>333.19944209970214</v>
      </c>
      <c r="N55" s="107">
        <f t="shared" si="10"/>
        <v>2</v>
      </c>
      <c r="O55" s="107" t="str">
        <f t="shared" si="16"/>
        <v>LFA</v>
      </c>
      <c r="P55" s="110">
        <f t="shared" si="12"/>
        <v>750.19334931757351</v>
      </c>
      <c r="Q55" s="107">
        <f t="shared" si="13"/>
        <v>3</v>
      </c>
      <c r="R55" s="107" t="str">
        <f t="shared" si="17"/>
        <v>LFA</v>
      </c>
    </row>
    <row r="56" spans="1:18" x14ac:dyDescent="0.25">
      <c r="A56" s="284" t="s">
        <v>73</v>
      </c>
      <c r="B56" s="285"/>
      <c r="C56" s="146">
        <f>SUM(C4:C55)</f>
        <v>344506</v>
      </c>
      <c r="D56" s="153">
        <f>SUM(D4:D55)</f>
        <v>0.99999999999999978</v>
      </c>
      <c r="E56" s="146">
        <f t="shared" ref="E56:F56" si="21">SUM(E4:E55)</f>
        <v>28708.833333333328</v>
      </c>
      <c r="F56" s="146">
        <f t="shared" si="21"/>
        <v>1347</v>
      </c>
      <c r="G56" s="146">
        <f>SUM(G4:G55)</f>
        <v>344506</v>
      </c>
      <c r="H56" s="146">
        <f t="shared" ref="H56" si="22">SUM(H4:H55)</f>
        <v>1347</v>
      </c>
      <c r="I56" s="132">
        <f>SUM(I4:I55)</f>
        <v>0</v>
      </c>
      <c r="J56" s="132">
        <f>SUM(J4:J55)</f>
        <v>63085.223984487944</v>
      </c>
      <c r="K56" s="132">
        <f>SUM(K4:K55)</f>
        <v>269</v>
      </c>
      <c r="L56" s="132"/>
      <c r="M56" s="132">
        <f>SUM(M4:M55)</f>
        <v>238646.99999999988</v>
      </c>
      <c r="N56" s="132">
        <f>SUM(N4:N55)</f>
        <v>943</v>
      </c>
      <c r="O56" s="132"/>
      <c r="P56" s="132">
        <f>SUM(P4:P55)</f>
        <v>537310</v>
      </c>
      <c r="Q56" s="132">
        <f>SUM(Q4:Q55)</f>
        <v>2088</v>
      </c>
      <c r="R56" s="132"/>
    </row>
  </sheetData>
  <mergeCells count="5">
    <mergeCell ref="P2:R2"/>
    <mergeCell ref="G2:I2"/>
    <mergeCell ref="J2:L2"/>
    <mergeCell ref="M2:O2"/>
    <mergeCell ref="A56:B5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showGridLines="0" workbookViewId="0">
      <pane ySplit="12" topLeftCell="A13" activePane="bottomLeft" state="frozen"/>
      <selection pane="bottomLeft" activeCell="N111" sqref="N111"/>
    </sheetView>
  </sheetViews>
  <sheetFormatPr defaultRowHeight="15" x14ac:dyDescent="0.25"/>
  <cols>
    <col min="1" max="1" width="15" customWidth="1"/>
    <col min="15" max="15" width="19.28515625" style="43" bestFit="1" customWidth="1"/>
    <col min="16" max="16" width="6" style="43" bestFit="1" customWidth="1"/>
  </cols>
  <sheetData>
    <row r="1" spans="1:16" ht="18" x14ac:dyDescent="0.25">
      <c r="A1" s="135" t="s">
        <v>148</v>
      </c>
    </row>
    <row r="3" spans="1:16" x14ac:dyDescent="0.25">
      <c r="A3" s="136" t="s">
        <v>105</v>
      </c>
    </row>
    <row r="4" spans="1:16" x14ac:dyDescent="0.25">
      <c r="A4" s="136" t="s">
        <v>149</v>
      </c>
    </row>
    <row r="6" spans="1:16" ht="10.5" customHeight="1" x14ac:dyDescent="0.25">
      <c r="A6" s="286" t="s">
        <v>106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</row>
    <row r="7" spans="1:16" ht="10.5" customHeight="1" x14ac:dyDescent="0.25">
      <c r="A7" s="287" t="s">
        <v>150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</row>
    <row r="8" spans="1:16" x14ac:dyDescent="0.25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</row>
    <row r="9" spans="1:16" ht="22.5" customHeight="1" x14ac:dyDescent="0.25">
      <c r="A9" s="237"/>
      <c r="B9" s="235"/>
      <c r="C9" s="235"/>
      <c r="D9" s="241" t="s">
        <v>152</v>
      </c>
      <c r="E9" s="288" t="s">
        <v>153</v>
      </c>
      <c r="F9" s="288"/>
      <c r="G9" s="288"/>
      <c r="H9" s="288"/>
      <c r="I9" s="288"/>
      <c r="J9" s="288"/>
      <c r="K9" s="288"/>
      <c r="L9" s="242" t="s">
        <v>18</v>
      </c>
      <c r="M9" s="237"/>
    </row>
    <row r="10" spans="1:16" x14ac:dyDescent="0.25">
      <c r="A10" s="235"/>
      <c r="B10" s="235"/>
      <c r="C10" s="235"/>
      <c r="D10" s="241" t="s">
        <v>154</v>
      </c>
      <c r="E10" s="288" t="s">
        <v>155</v>
      </c>
      <c r="F10" s="288"/>
      <c r="G10" s="288"/>
      <c r="H10" s="288"/>
      <c r="I10" s="288"/>
      <c r="J10" s="288"/>
      <c r="K10" s="288"/>
      <c r="L10" s="242" t="s">
        <v>155</v>
      </c>
      <c r="M10" s="237"/>
    </row>
    <row r="11" spans="1:16" x14ac:dyDescent="0.25">
      <c r="A11" s="235"/>
      <c r="B11" s="235"/>
      <c r="C11" s="235"/>
      <c r="D11" s="238"/>
      <c r="E11" s="239"/>
      <c r="F11" s="239"/>
      <c r="G11" s="239"/>
      <c r="H11" s="239"/>
      <c r="I11" s="239"/>
      <c r="J11" s="239"/>
      <c r="K11" s="239"/>
      <c r="L11" s="240"/>
      <c r="M11" s="237"/>
      <c r="O11"/>
      <c r="P11"/>
    </row>
    <row r="12" spans="1:16" ht="25.5" x14ac:dyDescent="0.25">
      <c r="A12" s="137" t="s">
        <v>151</v>
      </c>
      <c r="B12" s="137" t="s">
        <v>157</v>
      </c>
      <c r="C12" s="137" t="s">
        <v>158</v>
      </c>
      <c r="D12" s="138" t="s">
        <v>156</v>
      </c>
      <c r="E12" s="139" t="s">
        <v>107</v>
      </c>
      <c r="F12" s="139" t="s">
        <v>108</v>
      </c>
      <c r="G12" s="139" t="s">
        <v>109</v>
      </c>
      <c r="H12" s="139" t="s">
        <v>110</v>
      </c>
      <c r="I12" s="139" t="s">
        <v>111</v>
      </c>
      <c r="J12" s="139" t="s">
        <v>112</v>
      </c>
      <c r="K12" s="140" t="s">
        <v>18</v>
      </c>
      <c r="L12" s="140" t="s">
        <v>159</v>
      </c>
      <c r="M12" s="140" t="s">
        <v>113</v>
      </c>
      <c r="O12"/>
      <c r="P12"/>
    </row>
    <row r="13" spans="1:16" x14ac:dyDescent="0.25">
      <c r="A13" s="141" t="s">
        <v>179</v>
      </c>
      <c r="B13" s="141">
        <v>-26.218299999999999</v>
      </c>
      <c r="C13" s="233">
        <v>28.244399999999999</v>
      </c>
      <c r="D13" s="234"/>
      <c r="E13" s="142">
        <v>13665</v>
      </c>
      <c r="F13" s="142">
        <v>11285</v>
      </c>
      <c r="G13" s="142">
        <v>26353</v>
      </c>
      <c r="H13" s="142">
        <v>47687</v>
      </c>
      <c r="I13" s="142">
        <v>48689</v>
      </c>
      <c r="J13" s="142">
        <v>82560</v>
      </c>
      <c r="K13" s="143">
        <v>230239</v>
      </c>
      <c r="L13" s="143">
        <v>230239</v>
      </c>
      <c r="M13" s="144">
        <f t="shared" ref="M13:M44" si="0">SUM(E13:F13)</f>
        <v>24950</v>
      </c>
      <c r="O13"/>
      <c r="P13"/>
    </row>
    <row r="14" spans="1:16" x14ac:dyDescent="0.25">
      <c r="A14" s="141" t="s">
        <v>180</v>
      </c>
      <c r="B14" s="141">
        <v>-26.174099999999999</v>
      </c>
      <c r="C14" s="233">
        <v>28.046900000000001</v>
      </c>
      <c r="D14" s="234"/>
      <c r="E14" s="142">
        <v>9887</v>
      </c>
      <c r="F14" s="142">
        <v>7661</v>
      </c>
      <c r="G14" s="142">
        <v>16915</v>
      </c>
      <c r="H14" s="142">
        <v>28463</v>
      </c>
      <c r="I14" s="142">
        <v>26937</v>
      </c>
      <c r="J14" s="142">
        <v>42780</v>
      </c>
      <c r="K14" s="143">
        <v>132643</v>
      </c>
      <c r="L14" s="143">
        <v>132643</v>
      </c>
      <c r="M14" s="144">
        <f t="shared" si="0"/>
        <v>17548</v>
      </c>
      <c r="O14"/>
      <c r="P14"/>
    </row>
    <row r="15" spans="1:16" x14ac:dyDescent="0.25">
      <c r="A15" s="141" t="s">
        <v>181</v>
      </c>
      <c r="B15" s="141">
        <v>-25.4756</v>
      </c>
      <c r="C15" s="233">
        <v>30.9711</v>
      </c>
      <c r="D15" s="234"/>
      <c r="E15" s="142">
        <v>8873</v>
      </c>
      <c r="F15" s="142">
        <v>7717</v>
      </c>
      <c r="G15" s="142">
        <v>18637</v>
      </c>
      <c r="H15" s="142">
        <v>33531</v>
      </c>
      <c r="I15" s="142">
        <v>31489</v>
      </c>
      <c r="J15" s="142">
        <v>48446</v>
      </c>
      <c r="K15" s="143">
        <v>148693</v>
      </c>
      <c r="L15" s="143">
        <v>148693</v>
      </c>
      <c r="M15" s="144">
        <f t="shared" si="0"/>
        <v>16590</v>
      </c>
      <c r="O15"/>
      <c r="P15"/>
    </row>
    <row r="16" spans="1:16" x14ac:dyDescent="0.25">
      <c r="A16" s="141" t="s">
        <v>182</v>
      </c>
      <c r="B16" s="141">
        <v>-23.889800000000001</v>
      </c>
      <c r="C16" s="233">
        <v>29.461300000000001</v>
      </c>
      <c r="D16" s="234"/>
      <c r="E16" s="142">
        <v>8913</v>
      </c>
      <c r="F16" s="142">
        <v>6875</v>
      </c>
      <c r="G16" s="142">
        <v>14758</v>
      </c>
      <c r="H16" s="142">
        <v>25890</v>
      </c>
      <c r="I16" s="142">
        <v>25322</v>
      </c>
      <c r="J16" s="142">
        <v>44012</v>
      </c>
      <c r="K16" s="143">
        <v>125770</v>
      </c>
      <c r="L16" s="143">
        <v>125770</v>
      </c>
      <c r="M16" s="144">
        <f t="shared" si="0"/>
        <v>15788</v>
      </c>
      <c r="O16"/>
      <c r="P16"/>
    </row>
    <row r="17" spans="1:16" x14ac:dyDescent="0.25">
      <c r="A17" s="141" t="s">
        <v>183</v>
      </c>
      <c r="B17" s="141">
        <v>-25.6173</v>
      </c>
      <c r="C17" s="233">
        <v>28.011399999999998</v>
      </c>
      <c r="D17" s="234"/>
      <c r="E17" s="142">
        <v>8394</v>
      </c>
      <c r="F17" s="142">
        <v>6399</v>
      </c>
      <c r="G17" s="142">
        <v>13401</v>
      </c>
      <c r="H17" s="142">
        <v>23501</v>
      </c>
      <c r="I17" s="142">
        <v>24171</v>
      </c>
      <c r="J17" s="142">
        <v>41626</v>
      </c>
      <c r="K17" s="143">
        <v>117492</v>
      </c>
      <c r="L17" s="143">
        <v>117492</v>
      </c>
      <c r="M17" s="144">
        <f t="shared" si="0"/>
        <v>14793</v>
      </c>
      <c r="O17"/>
      <c r="P17"/>
    </row>
    <row r="18" spans="1:16" x14ac:dyDescent="0.25">
      <c r="A18" s="141" t="s">
        <v>184</v>
      </c>
      <c r="B18" s="141">
        <v>-26.260100000000001</v>
      </c>
      <c r="C18" s="233">
        <v>27.937999999999999</v>
      </c>
      <c r="D18" s="234"/>
      <c r="E18" s="142">
        <v>8128</v>
      </c>
      <c r="F18" s="142">
        <v>5984</v>
      </c>
      <c r="G18" s="142">
        <v>12707</v>
      </c>
      <c r="H18" s="142">
        <v>21476</v>
      </c>
      <c r="I18" s="142">
        <v>21237</v>
      </c>
      <c r="J18" s="142">
        <v>35970</v>
      </c>
      <c r="K18" s="143">
        <v>105502</v>
      </c>
      <c r="L18" s="143">
        <v>105502</v>
      </c>
      <c r="M18" s="144">
        <f t="shared" si="0"/>
        <v>14112</v>
      </c>
      <c r="O18"/>
      <c r="P18"/>
    </row>
    <row r="19" spans="1:16" x14ac:dyDescent="0.25">
      <c r="A19" s="141" t="s">
        <v>185</v>
      </c>
      <c r="B19" s="141">
        <v>-26.010100000000001</v>
      </c>
      <c r="C19" s="233">
        <v>28.232500000000002</v>
      </c>
      <c r="D19" s="234"/>
      <c r="E19" s="142">
        <v>7296</v>
      </c>
      <c r="F19" s="142">
        <v>5894</v>
      </c>
      <c r="G19" s="142">
        <v>12764</v>
      </c>
      <c r="H19" s="142">
        <v>21091</v>
      </c>
      <c r="I19" s="142">
        <v>19997</v>
      </c>
      <c r="J19" s="142">
        <v>31053</v>
      </c>
      <c r="K19" s="143">
        <v>98095</v>
      </c>
      <c r="L19" s="143">
        <v>98095</v>
      </c>
      <c r="M19" s="144">
        <f t="shared" si="0"/>
        <v>13190</v>
      </c>
      <c r="O19"/>
      <c r="P19"/>
    </row>
    <row r="20" spans="1:16" x14ac:dyDescent="0.25">
      <c r="A20" s="141" t="s">
        <v>186</v>
      </c>
      <c r="B20" s="141">
        <v>-26.886800000000001</v>
      </c>
      <c r="C20" s="233">
        <v>26.617699999999999</v>
      </c>
      <c r="D20" s="234"/>
      <c r="E20" s="142">
        <v>6201</v>
      </c>
      <c r="F20" s="142">
        <v>6087</v>
      </c>
      <c r="G20" s="142">
        <v>12959</v>
      </c>
      <c r="H20" s="142">
        <v>22499</v>
      </c>
      <c r="I20" s="142">
        <v>23052</v>
      </c>
      <c r="J20" s="142">
        <v>45012</v>
      </c>
      <c r="K20" s="143">
        <v>115810</v>
      </c>
      <c r="L20" s="143">
        <v>115810</v>
      </c>
      <c r="M20" s="144">
        <f t="shared" si="0"/>
        <v>12288</v>
      </c>
      <c r="O20"/>
      <c r="P20"/>
    </row>
    <row r="21" spans="1:16" x14ac:dyDescent="0.25">
      <c r="A21" s="141" t="s">
        <v>186</v>
      </c>
      <c r="B21" s="141">
        <v>-29.647369999999999</v>
      </c>
      <c r="C21" s="233">
        <v>30.33276</v>
      </c>
      <c r="D21" s="234"/>
      <c r="E21" s="142">
        <v>6242</v>
      </c>
      <c r="F21" s="142">
        <v>5584</v>
      </c>
      <c r="G21" s="142">
        <v>14331</v>
      </c>
      <c r="H21" s="142">
        <v>31948</v>
      </c>
      <c r="I21" s="142">
        <v>39233</v>
      </c>
      <c r="J21" s="142">
        <v>76413</v>
      </c>
      <c r="K21" s="143">
        <v>173751</v>
      </c>
      <c r="L21" s="143">
        <v>173751</v>
      </c>
      <c r="M21" s="144">
        <f t="shared" si="0"/>
        <v>11826</v>
      </c>
      <c r="O21"/>
      <c r="P21"/>
    </row>
    <row r="22" spans="1:16" x14ac:dyDescent="0.25">
      <c r="A22" s="141" t="s">
        <v>187</v>
      </c>
      <c r="B22" s="141">
        <v>-23.8735</v>
      </c>
      <c r="C22" s="233">
        <v>30.267600000000002</v>
      </c>
      <c r="D22" s="234"/>
      <c r="E22" s="142">
        <v>6340</v>
      </c>
      <c r="F22" s="142">
        <v>4677</v>
      </c>
      <c r="G22" s="142">
        <v>10475</v>
      </c>
      <c r="H22" s="142">
        <v>18394</v>
      </c>
      <c r="I22" s="142">
        <v>18175</v>
      </c>
      <c r="J22" s="142">
        <v>32090</v>
      </c>
      <c r="K22" s="143">
        <v>90151</v>
      </c>
      <c r="L22" s="143">
        <v>90151</v>
      </c>
      <c r="M22" s="144">
        <f t="shared" si="0"/>
        <v>11017</v>
      </c>
      <c r="O22"/>
      <c r="P22"/>
    </row>
    <row r="23" spans="1:16" x14ac:dyDescent="0.25">
      <c r="A23" s="141" t="s">
        <v>188</v>
      </c>
      <c r="B23" s="141">
        <v>-32.996000000000002</v>
      </c>
      <c r="C23" s="233">
        <v>27.8916</v>
      </c>
      <c r="D23" s="234"/>
      <c r="E23" s="142">
        <v>5539</v>
      </c>
      <c r="F23" s="142">
        <v>5063</v>
      </c>
      <c r="G23" s="142">
        <v>10762</v>
      </c>
      <c r="H23" s="142">
        <v>19172</v>
      </c>
      <c r="I23" s="142">
        <v>19091</v>
      </c>
      <c r="J23" s="142">
        <v>34189</v>
      </c>
      <c r="K23" s="143">
        <v>93816</v>
      </c>
      <c r="L23" s="143">
        <v>93816</v>
      </c>
      <c r="M23" s="144">
        <f t="shared" si="0"/>
        <v>10602</v>
      </c>
      <c r="O23"/>
      <c r="P23"/>
    </row>
    <row r="24" spans="1:16" x14ac:dyDescent="0.25">
      <c r="A24" s="141" t="s">
        <v>189</v>
      </c>
      <c r="B24" s="141">
        <v>-26.523199999999999</v>
      </c>
      <c r="C24" s="233">
        <v>29.975200000000001</v>
      </c>
      <c r="D24" s="234"/>
      <c r="E24" s="142">
        <v>5408</v>
      </c>
      <c r="F24" s="142">
        <v>4978</v>
      </c>
      <c r="G24" s="142">
        <v>12539</v>
      </c>
      <c r="H24" s="142">
        <v>23764</v>
      </c>
      <c r="I24" s="142">
        <v>25005</v>
      </c>
      <c r="J24" s="142">
        <v>43114</v>
      </c>
      <c r="K24" s="143">
        <v>114808</v>
      </c>
      <c r="L24" s="143">
        <v>114808</v>
      </c>
      <c r="M24" s="144">
        <f t="shared" si="0"/>
        <v>10386</v>
      </c>
      <c r="O24"/>
      <c r="P24"/>
    </row>
    <row r="25" spans="1:16" x14ac:dyDescent="0.25">
      <c r="A25" s="141" t="s">
        <v>190</v>
      </c>
      <c r="B25" s="141">
        <v>-33.925199999999997</v>
      </c>
      <c r="C25" s="233">
        <v>25.570699999999999</v>
      </c>
      <c r="D25" s="234"/>
      <c r="E25" s="142">
        <v>5503</v>
      </c>
      <c r="F25" s="142">
        <v>4794</v>
      </c>
      <c r="G25" s="142">
        <v>10842</v>
      </c>
      <c r="H25" s="142">
        <v>17750</v>
      </c>
      <c r="I25" s="142">
        <v>16886</v>
      </c>
      <c r="J25" s="142">
        <v>28249</v>
      </c>
      <c r="K25" s="143">
        <v>84024</v>
      </c>
      <c r="L25" s="143">
        <v>84024</v>
      </c>
      <c r="M25" s="144">
        <f t="shared" si="0"/>
        <v>10297</v>
      </c>
      <c r="O25"/>
      <c r="P25"/>
    </row>
    <row r="26" spans="1:16" x14ac:dyDescent="0.25">
      <c r="A26" s="141" t="s">
        <v>191</v>
      </c>
      <c r="B26" s="141">
        <v>-29.954820000000002</v>
      </c>
      <c r="C26" s="233">
        <v>30.936620000000001</v>
      </c>
      <c r="D26" s="234"/>
      <c r="E26" s="142">
        <v>5295</v>
      </c>
      <c r="F26" s="142">
        <v>4910</v>
      </c>
      <c r="G26" s="142">
        <v>12669</v>
      </c>
      <c r="H26" s="142">
        <v>28317</v>
      </c>
      <c r="I26" s="142">
        <v>33383</v>
      </c>
      <c r="J26" s="142">
        <v>56641</v>
      </c>
      <c r="K26" s="143">
        <v>141215</v>
      </c>
      <c r="L26" s="143">
        <v>141215</v>
      </c>
      <c r="M26" s="144">
        <f t="shared" si="0"/>
        <v>10205</v>
      </c>
      <c r="O26"/>
      <c r="P26"/>
    </row>
    <row r="27" spans="1:16" x14ac:dyDescent="0.25">
      <c r="A27" s="141" t="s">
        <v>192</v>
      </c>
      <c r="B27" s="141">
        <v>-29.717020000000002</v>
      </c>
      <c r="C27" s="233">
        <v>31.02825</v>
      </c>
      <c r="D27" s="234"/>
      <c r="E27" s="142">
        <v>4873</v>
      </c>
      <c r="F27" s="142">
        <v>4468</v>
      </c>
      <c r="G27" s="142">
        <v>11937</v>
      </c>
      <c r="H27" s="142">
        <v>24379</v>
      </c>
      <c r="I27" s="142">
        <v>26449</v>
      </c>
      <c r="J27" s="142">
        <v>42217</v>
      </c>
      <c r="K27" s="143">
        <v>114323</v>
      </c>
      <c r="L27" s="143">
        <v>114323</v>
      </c>
      <c r="M27" s="144">
        <f t="shared" si="0"/>
        <v>9341</v>
      </c>
      <c r="O27"/>
      <c r="P27"/>
    </row>
    <row r="28" spans="1:16" x14ac:dyDescent="0.25">
      <c r="A28" s="141" t="s">
        <v>193</v>
      </c>
      <c r="B28" s="141">
        <v>-33.906599999999997</v>
      </c>
      <c r="C28" s="233">
        <v>18.4147</v>
      </c>
      <c r="D28" s="234"/>
      <c r="E28" s="142">
        <v>4622</v>
      </c>
      <c r="F28" s="142">
        <v>4341</v>
      </c>
      <c r="G28" s="142">
        <v>10133</v>
      </c>
      <c r="H28" s="142">
        <v>17963</v>
      </c>
      <c r="I28" s="142">
        <v>18628</v>
      </c>
      <c r="J28" s="142">
        <v>30514</v>
      </c>
      <c r="K28" s="143">
        <v>86201</v>
      </c>
      <c r="L28" s="143">
        <v>86201</v>
      </c>
      <c r="M28" s="144">
        <f t="shared" si="0"/>
        <v>8963</v>
      </c>
      <c r="O28"/>
      <c r="P28"/>
    </row>
    <row r="29" spans="1:16" x14ac:dyDescent="0.25">
      <c r="A29" s="141" t="s">
        <v>194</v>
      </c>
      <c r="B29" s="141">
        <v>-31.587499999999999</v>
      </c>
      <c r="C29" s="233">
        <v>28.764399999999998</v>
      </c>
      <c r="D29" s="234"/>
      <c r="E29" s="142">
        <v>4616</v>
      </c>
      <c r="F29" s="142">
        <v>4226</v>
      </c>
      <c r="G29" s="142">
        <v>9820</v>
      </c>
      <c r="H29" s="142">
        <v>18521</v>
      </c>
      <c r="I29" s="142">
        <v>19974</v>
      </c>
      <c r="J29" s="142">
        <v>38068</v>
      </c>
      <c r="K29" s="143">
        <v>95225</v>
      </c>
      <c r="L29" s="143">
        <v>95225</v>
      </c>
      <c r="M29" s="144">
        <f t="shared" si="0"/>
        <v>8842</v>
      </c>
      <c r="O29"/>
      <c r="P29"/>
    </row>
    <row r="30" spans="1:16" x14ac:dyDescent="0.25">
      <c r="A30" s="141" t="s">
        <v>198</v>
      </c>
      <c r="B30" s="141">
        <v>-25.732199999999999</v>
      </c>
      <c r="C30" s="233">
        <v>28.203099999999999</v>
      </c>
      <c r="D30" s="234"/>
      <c r="E30" s="142">
        <v>4580</v>
      </c>
      <c r="F30" s="142">
        <v>3656</v>
      </c>
      <c r="G30" s="142">
        <v>8666</v>
      </c>
      <c r="H30" s="142">
        <v>15455</v>
      </c>
      <c r="I30" s="142">
        <v>15923</v>
      </c>
      <c r="J30" s="142">
        <v>26114</v>
      </c>
      <c r="K30" s="143">
        <v>74394</v>
      </c>
      <c r="L30" s="143">
        <v>74394</v>
      </c>
      <c r="M30" s="144">
        <f t="shared" si="0"/>
        <v>8236</v>
      </c>
      <c r="O30"/>
      <c r="P30"/>
    </row>
    <row r="31" spans="1:16" x14ac:dyDescent="0.25">
      <c r="A31" s="141" t="s">
        <v>195</v>
      </c>
      <c r="B31" s="141">
        <v>-29.141400000000001</v>
      </c>
      <c r="C31" s="233">
        <v>26.245699999999999</v>
      </c>
      <c r="D31" s="234"/>
      <c r="E31" s="142">
        <v>4083</v>
      </c>
      <c r="F31" s="142">
        <v>3802</v>
      </c>
      <c r="G31" s="142">
        <v>8504</v>
      </c>
      <c r="H31" s="142">
        <v>15533</v>
      </c>
      <c r="I31" s="142">
        <v>15550</v>
      </c>
      <c r="J31" s="142">
        <v>26167</v>
      </c>
      <c r="K31" s="143">
        <v>73639</v>
      </c>
      <c r="L31" s="143">
        <v>73639</v>
      </c>
      <c r="M31" s="144">
        <f t="shared" si="0"/>
        <v>7885</v>
      </c>
      <c r="O31"/>
      <c r="P31"/>
    </row>
    <row r="32" spans="1:16" x14ac:dyDescent="0.25">
      <c r="A32" s="141" t="s">
        <v>196</v>
      </c>
      <c r="B32" s="141">
        <v>-27.98462</v>
      </c>
      <c r="C32" s="233">
        <v>26.736249999999998</v>
      </c>
      <c r="D32" s="234"/>
      <c r="E32" s="142">
        <v>3798</v>
      </c>
      <c r="F32" s="142">
        <v>3380</v>
      </c>
      <c r="G32" s="142">
        <v>7825</v>
      </c>
      <c r="H32" s="142">
        <v>14454</v>
      </c>
      <c r="I32" s="142">
        <v>14657</v>
      </c>
      <c r="J32" s="142">
        <v>23856</v>
      </c>
      <c r="K32" s="143">
        <v>67970</v>
      </c>
      <c r="L32" s="143">
        <v>67970</v>
      </c>
      <c r="M32" s="144">
        <f t="shared" si="0"/>
        <v>7178</v>
      </c>
      <c r="O32"/>
      <c r="P32"/>
    </row>
    <row r="33" spans="1:16" x14ac:dyDescent="0.25">
      <c r="A33" s="141" t="s">
        <v>197</v>
      </c>
      <c r="B33" s="141">
        <v>-31.36</v>
      </c>
      <c r="C33" s="233">
        <v>29.5655</v>
      </c>
      <c r="D33" s="234"/>
      <c r="E33" s="142">
        <v>3482</v>
      </c>
      <c r="F33" s="142">
        <v>3449</v>
      </c>
      <c r="G33" s="142">
        <v>8214</v>
      </c>
      <c r="H33" s="142">
        <v>15958</v>
      </c>
      <c r="I33" s="142">
        <v>17101</v>
      </c>
      <c r="J33" s="142">
        <v>30273</v>
      </c>
      <c r="K33" s="143">
        <v>78477</v>
      </c>
      <c r="L33" s="143">
        <v>78477</v>
      </c>
      <c r="M33" s="144">
        <f t="shared" si="0"/>
        <v>6931</v>
      </c>
      <c r="O33"/>
      <c r="P33"/>
    </row>
    <row r="34" spans="1:16" x14ac:dyDescent="0.25">
      <c r="A34" s="141" t="s">
        <v>199</v>
      </c>
      <c r="B34" s="141">
        <v>-28.77956</v>
      </c>
      <c r="C34" s="233">
        <v>31.86412</v>
      </c>
      <c r="D34" s="234"/>
      <c r="E34" s="142">
        <v>3527</v>
      </c>
      <c r="F34" s="142">
        <v>2771</v>
      </c>
      <c r="G34" s="142">
        <v>7160</v>
      </c>
      <c r="H34" s="142">
        <v>15977</v>
      </c>
      <c r="I34" s="142">
        <v>19456</v>
      </c>
      <c r="J34" s="142">
        <v>35398</v>
      </c>
      <c r="K34" s="143">
        <v>84289</v>
      </c>
      <c r="L34" s="143">
        <v>84289</v>
      </c>
      <c r="M34" s="144">
        <f t="shared" si="0"/>
        <v>6298</v>
      </c>
      <c r="O34"/>
      <c r="P34"/>
    </row>
    <row r="35" spans="1:16" x14ac:dyDescent="0.25">
      <c r="A35" s="141" t="s">
        <v>200</v>
      </c>
      <c r="B35" s="141">
        <v>-25.6755</v>
      </c>
      <c r="C35" s="233">
        <v>27.248899999999999</v>
      </c>
      <c r="D35" s="234"/>
      <c r="E35" s="142">
        <v>3295</v>
      </c>
      <c r="F35" s="142">
        <v>2951</v>
      </c>
      <c r="G35" s="142">
        <v>6355</v>
      </c>
      <c r="H35" s="142">
        <v>10925</v>
      </c>
      <c r="I35" s="142">
        <v>10419</v>
      </c>
      <c r="J35" s="142">
        <v>16761</v>
      </c>
      <c r="K35" s="143">
        <v>50706</v>
      </c>
      <c r="L35" s="143">
        <v>50706</v>
      </c>
      <c r="M35" s="144">
        <f t="shared" si="0"/>
        <v>6246</v>
      </c>
      <c r="O35"/>
      <c r="P35"/>
    </row>
    <row r="36" spans="1:16" x14ac:dyDescent="0.25">
      <c r="A36" s="141" t="s">
        <v>201</v>
      </c>
      <c r="B36" s="141">
        <v>-33.942100000000003</v>
      </c>
      <c r="C36" s="233">
        <v>18.462399999999999</v>
      </c>
      <c r="D36" s="234"/>
      <c r="E36" s="142">
        <v>2959</v>
      </c>
      <c r="F36" s="142">
        <v>2963</v>
      </c>
      <c r="G36" s="142">
        <v>7627</v>
      </c>
      <c r="H36" s="142">
        <v>15180</v>
      </c>
      <c r="I36" s="142">
        <v>17468</v>
      </c>
      <c r="J36" s="142">
        <v>31013</v>
      </c>
      <c r="K36" s="143">
        <v>77210</v>
      </c>
      <c r="L36" s="143">
        <v>77210</v>
      </c>
      <c r="M36" s="144">
        <f t="shared" si="0"/>
        <v>5922</v>
      </c>
      <c r="O36"/>
      <c r="P36"/>
    </row>
    <row r="37" spans="1:16" x14ac:dyDescent="0.25">
      <c r="A37" s="141" t="s">
        <v>157</v>
      </c>
      <c r="B37" s="141">
        <v>-28.742899999999999</v>
      </c>
      <c r="C37" s="233">
        <v>24.7697</v>
      </c>
      <c r="D37" s="234"/>
      <c r="E37" s="142">
        <v>3114</v>
      </c>
      <c r="F37" s="142">
        <v>2791</v>
      </c>
      <c r="G37" s="142">
        <v>6508</v>
      </c>
      <c r="H37" s="142">
        <v>11240</v>
      </c>
      <c r="I37" s="142">
        <v>11763</v>
      </c>
      <c r="J37" s="142">
        <v>20742</v>
      </c>
      <c r="K37" s="143">
        <v>56158</v>
      </c>
      <c r="L37" s="143">
        <v>56158</v>
      </c>
      <c r="M37" s="144">
        <f t="shared" si="0"/>
        <v>5905</v>
      </c>
      <c r="O37"/>
      <c r="P37"/>
    </row>
    <row r="38" spans="1:16" x14ac:dyDescent="0.25">
      <c r="A38" s="141" t="s">
        <v>202</v>
      </c>
      <c r="B38" s="141">
        <v>-30.743500000000001</v>
      </c>
      <c r="C38" s="233">
        <v>30.450880000000002</v>
      </c>
      <c r="D38" s="234"/>
      <c r="E38" s="142">
        <v>2969</v>
      </c>
      <c r="F38" s="142">
        <v>2787</v>
      </c>
      <c r="G38" s="142">
        <v>7134</v>
      </c>
      <c r="H38" s="142">
        <v>16275</v>
      </c>
      <c r="I38" s="142">
        <v>20427</v>
      </c>
      <c r="J38" s="142">
        <v>39354</v>
      </c>
      <c r="K38" s="143">
        <v>88946</v>
      </c>
      <c r="L38" s="143">
        <v>88946</v>
      </c>
      <c r="M38" s="144">
        <f t="shared" si="0"/>
        <v>5756</v>
      </c>
      <c r="O38"/>
      <c r="P38"/>
    </row>
    <row r="39" spans="1:16" x14ac:dyDescent="0.25">
      <c r="A39" s="141" t="s">
        <v>203</v>
      </c>
      <c r="B39" s="141">
        <v>-33.909999999999997</v>
      </c>
      <c r="C39" s="233">
        <v>18.613</v>
      </c>
      <c r="D39" s="234"/>
      <c r="E39" s="142">
        <v>2738</v>
      </c>
      <c r="F39" s="142">
        <v>2797</v>
      </c>
      <c r="G39" s="142">
        <v>7043</v>
      </c>
      <c r="H39" s="142">
        <v>13844</v>
      </c>
      <c r="I39" s="142">
        <v>15548</v>
      </c>
      <c r="J39" s="142">
        <v>26475</v>
      </c>
      <c r="K39" s="143">
        <v>68445</v>
      </c>
      <c r="L39" s="143">
        <v>68445</v>
      </c>
      <c r="M39" s="144">
        <f t="shared" si="0"/>
        <v>5535</v>
      </c>
      <c r="O39"/>
      <c r="P39"/>
    </row>
    <row r="40" spans="1:16" x14ac:dyDescent="0.25">
      <c r="A40" s="141" t="s">
        <v>204</v>
      </c>
      <c r="B40" s="141">
        <v>-28.556730000000002</v>
      </c>
      <c r="C40" s="233">
        <v>29.76606</v>
      </c>
      <c r="D40" s="234"/>
      <c r="E40" s="142">
        <v>2741</v>
      </c>
      <c r="F40" s="142">
        <v>2507</v>
      </c>
      <c r="G40" s="142">
        <v>6427</v>
      </c>
      <c r="H40" s="142">
        <v>14015</v>
      </c>
      <c r="I40" s="142">
        <v>16203</v>
      </c>
      <c r="J40" s="142">
        <v>27010</v>
      </c>
      <c r="K40" s="143">
        <v>68903</v>
      </c>
      <c r="L40" s="143">
        <v>68903</v>
      </c>
      <c r="M40" s="144">
        <f t="shared" si="0"/>
        <v>5248</v>
      </c>
      <c r="O40"/>
      <c r="P40"/>
    </row>
    <row r="41" spans="1:16" x14ac:dyDescent="0.25">
      <c r="A41" s="141" t="s">
        <v>205</v>
      </c>
      <c r="B41" s="141">
        <v>-28.14555</v>
      </c>
      <c r="C41" s="233">
        <v>31.880700000000001</v>
      </c>
      <c r="D41" s="234"/>
      <c r="E41" s="142">
        <v>2946</v>
      </c>
      <c r="F41" s="142">
        <v>2248</v>
      </c>
      <c r="G41" s="142">
        <v>6386</v>
      </c>
      <c r="H41" s="142">
        <v>14183</v>
      </c>
      <c r="I41" s="142">
        <v>18260</v>
      </c>
      <c r="J41" s="142">
        <v>37427</v>
      </c>
      <c r="K41" s="143">
        <v>81450</v>
      </c>
      <c r="L41" s="143">
        <v>81450</v>
      </c>
      <c r="M41" s="144">
        <f t="shared" si="0"/>
        <v>5194</v>
      </c>
      <c r="O41"/>
      <c r="P41"/>
    </row>
    <row r="42" spans="1:16" x14ac:dyDescent="0.25">
      <c r="A42" s="141" t="s">
        <v>206</v>
      </c>
      <c r="B42" s="141">
        <v>-27.75835</v>
      </c>
      <c r="C42" s="233">
        <v>30.797090000000001</v>
      </c>
      <c r="D42" s="234"/>
      <c r="E42" s="142">
        <v>2136</v>
      </c>
      <c r="F42" s="142">
        <v>1971</v>
      </c>
      <c r="G42" s="142">
        <v>4851</v>
      </c>
      <c r="H42" s="142">
        <v>9741</v>
      </c>
      <c r="I42" s="142">
        <v>10576</v>
      </c>
      <c r="J42" s="142">
        <v>20010</v>
      </c>
      <c r="K42" s="143">
        <v>49285</v>
      </c>
      <c r="L42" s="143">
        <v>49285</v>
      </c>
      <c r="M42" s="144">
        <f t="shared" si="0"/>
        <v>4107</v>
      </c>
      <c r="O42"/>
      <c r="P42"/>
    </row>
    <row r="43" spans="1:16" x14ac:dyDescent="0.25">
      <c r="A43" s="141" t="s">
        <v>207</v>
      </c>
      <c r="B43" s="141">
        <v>-29.157399999999999</v>
      </c>
      <c r="C43" s="233">
        <v>31.039300000000001</v>
      </c>
      <c r="D43" s="234"/>
      <c r="E43" s="142">
        <v>1988</v>
      </c>
      <c r="F43" s="142">
        <v>1826</v>
      </c>
      <c r="G43" s="142">
        <v>4858</v>
      </c>
      <c r="H43" s="142">
        <v>10658</v>
      </c>
      <c r="I43" s="142">
        <v>12868</v>
      </c>
      <c r="J43" s="142">
        <v>22721</v>
      </c>
      <c r="K43" s="143">
        <v>54919</v>
      </c>
      <c r="L43" s="143">
        <v>54919</v>
      </c>
      <c r="M43" s="144">
        <f t="shared" si="0"/>
        <v>3814</v>
      </c>
      <c r="O43"/>
      <c r="P43"/>
    </row>
    <row r="44" spans="1:16" x14ac:dyDescent="0.25">
      <c r="A44" s="141" t="s">
        <v>208</v>
      </c>
      <c r="B44" s="141">
        <v>-27.76971</v>
      </c>
      <c r="C44" s="233">
        <v>30.054302</v>
      </c>
      <c r="D44" s="234"/>
      <c r="E44" s="142">
        <v>2040</v>
      </c>
      <c r="F44" s="142">
        <v>1765</v>
      </c>
      <c r="G44" s="142">
        <v>4445</v>
      </c>
      <c r="H44" s="142">
        <v>9630</v>
      </c>
      <c r="I44" s="142">
        <v>11104</v>
      </c>
      <c r="J44" s="142">
        <v>18481</v>
      </c>
      <c r="K44" s="143">
        <v>47465</v>
      </c>
      <c r="L44" s="143">
        <v>47465</v>
      </c>
      <c r="M44" s="144">
        <f t="shared" si="0"/>
        <v>3805</v>
      </c>
      <c r="O44"/>
      <c r="P44"/>
    </row>
    <row r="45" spans="1:16" x14ac:dyDescent="0.25">
      <c r="A45" s="141" t="s">
        <v>209</v>
      </c>
      <c r="B45" s="141">
        <v>-28.509499999999999</v>
      </c>
      <c r="C45" s="233">
        <v>28.821200000000001</v>
      </c>
      <c r="D45" s="234"/>
      <c r="E45" s="142">
        <v>1785</v>
      </c>
      <c r="F45" s="142">
        <v>1817</v>
      </c>
      <c r="G45" s="142">
        <v>4463</v>
      </c>
      <c r="H45" s="142">
        <v>9757</v>
      </c>
      <c r="I45" s="142">
        <v>11262</v>
      </c>
      <c r="J45" s="142">
        <v>21521</v>
      </c>
      <c r="K45" s="143">
        <v>50605</v>
      </c>
      <c r="L45" s="143">
        <v>50605</v>
      </c>
      <c r="M45" s="144">
        <f t="shared" ref="M45:M76" si="1">SUM(E45:F45)</f>
        <v>3602</v>
      </c>
      <c r="O45"/>
      <c r="P45"/>
    </row>
    <row r="46" spans="1:16" x14ac:dyDescent="0.25">
      <c r="A46" s="141" t="s">
        <v>210</v>
      </c>
      <c r="B46" s="141">
        <v>-27.890999999999998</v>
      </c>
      <c r="C46" s="233">
        <v>31.639320000000001</v>
      </c>
      <c r="D46" s="234"/>
      <c r="E46" s="142">
        <v>1778</v>
      </c>
      <c r="F46" s="142">
        <v>1780</v>
      </c>
      <c r="G46" s="142">
        <v>4412</v>
      </c>
      <c r="H46" s="142">
        <v>9070</v>
      </c>
      <c r="I46" s="142">
        <v>10637</v>
      </c>
      <c r="J46" s="142">
        <v>17694</v>
      </c>
      <c r="K46" s="143">
        <v>45371</v>
      </c>
      <c r="L46" s="143">
        <v>45371</v>
      </c>
      <c r="M46" s="144">
        <f t="shared" si="1"/>
        <v>3558</v>
      </c>
      <c r="O46"/>
      <c r="P46"/>
    </row>
    <row r="47" spans="1:16" x14ac:dyDescent="0.25">
      <c r="A47" s="141" t="s">
        <v>211</v>
      </c>
      <c r="B47" s="141">
        <v>-29.332789999999999</v>
      </c>
      <c r="C47" s="233">
        <v>31.285160000000001</v>
      </c>
      <c r="D47" s="234"/>
      <c r="E47" s="142">
        <v>1797</v>
      </c>
      <c r="F47" s="142">
        <v>1599</v>
      </c>
      <c r="G47" s="142">
        <v>4233</v>
      </c>
      <c r="H47" s="142">
        <v>9217</v>
      </c>
      <c r="I47" s="142">
        <v>11038</v>
      </c>
      <c r="J47" s="142">
        <v>19161</v>
      </c>
      <c r="K47" s="143">
        <v>47045</v>
      </c>
      <c r="L47" s="143">
        <v>47045</v>
      </c>
      <c r="M47" s="144">
        <f t="shared" si="1"/>
        <v>3396</v>
      </c>
      <c r="O47"/>
      <c r="P47"/>
    </row>
    <row r="48" spans="1:16" x14ac:dyDescent="0.25">
      <c r="A48" s="141" t="s">
        <v>212</v>
      </c>
      <c r="B48" s="141">
        <v>-24.192699999999999</v>
      </c>
      <c r="C48" s="233">
        <v>29.020800000000001</v>
      </c>
      <c r="D48" s="234"/>
      <c r="E48" s="142">
        <v>1605</v>
      </c>
      <c r="F48" s="142">
        <v>1399</v>
      </c>
      <c r="G48" s="142">
        <v>2961</v>
      </c>
      <c r="H48" s="142">
        <v>5195</v>
      </c>
      <c r="I48" s="142">
        <v>5588</v>
      </c>
      <c r="J48" s="142">
        <v>10856</v>
      </c>
      <c r="K48" s="143">
        <v>27604</v>
      </c>
      <c r="L48" s="143">
        <v>27604</v>
      </c>
      <c r="M48" s="144">
        <f t="shared" si="1"/>
        <v>3004</v>
      </c>
      <c r="O48"/>
      <c r="P48"/>
    </row>
    <row r="49" spans="1:16" x14ac:dyDescent="0.25">
      <c r="A49" s="141" t="s">
        <v>213</v>
      </c>
      <c r="B49" s="141">
        <v>-25.8751</v>
      </c>
      <c r="C49" s="233">
        <v>29.237500000000001</v>
      </c>
      <c r="D49" s="234"/>
      <c r="E49" s="142">
        <v>1325</v>
      </c>
      <c r="F49" s="142">
        <v>1076</v>
      </c>
      <c r="G49" s="142">
        <v>2451</v>
      </c>
      <c r="H49" s="142">
        <v>4429</v>
      </c>
      <c r="I49" s="142">
        <v>4218</v>
      </c>
      <c r="J49" s="142">
        <v>6162</v>
      </c>
      <c r="K49" s="143">
        <v>19661</v>
      </c>
      <c r="L49" s="143">
        <v>19661</v>
      </c>
      <c r="M49" s="144">
        <f t="shared" si="1"/>
        <v>2401</v>
      </c>
      <c r="O49"/>
      <c r="P49"/>
    </row>
    <row r="50" spans="1:16" x14ac:dyDescent="0.25">
      <c r="A50" s="141" t="s">
        <v>214</v>
      </c>
      <c r="B50" s="141">
        <v>-33.951900000000002</v>
      </c>
      <c r="C50" s="233">
        <v>22.450299999999999</v>
      </c>
      <c r="D50" s="234"/>
      <c r="E50" s="142">
        <v>1053</v>
      </c>
      <c r="F50" s="142">
        <v>1158</v>
      </c>
      <c r="G50" s="142">
        <v>2768</v>
      </c>
      <c r="H50" s="142">
        <v>4853</v>
      </c>
      <c r="I50" s="142">
        <v>4901</v>
      </c>
      <c r="J50" s="142">
        <v>7486</v>
      </c>
      <c r="K50" s="143">
        <v>22219</v>
      </c>
      <c r="L50" s="143">
        <v>22219</v>
      </c>
      <c r="M50" s="144">
        <f t="shared" si="1"/>
        <v>2211</v>
      </c>
      <c r="O50"/>
      <c r="P50"/>
    </row>
    <row r="51" spans="1:16" x14ac:dyDescent="0.25">
      <c r="A51" s="141" t="s">
        <v>215</v>
      </c>
      <c r="B51" s="141">
        <v>-26.168800000000001</v>
      </c>
      <c r="C51" s="233">
        <v>27.796500000000002</v>
      </c>
      <c r="D51" s="234"/>
      <c r="E51" s="142">
        <v>1106</v>
      </c>
      <c r="F51" s="142">
        <v>801</v>
      </c>
      <c r="G51" s="142">
        <v>1991</v>
      </c>
      <c r="H51" s="142">
        <v>3841</v>
      </c>
      <c r="I51" s="142">
        <v>4223</v>
      </c>
      <c r="J51" s="142">
        <v>7653</v>
      </c>
      <c r="K51" s="143">
        <v>19615</v>
      </c>
      <c r="L51" s="143">
        <v>19615</v>
      </c>
      <c r="M51" s="144">
        <f t="shared" si="1"/>
        <v>1907</v>
      </c>
      <c r="O51"/>
      <c r="P51"/>
    </row>
    <row r="52" spans="1:16" x14ac:dyDescent="0.25">
      <c r="A52" s="141" t="s">
        <v>216</v>
      </c>
      <c r="B52" s="141">
        <v>-28.211960000000001</v>
      </c>
      <c r="C52" s="233">
        <v>30.672920000000001</v>
      </c>
      <c r="D52" s="234"/>
      <c r="E52" s="142">
        <v>1009</v>
      </c>
      <c r="F52" s="142">
        <v>893</v>
      </c>
      <c r="G52" s="142">
        <v>2344</v>
      </c>
      <c r="H52" s="142">
        <v>4992</v>
      </c>
      <c r="I52" s="142">
        <v>5546</v>
      </c>
      <c r="J52" s="142">
        <v>7865</v>
      </c>
      <c r="K52" s="143">
        <v>22649</v>
      </c>
      <c r="L52" s="143">
        <v>22649</v>
      </c>
      <c r="M52" s="144">
        <f t="shared" si="1"/>
        <v>1902</v>
      </c>
      <c r="O52"/>
      <c r="P52"/>
    </row>
    <row r="53" spans="1:16" x14ac:dyDescent="0.25">
      <c r="A53" s="141" t="s">
        <v>217</v>
      </c>
      <c r="B53" s="141">
        <v>-25.763500000000001</v>
      </c>
      <c r="C53" s="233">
        <v>28.0899</v>
      </c>
      <c r="D53" s="234"/>
      <c r="E53" s="142">
        <v>1174</v>
      </c>
      <c r="F53" s="142">
        <v>718</v>
      </c>
      <c r="G53" s="142">
        <v>1246</v>
      </c>
      <c r="H53" s="142">
        <v>1788</v>
      </c>
      <c r="I53" s="142">
        <v>1474</v>
      </c>
      <c r="J53" s="142">
        <v>4542</v>
      </c>
      <c r="K53" s="143">
        <v>10942</v>
      </c>
      <c r="L53" s="143">
        <v>10942</v>
      </c>
      <c r="M53" s="144">
        <f t="shared" si="1"/>
        <v>1892</v>
      </c>
      <c r="O53"/>
      <c r="P53"/>
    </row>
    <row r="54" spans="1:16" x14ac:dyDescent="0.25">
      <c r="A54" s="141" t="s">
        <v>218</v>
      </c>
      <c r="B54" s="141">
        <v>-25.686900000000001</v>
      </c>
      <c r="C54" s="233">
        <v>31.491299999999999</v>
      </c>
      <c r="D54" s="234"/>
      <c r="E54" s="142">
        <v>872</v>
      </c>
      <c r="F54" s="142">
        <v>679</v>
      </c>
      <c r="G54" s="142">
        <v>1643</v>
      </c>
      <c r="H54" s="142">
        <v>3279</v>
      </c>
      <c r="I54" s="142">
        <v>3791</v>
      </c>
      <c r="J54" s="142">
        <v>6274</v>
      </c>
      <c r="K54" s="143">
        <v>16538</v>
      </c>
      <c r="L54" s="143">
        <v>16538</v>
      </c>
      <c r="M54" s="144">
        <f t="shared" si="1"/>
        <v>1551</v>
      </c>
      <c r="O54"/>
      <c r="P54"/>
    </row>
    <row r="55" spans="1:16" x14ac:dyDescent="0.25">
      <c r="A55" s="141" t="s">
        <v>219</v>
      </c>
      <c r="B55" s="141">
        <v>-30.162749999999999</v>
      </c>
      <c r="C55" s="233">
        <v>30.077929999999999</v>
      </c>
      <c r="D55" s="234"/>
      <c r="E55" s="142">
        <v>683</v>
      </c>
      <c r="F55" s="142">
        <v>831</v>
      </c>
      <c r="G55" s="142">
        <v>1961</v>
      </c>
      <c r="H55" s="142">
        <v>4125</v>
      </c>
      <c r="I55" s="142">
        <v>4982</v>
      </c>
      <c r="J55" s="142">
        <v>10726</v>
      </c>
      <c r="K55" s="143">
        <v>23308</v>
      </c>
      <c r="L55" s="143">
        <v>23308</v>
      </c>
      <c r="M55" s="144">
        <f t="shared" si="1"/>
        <v>1514</v>
      </c>
      <c r="O55"/>
      <c r="P55"/>
    </row>
    <row r="56" spans="1:16" x14ac:dyDescent="0.25">
      <c r="A56" s="141" t="s">
        <v>220</v>
      </c>
      <c r="B56" s="141">
        <v>-26.98592</v>
      </c>
      <c r="C56" s="233">
        <v>24.746919999999999</v>
      </c>
      <c r="D56" s="234"/>
      <c r="E56" s="142">
        <v>756</v>
      </c>
      <c r="F56" s="142">
        <v>667</v>
      </c>
      <c r="G56" s="142">
        <v>1423</v>
      </c>
      <c r="H56" s="142">
        <v>2533</v>
      </c>
      <c r="I56" s="142">
        <v>2988</v>
      </c>
      <c r="J56" s="142">
        <v>5877</v>
      </c>
      <c r="K56" s="143">
        <v>14244</v>
      </c>
      <c r="L56" s="143">
        <v>14244</v>
      </c>
      <c r="M56" s="144">
        <f t="shared" si="1"/>
        <v>1423</v>
      </c>
      <c r="O56"/>
      <c r="P56"/>
    </row>
    <row r="57" spans="1:16" x14ac:dyDescent="0.25">
      <c r="A57" s="141" t="s">
        <v>221</v>
      </c>
      <c r="B57" s="141">
        <v>-31.898759999999999</v>
      </c>
      <c r="C57" s="233">
        <v>26.878579999999999</v>
      </c>
      <c r="D57" s="234"/>
      <c r="E57" s="142">
        <v>675</v>
      </c>
      <c r="F57" s="142">
        <v>694</v>
      </c>
      <c r="G57" s="142">
        <v>1408</v>
      </c>
      <c r="H57" s="142">
        <v>2434</v>
      </c>
      <c r="I57" s="142">
        <v>2300</v>
      </c>
      <c r="J57" s="142">
        <v>3417</v>
      </c>
      <c r="K57" s="143">
        <v>10928</v>
      </c>
      <c r="L57" s="143">
        <v>10928</v>
      </c>
      <c r="M57" s="144">
        <f t="shared" si="1"/>
        <v>1369</v>
      </c>
      <c r="O57"/>
      <c r="P57"/>
    </row>
    <row r="58" spans="1:16" x14ac:dyDescent="0.25">
      <c r="A58" s="141" t="s">
        <v>222</v>
      </c>
      <c r="B58" s="141">
        <v>-28.890999999999998</v>
      </c>
      <c r="C58" s="233">
        <v>31.466460000000001</v>
      </c>
      <c r="D58" s="234"/>
      <c r="E58" s="142">
        <v>705</v>
      </c>
      <c r="F58" s="142">
        <v>605</v>
      </c>
      <c r="G58" s="142">
        <v>1546</v>
      </c>
      <c r="H58" s="142">
        <v>3801</v>
      </c>
      <c r="I58" s="142">
        <v>4753</v>
      </c>
      <c r="J58" s="142">
        <v>7989</v>
      </c>
      <c r="K58" s="143">
        <v>19399</v>
      </c>
      <c r="L58" s="143">
        <v>19399</v>
      </c>
      <c r="M58" s="144">
        <f t="shared" si="1"/>
        <v>1310</v>
      </c>
      <c r="O58"/>
      <c r="P58"/>
    </row>
    <row r="59" spans="1:16" x14ac:dyDescent="0.25">
      <c r="A59" s="141" t="s">
        <v>223</v>
      </c>
      <c r="B59" s="141">
        <v>-28.172902300000001</v>
      </c>
      <c r="C59" s="233">
        <v>30.22973983</v>
      </c>
      <c r="D59" s="234"/>
      <c r="E59" s="142">
        <v>641</v>
      </c>
      <c r="F59" s="142">
        <v>592</v>
      </c>
      <c r="G59" s="142">
        <v>1648</v>
      </c>
      <c r="H59" s="142">
        <v>3616</v>
      </c>
      <c r="I59" s="142">
        <v>4184</v>
      </c>
      <c r="J59" s="142">
        <v>6887</v>
      </c>
      <c r="K59" s="143">
        <v>17568</v>
      </c>
      <c r="L59" s="143">
        <v>17568</v>
      </c>
      <c r="M59" s="144">
        <f t="shared" si="1"/>
        <v>1233</v>
      </c>
      <c r="O59"/>
      <c r="P59"/>
    </row>
    <row r="60" spans="1:16" x14ac:dyDescent="0.25">
      <c r="A60" s="141" t="s">
        <v>224</v>
      </c>
      <c r="B60" s="141">
        <v>-32.332299999999996</v>
      </c>
      <c r="C60" s="233">
        <v>28.1388</v>
      </c>
      <c r="D60" s="234"/>
      <c r="E60" s="142">
        <v>468</v>
      </c>
      <c r="F60" s="142">
        <v>389</v>
      </c>
      <c r="G60" s="142">
        <v>940</v>
      </c>
      <c r="H60" s="142">
        <v>1580</v>
      </c>
      <c r="I60" s="142">
        <v>1520</v>
      </c>
      <c r="J60" s="142">
        <v>2320</v>
      </c>
      <c r="K60" s="143">
        <v>7217</v>
      </c>
      <c r="L60" s="143">
        <v>7217</v>
      </c>
      <c r="M60" s="144">
        <f t="shared" si="1"/>
        <v>857</v>
      </c>
      <c r="O60"/>
      <c r="P60"/>
    </row>
    <row r="61" spans="1:16" x14ac:dyDescent="0.25">
      <c r="A61" s="141" t="s">
        <v>225</v>
      </c>
      <c r="B61" s="141">
        <v>-22.994700000000002</v>
      </c>
      <c r="C61" s="233">
        <v>30.4146</v>
      </c>
      <c r="D61" s="234"/>
      <c r="E61" s="142">
        <v>461</v>
      </c>
      <c r="F61" s="142">
        <v>392</v>
      </c>
      <c r="G61" s="142">
        <v>753</v>
      </c>
      <c r="H61" s="142">
        <v>1188</v>
      </c>
      <c r="I61" s="142">
        <v>1279</v>
      </c>
      <c r="J61" s="142">
        <v>2151</v>
      </c>
      <c r="K61" s="143">
        <v>6224</v>
      </c>
      <c r="L61" s="143">
        <v>6224</v>
      </c>
      <c r="M61" s="144">
        <f t="shared" si="1"/>
        <v>853</v>
      </c>
      <c r="O61"/>
      <c r="P61"/>
    </row>
    <row r="62" spans="1:16" x14ac:dyDescent="0.25">
      <c r="A62" s="141" t="s">
        <v>226</v>
      </c>
      <c r="B62" s="141">
        <v>-24.591799999999999</v>
      </c>
      <c r="C62" s="233">
        <v>31.059799999999999</v>
      </c>
      <c r="D62" s="234"/>
      <c r="E62" s="142">
        <v>379</v>
      </c>
      <c r="F62" s="142">
        <v>365</v>
      </c>
      <c r="G62" s="142">
        <v>690</v>
      </c>
      <c r="H62" s="142">
        <v>1404</v>
      </c>
      <c r="I62" s="142">
        <v>1593</v>
      </c>
      <c r="J62" s="142">
        <v>4078</v>
      </c>
      <c r="K62" s="143">
        <v>8509</v>
      </c>
      <c r="L62" s="143">
        <v>8509</v>
      </c>
      <c r="M62" s="144">
        <f t="shared" si="1"/>
        <v>744</v>
      </c>
      <c r="O62"/>
      <c r="P62"/>
    </row>
    <row r="63" spans="1:16" x14ac:dyDescent="0.25">
      <c r="A63" s="141" t="s">
        <v>227</v>
      </c>
      <c r="B63" s="141">
        <v>-28.446000000000002</v>
      </c>
      <c r="C63" s="233">
        <v>21.265999999999998</v>
      </c>
      <c r="D63" s="234"/>
      <c r="E63" s="142">
        <v>220</v>
      </c>
      <c r="F63" s="142">
        <v>280</v>
      </c>
      <c r="G63" s="142">
        <v>643</v>
      </c>
      <c r="H63" s="142">
        <v>1055</v>
      </c>
      <c r="I63" s="142">
        <v>993</v>
      </c>
      <c r="J63" s="142">
        <v>1927</v>
      </c>
      <c r="K63" s="143">
        <v>5118</v>
      </c>
      <c r="L63" s="143">
        <v>5118</v>
      </c>
      <c r="M63" s="144">
        <f t="shared" si="1"/>
        <v>500</v>
      </c>
      <c r="O63"/>
      <c r="P63"/>
    </row>
    <row r="64" spans="1:16" x14ac:dyDescent="0.25">
      <c r="A64" s="141" t="s">
        <v>228</v>
      </c>
      <c r="B64" s="141">
        <v>-30.659897999999998</v>
      </c>
      <c r="C64" s="233">
        <v>24.007745</v>
      </c>
      <c r="D64" s="234"/>
      <c r="E64" s="142">
        <v>202</v>
      </c>
      <c r="F64" s="142">
        <v>279</v>
      </c>
      <c r="G64" s="142">
        <v>571</v>
      </c>
      <c r="H64" s="142">
        <v>1044</v>
      </c>
      <c r="I64" s="142">
        <v>936</v>
      </c>
      <c r="J64" s="142">
        <v>1648</v>
      </c>
      <c r="K64" s="143">
        <v>4680</v>
      </c>
      <c r="L64" s="143">
        <v>4680</v>
      </c>
      <c r="M64" s="144">
        <f t="shared" si="1"/>
        <v>481</v>
      </c>
      <c r="O64"/>
      <c r="P64"/>
    </row>
    <row r="65" spans="1:13" x14ac:dyDescent="0.25">
      <c r="A65" s="141" t="s">
        <v>247</v>
      </c>
      <c r="B65" s="141">
        <v>-32.9328</v>
      </c>
      <c r="C65" s="233">
        <v>27.7409</v>
      </c>
      <c r="D65" s="234"/>
      <c r="E65" s="142">
        <v>60</v>
      </c>
      <c r="F65" s="142">
        <v>74</v>
      </c>
      <c r="G65" s="142">
        <v>144</v>
      </c>
      <c r="H65" s="142">
        <v>315</v>
      </c>
      <c r="I65" s="142">
        <v>375</v>
      </c>
      <c r="J65" s="142">
        <v>790</v>
      </c>
      <c r="K65" s="143">
        <v>1758</v>
      </c>
      <c r="L65" s="143">
        <v>1758</v>
      </c>
      <c r="M65" s="144">
        <f t="shared" si="1"/>
        <v>134</v>
      </c>
    </row>
    <row r="66" spans="1:13" x14ac:dyDescent="0.25">
      <c r="A66" s="156" t="s">
        <v>247</v>
      </c>
      <c r="B66" s="141">
        <v>-27.8658</v>
      </c>
      <c r="C66" s="233">
        <v>26.266100000000002</v>
      </c>
      <c r="D66" s="234"/>
      <c r="E66" s="142">
        <v>26</v>
      </c>
      <c r="F66" s="142">
        <v>15</v>
      </c>
      <c r="G66" s="142">
        <v>29</v>
      </c>
      <c r="H66" s="142">
        <v>33</v>
      </c>
      <c r="I66" s="142">
        <v>28</v>
      </c>
      <c r="J66" s="142">
        <v>73</v>
      </c>
      <c r="K66" s="143">
        <v>204</v>
      </c>
      <c r="L66" s="143">
        <v>204</v>
      </c>
      <c r="M66" s="144">
        <f t="shared" si="1"/>
        <v>41</v>
      </c>
    </row>
    <row r="67" spans="1:13" x14ac:dyDescent="0.25">
      <c r="A67" s="156" t="s">
        <v>247</v>
      </c>
      <c r="B67" s="141">
        <v>-26.183900000000001</v>
      </c>
      <c r="C67" s="233">
        <v>27.990100000000002</v>
      </c>
      <c r="D67" s="234"/>
      <c r="E67" s="142">
        <v>8</v>
      </c>
      <c r="F67" s="142">
        <v>5</v>
      </c>
      <c r="G67" s="142">
        <v>12</v>
      </c>
      <c r="H67" s="142">
        <v>16</v>
      </c>
      <c r="I67" s="142">
        <v>20</v>
      </c>
      <c r="J67" s="142">
        <v>38</v>
      </c>
      <c r="K67" s="143">
        <v>99</v>
      </c>
      <c r="L67" s="143">
        <v>99</v>
      </c>
      <c r="M67" s="144">
        <f t="shared" si="1"/>
        <v>13</v>
      </c>
    </row>
    <row r="68" spans="1:13" x14ac:dyDescent="0.25">
      <c r="A68" s="156" t="s">
        <v>247</v>
      </c>
      <c r="B68" s="141">
        <v>-34.027500000000003</v>
      </c>
      <c r="C68" s="233">
        <v>18.664999999999999</v>
      </c>
      <c r="D68" s="234"/>
      <c r="E68" s="142">
        <v>5</v>
      </c>
      <c r="F68" s="142">
        <v>2</v>
      </c>
      <c r="G68" s="142">
        <v>6</v>
      </c>
      <c r="H68" s="142">
        <v>10</v>
      </c>
      <c r="I68" s="142">
        <v>7</v>
      </c>
      <c r="J68" s="142">
        <v>7</v>
      </c>
      <c r="K68" s="143">
        <v>37</v>
      </c>
      <c r="L68" s="143">
        <v>37</v>
      </c>
      <c r="M68" s="144">
        <f t="shared" si="1"/>
        <v>7</v>
      </c>
    </row>
    <row r="69" spans="1:13" x14ac:dyDescent="0.25">
      <c r="A69" s="156" t="s">
        <v>247</v>
      </c>
      <c r="B69" s="141">
        <v>-26.1419</v>
      </c>
      <c r="C69" s="233">
        <v>28.1496</v>
      </c>
      <c r="D69" s="234"/>
      <c r="E69" s="142">
        <v>3</v>
      </c>
      <c r="F69" s="142">
        <v>3</v>
      </c>
      <c r="G69" s="142">
        <v>2</v>
      </c>
      <c r="H69" s="142">
        <v>2</v>
      </c>
      <c r="I69" s="142">
        <v>4</v>
      </c>
      <c r="J69" s="142">
        <v>8</v>
      </c>
      <c r="K69" s="143">
        <v>22</v>
      </c>
      <c r="L69" s="143">
        <v>22</v>
      </c>
      <c r="M69" s="144">
        <f t="shared" si="1"/>
        <v>6</v>
      </c>
    </row>
    <row r="70" spans="1:13" x14ac:dyDescent="0.25">
      <c r="A70" s="156" t="s">
        <v>247</v>
      </c>
      <c r="B70" s="141">
        <v>-33.594700000000003</v>
      </c>
      <c r="C70" s="233">
        <v>26.883400000000002</v>
      </c>
      <c r="D70" s="234"/>
      <c r="E70" s="142">
        <v>2</v>
      </c>
      <c r="F70" s="142">
        <v>2</v>
      </c>
      <c r="G70" s="142">
        <v>3</v>
      </c>
      <c r="H70" s="142">
        <v>1</v>
      </c>
      <c r="I70" s="142">
        <v>10</v>
      </c>
      <c r="J70" s="142">
        <v>4</v>
      </c>
      <c r="K70" s="143">
        <v>22</v>
      </c>
      <c r="L70" s="143">
        <v>22</v>
      </c>
      <c r="M70" s="144">
        <f t="shared" si="1"/>
        <v>4</v>
      </c>
    </row>
    <row r="71" spans="1:13" x14ac:dyDescent="0.25">
      <c r="A71" s="156" t="s">
        <v>247</v>
      </c>
      <c r="B71" s="141">
        <v>-28.649899999999999</v>
      </c>
      <c r="C71" s="233">
        <v>30.933199999999999</v>
      </c>
      <c r="D71" s="234"/>
      <c r="E71" s="142">
        <v>2</v>
      </c>
      <c r="F71" s="142">
        <v>1</v>
      </c>
      <c r="G71" s="142">
        <v>5</v>
      </c>
      <c r="H71" s="142">
        <v>9</v>
      </c>
      <c r="I71" s="142">
        <v>12</v>
      </c>
      <c r="J71" s="142">
        <v>15</v>
      </c>
      <c r="K71" s="143">
        <v>44</v>
      </c>
      <c r="L71" s="143">
        <v>44</v>
      </c>
      <c r="M71" s="144">
        <f t="shared" si="1"/>
        <v>3</v>
      </c>
    </row>
    <row r="72" spans="1:13" x14ac:dyDescent="0.25">
      <c r="A72" s="156" t="s">
        <v>247</v>
      </c>
      <c r="B72" s="141">
        <v>-30.5441</v>
      </c>
      <c r="C72" s="233">
        <v>29.412800000000001</v>
      </c>
      <c r="D72" s="234"/>
      <c r="E72" s="142">
        <v>3</v>
      </c>
      <c r="F72" s="142"/>
      <c r="G72" s="142">
        <v>4</v>
      </c>
      <c r="H72" s="142">
        <v>4</v>
      </c>
      <c r="I72" s="142">
        <v>9</v>
      </c>
      <c r="J72" s="142">
        <v>9</v>
      </c>
      <c r="K72" s="143">
        <v>29</v>
      </c>
      <c r="L72" s="143">
        <v>29</v>
      </c>
      <c r="M72" s="144">
        <f t="shared" si="1"/>
        <v>3</v>
      </c>
    </row>
    <row r="73" spans="1:13" x14ac:dyDescent="0.25">
      <c r="A73" s="156" t="s">
        <v>247</v>
      </c>
      <c r="B73" s="141">
        <v>-28.616700000000002</v>
      </c>
      <c r="C73" s="233">
        <v>31.083300000000001</v>
      </c>
      <c r="D73" s="234"/>
      <c r="E73" s="142">
        <v>1</v>
      </c>
      <c r="F73" s="142">
        <v>2</v>
      </c>
      <c r="G73" s="142">
        <v>3</v>
      </c>
      <c r="H73" s="142">
        <v>7</v>
      </c>
      <c r="I73" s="142">
        <v>8</v>
      </c>
      <c r="J73" s="142">
        <v>14</v>
      </c>
      <c r="K73" s="143">
        <v>35</v>
      </c>
      <c r="L73" s="143">
        <v>35</v>
      </c>
      <c r="M73" s="144">
        <f t="shared" si="1"/>
        <v>3</v>
      </c>
    </row>
    <row r="74" spans="1:13" x14ac:dyDescent="0.25">
      <c r="A74" s="156" t="s">
        <v>247</v>
      </c>
      <c r="B74" s="141">
        <v>-28.629100000000001</v>
      </c>
      <c r="C74" s="233">
        <v>31.340800000000002</v>
      </c>
      <c r="D74" s="234"/>
      <c r="E74" s="142">
        <v>2</v>
      </c>
      <c r="F74" s="142">
        <v>1</v>
      </c>
      <c r="G74" s="142">
        <v>5</v>
      </c>
      <c r="H74" s="142">
        <v>14</v>
      </c>
      <c r="I74" s="142">
        <v>17</v>
      </c>
      <c r="J74" s="142">
        <v>21</v>
      </c>
      <c r="K74" s="143">
        <v>60</v>
      </c>
      <c r="L74" s="143">
        <v>60</v>
      </c>
      <c r="M74" s="144">
        <f t="shared" si="1"/>
        <v>3</v>
      </c>
    </row>
    <row r="75" spans="1:13" x14ac:dyDescent="0.25">
      <c r="A75" s="156" t="s">
        <v>247</v>
      </c>
      <c r="B75" s="141">
        <v>-34.109560000000002</v>
      </c>
      <c r="C75" s="233">
        <v>18.821459999999998</v>
      </c>
      <c r="D75" s="234"/>
      <c r="E75" s="142"/>
      <c r="F75" s="142">
        <v>1</v>
      </c>
      <c r="G75" s="142"/>
      <c r="H75" s="142"/>
      <c r="I75" s="142"/>
      <c r="J75" s="142"/>
      <c r="K75" s="143">
        <v>1</v>
      </c>
      <c r="L75" s="143">
        <v>1</v>
      </c>
      <c r="M75" s="144">
        <f t="shared" si="1"/>
        <v>1</v>
      </c>
    </row>
    <row r="76" spans="1:13" x14ac:dyDescent="0.25">
      <c r="A76" s="156" t="s">
        <v>247</v>
      </c>
      <c r="B76" s="141">
        <v>-33.604199999999999</v>
      </c>
      <c r="C76" s="233">
        <v>22.196300000000001</v>
      </c>
      <c r="D76" s="234"/>
      <c r="E76" s="142">
        <v>1</v>
      </c>
      <c r="F76" s="142"/>
      <c r="G76" s="142">
        <v>1</v>
      </c>
      <c r="H76" s="142">
        <v>1</v>
      </c>
      <c r="I76" s="142">
        <v>2</v>
      </c>
      <c r="J76" s="142">
        <v>1</v>
      </c>
      <c r="K76" s="143">
        <v>6</v>
      </c>
      <c r="L76" s="143">
        <v>6</v>
      </c>
      <c r="M76" s="144">
        <f t="shared" si="1"/>
        <v>1</v>
      </c>
    </row>
    <row r="77" spans="1:13" x14ac:dyDescent="0.25">
      <c r="A77" s="156" t="s">
        <v>247</v>
      </c>
      <c r="B77" s="141">
        <v>-26.138487999999999</v>
      </c>
      <c r="C77" s="233">
        <v>28.125515</v>
      </c>
      <c r="D77" s="234"/>
      <c r="E77" s="142">
        <v>1</v>
      </c>
      <c r="F77" s="142"/>
      <c r="G77" s="142">
        <v>2</v>
      </c>
      <c r="H77" s="142"/>
      <c r="I77" s="142">
        <v>6</v>
      </c>
      <c r="J77" s="142">
        <v>3</v>
      </c>
      <c r="K77" s="143">
        <v>12</v>
      </c>
      <c r="L77" s="143">
        <v>12</v>
      </c>
      <c r="M77" s="144">
        <f t="shared" ref="M77:M110" si="2">SUM(E77:F77)</f>
        <v>1</v>
      </c>
    </row>
    <row r="78" spans="1:13" x14ac:dyDescent="0.25">
      <c r="A78" s="156" t="s">
        <v>247</v>
      </c>
      <c r="B78" s="141">
        <v>-24.1965</v>
      </c>
      <c r="C78" s="233">
        <v>29.014299999999999</v>
      </c>
      <c r="D78" s="234"/>
      <c r="E78" s="142"/>
      <c r="F78" s="142">
        <v>1</v>
      </c>
      <c r="G78" s="142">
        <v>1</v>
      </c>
      <c r="H78" s="142"/>
      <c r="I78" s="142">
        <v>1</v>
      </c>
      <c r="J78" s="142"/>
      <c r="K78" s="143">
        <v>3</v>
      </c>
      <c r="L78" s="143">
        <v>3</v>
      </c>
      <c r="M78" s="144">
        <f t="shared" si="2"/>
        <v>1</v>
      </c>
    </row>
    <row r="79" spans="1:13" x14ac:dyDescent="0.25">
      <c r="A79" s="156" t="s">
        <v>247</v>
      </c>
      <c r="B79" s="141">
        <v>-26.253499999999999</v>
      </c>
      <c r="C79" s="233">
        <v>28.063400000000001</v>
      </c>
      <c r="D79" s="234"/>
      <c r="E79" s="142">
        <v>1</v>
      </c>
      <c r="F79" s="142"/>
      <c r="G79" s="142"/>
      <c r="H79" s="142">
        <v>1</v>
      </c>
      <c r="I79" s="142"/>
      <c r="J79" s="142">
        <v>2</v>
      </c>
      <c r="K79" s="143">
        <v>4</v>
      </c>
      <c r="L79" s="143">
        <v>4</v>
      </c>
      <c r="M79" s="144">
        <f t="shared" si="2"/>
        <v>1</v>
      </c>
    </row>
    <row r="80" spans="1:13" x14ac:dyDescent="0.25">
      <c r="A80" s="156" t="s">
        <v>247</v>
      </c>
      <c r="B80" s="141">
        <v>-29.1173</v>
      </c>
      <c r="C80" s="233">
        <v>26.187100000000001</v>
      </c>
      <c r="D80" s="234"/>
      <c r="E80" s="142"/>
      <c r="F80" s="142">
        <v>1</v>
      </c>
      <c r="G80" s="142"/>
      <c r="H80" s="142"/>
      <c r="I80" s="142">
        <v>3</v>
      </c>
      <c r="J80" s="142">
        <v>4</v>
      </c>
      <c r="K80" s="143">
        <v>8</v>
      </c>
      <c r="L80" s="143">
        <v>8</v>
      </c>
      <c r="M80" s="144">
        <f t="shared" si="2"/>
        <v>1</v>
      </c>
    </row>
    <row r="81" spans="1:13" x14ac:dyDescent="0.25">
      <c r="A81" s="156" t="s">
        <v>247</v>
      </c>
      <c r="B81" s="141">
        <v>-32.9133</v>
      </c>
      <c r="C81" s="233">
        <v>17.991</v>
      </c>
      <c r="D81" s="234"/>
      <c r="E81" s="142"/>
      <c r="F81" s="142">
        <v>1</v>
      </c>
      <c r="G81" s="142">
        <v>1</v>
      </c>
      <c r="H81" s="142">
        <v>3</v>
      </c>
      <c r="I81" s="142">
        <v>4</v>
      </c>
      <c r="J81" s="142">
        <v>9</v>
      </c>
      <c r="K81" s="143">
        <v>18</v>
      </c>
      <c r="L81" s="143">
        <v>18</v>
      </c>
      <c r="M81" s="144">
        <f t="shared" si="2"/>
        <v>1</v>
      </c>
    </row>
    <row r="82" spans="1:13" x14ac:dyDescent="0.25">
      <c r="A82" s="156" t="s">
        <v>247</v>
      </c>
      <c r="B82" s="141">
        <v>-33.645600000000002</v>
      </c>
      <c r="C82" s="233">
        <v>19.458100000000002</v>
      </c>
      <c r="D82" s="234"/>
      <c r="E82" s="142">
        <v>1</v>
      </c>
      <c r="F82" s="142"/>
      <c r="G82" s="142">
        <v>7</v>
      </c>
      <c r="H82" s="142">
        <v>2</v>
      </c>
      <c r="I82" s="142">
        <v>1</v>
      </c>
      <c r="J82" s="142">
        <v>1</v>
      </c>
      <c r="K82" s="143">
        <v>12</v>
      </c>
      <c r="L82" s="143">
        <v>12</v>
      </c>
      <c r="M82" s="144">
        <f t="shared" si="2"/>
        <v>1</v>
      </c>
    </row>
    <row r="83" spans="1:13" x14ac:dyDescent="0.25">
      <c r="A83" s="156" t="s">
        <v>247</v>
      </c>
      <c r="B83" s="141">
        <v>-29.861630000000002</v>
      </c>
      <c r="C83" s="233">
        <v>31.042290000000001</v>
      </c>
      <c r="D83" s="234"/>
      <c r="E83" s="142"/>
      <c r="F83" s="142"/>
      <c r="G83" s="142"/>
      <c r="H83" s="142"/>
      <c r="I83" s="142"/>
      <c r="J83" s="142">
        <v>1</v>
      </c>
      <c r="K83" s="143">
        <v>1</v>
      </c>
      <c r="L83" s="143">
        <v>1</v>
      </c>
      <c r="M83" s="144">
        <f t="shared" si="2"/>
        <v>0</v>
      </c>
    </row>
    <row r="84" spans="1:13" x14ac:dyDescent="0.25">
      <c r="A84" s="156" t="s">
        <v>247</v>
      </c>
      <c r="B84" s="141">
        <v>-31.661999999999999</v>
      </c>
      <c r="C84" s="233">
        <v>28.0504</v>
      </c>
      <c r="D84" s="234"/>
      <c r="E84" s="142"/>
      <c r="F84" s="142"/>
      <c r="G84" s="142"/>
      <c r="H84" s="142">
        <v>1</v>
      </c>
      <c r="I84" s="142"/>
      <c r="J84" s="142"/>
      <c r="K84" s="143">
        <v>1</v>
      </c>
      <c r="L84" s="143">
        <v>1</v>
      </c>
      <c r="M84" s="144">
        <f t="shared" si="2"/>
        <v>0</v>
      </c>
    </row>
    <row r="85" spans="1:13" x14ac:dyDescent="0.25">
      <c r="A85" s="156" t="s">
        <v>247</v>
      </c>
      <c r="B85" s="141">
        <v>-32.352899999999998</v>
      </c>
      <c r="C85" s="233">
        <v>22.594899999999999</v>
      </c>
      <c r="D85" s="234"/>
      <c r="E85" s="142"/>
      <c r="F85" s="142"/>
      <c r="G85" s="142"/>
      <c r="H85" s="142">
        <v>2</v>
      </c>
      <c r="I85" s="142">
        <v>1</v>
      </c>
      <c r="J85" s="142"/>
      <c r="K85" s="143">
        <v>3</v>
      </c>
      <c r="L85" s="143">
        <v>3</v>
      </c>
      <c r="M85" s="144">
        <f t="shared" si="2"/>
        <v>0</v>
      </c>
    </row>
    <row r="86" spans="1:13" x14ac:dyDescent="0.25">
      <c r="A86" s="156" t="s">
        <v>247</v>
      </c>
      <c r="B86" s="141">
        <v>-28.997669999999999</v>
      </c>
      <c r="C86" s="233">
        <v>31.474710000000002</v>
      </c>
      <c r="D86" s="234"/>
      <c r="E86" s="142"/>
      <c r="F86" s="142"/>
      <c r="G86" s="142"/>
      <c r="H86" s="142"/>
      <c r="I86" s="142"/>
      <c r="J86" s="142">
        <v>1</v>
      </c>
      <c r="K86" s="143">
        <v>1</v>
      </c>
      <c r="L86" s="143">
        <v>1</v>
      </c>
      <c r="M86" s="144">
        <f t="shared" si="2"/>
        <v>0</v>
      </c>
    </row>
    <row r="87" spans="1:13" x14ac:dyDescent="0.25">
      <c r="A87" s="156" t="s">
        <v>247</v>
      </c>
      <c r="B87" s="141">
        <v>-27.99607</v>
      </c>
      <c r="C87" s="233">
        <v>31.377189999999999</v>
      </c>
      <c r="D87" s="234"/>
      <c r="E87" s="142"/>
      <c r="F87" s="142"/>
      <c r="G87" s="142">
        <v>1</v>
      </c>
      <c r="H87" s="142"/>
      <c r="I87" s="142"/>
      <c r="J87" s="142">
        <v>1</v>
      </c>
      <c r="K87" s="143">
        <v>2</v>
      </c>
      <c r="L87" s="143">
        <v>2</v>
      </c>
      <c r="M87" s="144">
        <f t="shared" si="2"/>
        <v>0</v>
      </c>
    </row>
    <row r="88" spans="1:13" x14ac:dyDescent="0.25">
      <c r="A88" s="156" t="s">
        <v>247</v>
      </c>
      <c r="B88" s="141">
        <v>-26.260100000000001</v>
      </c>
      <c r="C88" s="233">
        <v>27.937999999999999</v>
      </c>
      <c r="D88" s="234"/>
      <c r="E88" s="142"/>
      <c r="F88" s="142"/>
      <c r="G88" s="142"/>
      <c r="H88" s="142">
        <v>1</v>
      </c>
      <c r="I88" s="142"/>
      <c r="J88" s="142">
        <v>1</v>
      </c>
      <c r="K88" s="143">
        <v>2</v>
      </c>
      <c r="L88" s="143">
        <v>2</v>
      </c>
      <c r="M88" s="144">
        <f t="shared" si="2"/>
        <v>0</v>
      </c>
    </row>
    <row r="89" spans="1:13" x14ac:dyDescent="0.25">
      <c r="A89" s="156" t="s">
        <v>247</v>
      </c>
      <c r="B89" s="141">
        <v>-24.6191</v>
      </c>
      <c r="C89" s="233">
        <v>30.172999999999998</v>
      </c>
      <c r="D89" s="234"/>
      <c r="E89" s="142"/>
      <c r="F89" s="142"/>
      <c r="G89" s="142"/>
      <c r="H89" s="142">
        <v>1</v>
      </c>
      <c r="I89" s="142">
        <v>1</v>
      </c>
      <c r="J89" s="142"/>
      <c r="K89" s="143">
        <v>2</v>
      </c>
      <c r="L89" s="143">
        <v>2</v>
      </c>
      <c r="M89" s="144">
        <f t="shared" si="2"/>
        <v>0</v>
      </c>
    </row>
    <row r="90" spans="1:13" x14ac:dyDescent="0.25">
      <c r="A90" s="156" t="s">
        <v>247</v>
      </c>
      <c r="B90" s="141">
        <v>-24.1965</v>
      </c>
      <c r="C90" s="233">
        <v>29.014299999999999</v>
      </c>
      <c r="D90" s="234"/>
      <c r="E90" s="142"/>
      <c r="F90" s="142"/>
      <c r="G90" s="142"/>
      <c r="H90" s="142"/>
      <c r="I90" s="142">
        <v>1</v>
      </c>
      <c r="J90" s="142">
        <v>1</v>
      </c>
      <c r="K90" s="143">
        <v>2</v>
      </c>
      <c r="L90" s="143">
        <v>2</v>
      </c>
      <c r="M90" s="144">
        <f t="shared" si="2"/>
        <v>0</v>
      </c>
    </row>
    <row r="91" spans="1:13" x14ac:dyDescent="0.25">
      <c r="A91" s="156" t="s">
        <v>247</v>
      </c>
      <c r="B91" s="141">
        <v>-34.223999999999997</v>
      </c>
      <c r="C91" s="233">
        <v>19.433199999999999</v>
      </c>
      <c r="D91" s="234"/>
      <c r="E91" s="142"/>
      <c r="F91" s="142"/>
      <c r="G91" s="142"/>
      <c r="H91" s="142"/>
      <c r="I91" s="142">
        <v>2</v>
      </c>
      <c r="J91" s="142"/>
      <c r="K91" s="143">
        <v>2</v>
      </c>
      <c r="L91" s="143">
        <v>2</v>
      </c>
      <c r="M91" s="144">
        <f t="shared" si="2"/>
        <v>0</v>
      </c>
    </row>
    <row r="92" spans="1:13" x14ac:dyDescent="0.25">
      <c r="A92" s="156" t="s">
        <v>247</v>
      </c>
      <c r="B92" s="141">
        <v>-32.172699999999999</v>
      </c>
      <c r="C92" s="233">
        <v>26.805199999999999</v>
      </c>
      <c r="D92" s="234"/>
      <c r="E92" s="142"/>
      <c r="F92" s="142"/>
      <c r="G92" s="142">
        <v>1</v>
      </c>
      <c r="H92" s="142"/>
      <c r="I92" s="142"/>
      <c r="J92" s="142">
        <v>1</v>
      </c>
      <c r="K92" s="143">
        <v>2</v>
      </c>
      <c r="L92" s="143">
        <v>2</v>
      </c>
      <c r="M92" s="144">
        <f t="shared" si="2"/>
        <v>0</v>
      </c>
    </row>
    <row r="93" spans="1:13" x14ac:dyDescent="0.25">
      <c r="A93" s="156" t="s">
        <v>247</v>
      </c>
      <c r="B93" s="141">
        <v>-31.081299999999999</v>
      </c>
      <c r="C93" s="233">
        <v>29.4954</v>
      </c>
      <c r="D93" s="234"/>
      <c r="E93" s="142"/>
      <c r="F93" s="142"/>
      <c r="G93" s="142"/>
      <c r="H93" s="142"/>
      <c r="I93" s="142"/>
      <c r="J93" s="142">
        <v>1</v>
      </c>
      <c r="K93" s="143">
        <v>1</v>
      </c>
      <c r="L93" s="143">
        <v>1</v>
      </c>
      <c r="M93" s="144">
        <f t="shared" si="2"/>
        <v>0</v>
      </c>
    </row>
    <row r="94" spans="1:13" x14ac:dyDescent="0.25">
      <c r="A94" s="156" t="s">
        <v>247</v>
      </c>
      <c r="B94" s="141">
        <v>-29.856649999999998</v>
      </c>
      <c r="C94" s="233">
        <v>30.950837</v>
      </c>
      <c r="D94" s="234"/>
      <c r="E94" s="142"/>
      <c r="F94" s="142"/>
      <c r="G94" s="142"/>
      <c r="H94" s="142">
        <v>1</v>
      </c>
      <c r="I94" s="142"/>
      <c r="J94" s="142"/>
      <c r="K94" s="143">
        <v>1</v>
      </c>
      <c r="L94" s="143">
        <v>1</v>
      </c>
      <c r="M94" s="144">
        <f t="shared" si="2"/>
        <v>0</v>
      </c>
    </row>
    <row r="95" spans="1:13" x14ac:dyDescent="0.25">
      <c r="A95" s="156" t="s">
        <v>247</v>
      </c>
      <c r="B95" s="141">
        <v>-34.035600000000002</v>
      </c>
      <c r="C95" s="233">
        <v>23.049399999999999</v>
      </c>
      <c r="D95" s="234"/>
      <c r="E95" s="142"/>
      <c r="F95" s="142"/>
      <c r="G95" s="142"/>
      <c r="H95" s="142">
        <v>3</v>
      </c>
      <c r="I95" s="142">
        <v>4</v>
      </c>
      <c r="J95" s="142">
        <v>7</v>
      </c>
      <c r="K95" s="143">
        <v>14</v>
      </c>
      <c r="L95" s="143">
        <v>14</v>
      </c>
      <c r="M95" s="144">
        <f t="shared" si="2"/>
        <v>0</v>
      </c>
    </row>
    <row r="96" spans="1:13" x14ac:dyDescent="0.25">
      <c r="A96" s="156" t="s">
        <v>247</v>
      </c>
      <c r="B96" s="141">
        <v>-25.888686</v>
      </c>
      <c r="C96" s="233">
        <v>25.706810999999998</v>
      </c>
      <c r="D96" s="234"/>
      <c r="E96" s="142"/>
      <c r="F96" s="142"/>
      <c r="G96" s="142"/>
      <c r="H96" s="142">
        <v>1</v>
      </c>
      <c r="I96" s="142"/>
      <c r="J96" s="142">
        <v>1</v>
      </c>
      <c r="K96" s="143">
        <v>2</v>
      </c>
      <c r="L96" s="143">
        <v>2</v>
      </c>
      <c r="M96" s="144">
        <f t="shared" si="2"/>
        <v>0</v>
      </c>
    </row>
    <row r="97" spans="1:14" x14ac:dyDescent="0.25">
      <c r="A97" s="156" t="s">
        <v>247</v>
      </c>
      <c r="B97" s="141">
        <v>-23.886500000000002</v>
      </c>
      <c r="C97" s="233">
        <v>29.727699999999999</v>
      </c>
      <c r="D97" s="234"/>
      <c r="E97" s="142"/>
      <c r="F97" s="142"/>
      <c r="G97" s="142">
        <v>1</v>
      </c>
      <c r="H97" s="142">
        <v>2</v>
      </c>
      <c r="I97" s="142">
        <v>3</v>
      </c>
      <c r="J97" s="142">
        <v>3</v>
      </c>
      <c r="K97" s="143">
        <v>9</v>
      </c>
      <c r="L97" s="143">
        <v>9</v>
      </c>
      <c r="M97" s="144">
        <f t="shared" si="2"/>
        <v>0</v>
      </c>
    </row>
    <row r="98" spans="1:14" x14ac:dyDescent="0.25">
      <c r="A98" s="156" t="s">
        <v>247</v>
      </c>
      <c r="B98" s="141">
        <v>-28.895005000000001</v>
      </c>
      <c r="C98" s="233">
        <v>31.186063999999998</v>
      </c>
      <c r="D98" s="234"/>
      <c r="E98" s="142"/>
      <c r="F98" s="142"/>
      <c r="G98" s="142"/>
      <c r="H98" s="142"/>
      <c r="I98" s="142">
        <v>1</v>
      </c>
      <c r="J98" s="142"/>
      <c r="K98" s="143">
        <v>1</v>
      </c>
      <c r="L98" s="143">
        <v>1</v>
      </c>
      <c r="M98" s="144">
        <f t="shared" si="2"/>
        <v>0</v>
      </c>
    </row>
    <row r="99" spans="1:14" x14ac:dyDescent="0.25">
      <c r="A99" s="156" t="s">
        <v>247</v>
      </c>
      <c r="B99" s="141">
        <v>-34.1858</v>
      </c>
      <c r="C99" s="233">
        <v>22.127500000000001</v>
      </c>
      <c r="D99" s="234"/>
      <c r="E99" s="142"/>
      <c r="F99" s="142"/>
      <c r="G99" s="142"/>
      <c r="H99" s="142"/>
      <c r="I99" s="142"/>
      <c r="J99" s="142">
        <v>1</v>
      </c>
      <c r="K99" s="143">
        <v>1</v>
      </c>
      <c r="L99" s="143">
        <v>1</v>
      </c>
      <c r="M99" s="144">
        <f t="shared" si="2"/>
        <v>0</v>
      </c>
    </row>
    <row r="100" spans="1:14" x14ac:dyDescent="0.25">
      <c r="A100" s="156" t="s">
        <v>247</v>
      </c>
      <c r="B100" s="141">
        <v>-30.72804</v>
      </c>
      <c r="C100" s="233">
        <v>30.34402</v>
      </c>
      <c r="D100" s="234"/>
      <c r="E100" s="142"/>
      <c r="F100" s="142"/>
      <c r="G100" s="142"/>
      <c r="H100" s="142"/>
      <c r="I100" s="142">
        <v>4</v>
      </c>
      <c r="J100" s="142"/>
      <c r="K100" s="143">
        <v>4</v>
      </c>
      <c r="L100" s="143">
        <v>4</v>
      </c>
      <c r="M100" s="144">
        <f t="shared" si="2"/>
        <v>0</v>
      </c>
    </row>
    <row r="101" spans="1:14" x14ac:dyDescent="0.25">
      <c r="A101" s="156" t="s">
        <v>247</v>
      </c>
      <c r="B101" s="141">
        <v>-28.22663</v>
      </c>
      <c r="C101" s="233">
        <v>31.414770000000001</v>
      </c>
      <c r="D101" s="234"/>
      <c r="E101" s="142"/>
      <c r="F101" s="142"/>
      <c r="G101" s="142">
        <v>5</v>
      </c>
      <c r="H101" s="142">
        <v>4</v>
      </c>
      <c r="I101" s="142">
        <v>5</v>
      </c>
      <c r="J101" s="142">
        <v>9</v>
      </c>
      <c r="K101" s="143">
        <v>23</v>
      </c>
      <c r="L101" s="143">
        <v>23</v>
      </c>
      <c r="M101" s="144">
        <f t="shared" si="2"/>
        <v>0</v>
      </c>
    </row>
    <row r="102" spans="1:14" x14ac:dyDescent="0.25">
      <c r="A102" s="156" t="s">
        <v>247</v>
      </c>
      <c r="B102" s="141">
        <v>-29.5749</v>
      </c>
      <c r="C102" s="233">
        <v>30.399899999999999</v>
      </c>
      <c r="D102" s="234"/>
      <c r="E102" s="142"/>
      <c r="F102" s="142"/>
      <c r="G102" s="142"/>
      <c r="H102" s="142"/>
      <c r="I102" s="142">
        <v>1</v>
      </c>
      <c r="J102" s="142"/>
      <c r="K102" s="143">
        <v>1</v>
      </c>
      <c r="L102" s="143">
        <v>1</v>
      </c>
      <c r="M102" s="144">
        <f t="shared" si="2"/>
        <v>0</v>
      </c>
    </row>
    <row r="103" spans="1:14" x14ac:dyDescent="0.25">
      <c r="A103" s="156" t="s">
        <v>247</v>
      </c>
      <c r="B103" s="141">
        <v>-33.726999999999997</v>
      </c>
      <c r="C103" s="233">
        <v>18.97</v>
      </c>
      <c r="D103" s="234"/>
      <c r="E103" s="142"/>
      <c r="F103" s="142"/>
      <c r="G103" s="142">
        <v>5</v>
      </c>
      <c r="H103" s="142">
        <v>3</v>
      </c>
      <c r="I103" s="142">
        <v>4</v>
      </c>
      <c r="J103" s="142">
        <v>14</v>
      </c>
      <c r="K103" s="143">
        <v>26</v>
      </c>
      <c r="L103" s="143">
        <v>26</v>
      </c>
      <c r="M103" s="144">
        <f t="shared" si="2"/>
        <v>0</v>
      </c>
    </row>
    <row r="104" spans="1:14" x14ac:dyDescent="0.25">
      <c r="A104" s="156" t="s">
        <v>247</v>
      </c>
      <c r="B104" s="141">
        <v>-33.957700000000003</v>
      </c>
      <c r="C104" s="233">
        <v>25.596800000000002</v>
      </c>
      <c r="D104" s="234"/>
      <c r="E104" s="142"/>
      <c r="F104" s="142"/>
      <c r="G104" s="142"/>
      <c r="H104" s="142">
        <v>1</v>
      </c>
      <c r="I104" s="142">
        <v>1</v>
      </c>
      <c r="J104" s="142"/>
      <c r="K104" s="143">
        <v>2</v>
      </c>
      <c r="L104" s="143">
        <v>2</v>
      </c>
      <c r="M104" s="144">
        <f t="shared" si="2"/>
        <v>0</v>
      </c>
    </row>
    <row r="105" spans="1:14" x14ac:dyDescent="0.25">
      <c r="A105" s="156" t="s">
        <v>247</v>
      </c>
      <c r="B105" s="141">
        <v>-30.487829999999999</v>
      </c>
      <c r="C105" s="233">
        <v>29.824809999999999</v>
      </c>
      <c r="D105" s="234"/>
      <c r="E105" s="142"/>
      <c r="F105" s="142"/>
      <c r="G105" s="142"/>
      <c r="H105" s="142"/>
      <c r="I105" s="142">
        <v>2</v>
      </c>
      <c r="J105" s="142">
        <v>3</v>
      </c>
      <c r="K105" s="143">
        <v>5</v>
      </c>
      <c r="L105" s="143">
        <v>5</v>
      </c>
      <c r="M105" s="144">
        <f t="shared" si="2"/>
        <v>0</v>
      </c>
    </row>
    <row r="106" spans="1:14" x14ac:dyDescent="0.25">
      <c r="A106" s="156" t="s">
        <v>247</v>
      </c>
      <c r="B106" s="141">
        <v>-30.027940000000001</v>
      </c>
      <c r="C106" s="233">
        <v>29.844670000000001</v>
      </c>
      <c r="D106" s="234"/>
      <c r="E106" s="142"/>
      <c r="F106" s="142"/>
      <c r="G106" s="142">
        <v>1</v>
      </c>
      <c r="H106" s="142">
        <v>4</v>
      </c>
      <c r="I106" s="142">
        <v>9</v>
      </c>
      <c r="J106" s="142">
        <v>18</v>
      </c>
      <c r="K106" s="143">
        <v>32</v>
      </c>
      <c r="L106" s="143">
        <v>32</v>
      </c>
      <c r="M106" s="144">
        <f t="shared" si="2"/>
        <v>0</v>
      </c>
    </row>
    <row r="107" spans="1:14" x14ac:dyDescent="0.25">
      <c r="A107" s="156" t="s">
        <v>247</v>
      </c>
      <c r="B107" s="141">
        <v>-27.5624</v>
      </c>
      <c r="C107" s="233">
        <v>24.748100000000001</v>
      </c>
      <c r="D107" s="234"/>
      <c r="E107" s="142"/>
      <c r="F107" s="142"/>
      <c r="G107" s="142"/>
      <c r="H107" s="142"/>
      <c r="I107" s="142"/>
      <c r="J107" s="142">
        <v>3</v>
      </c>
      <c r="K107" s="143">
        <v>3</v>
      </c>
      <c r="L107" s="143">
        <v>3</v>
      </c>
      <c r="M107" s="144">
        <f t="shared" si="2"/>
        <v>0</v>
      </c>
    </row>
    <row r="108" spans="1:14" x14ac:dyDescent="0.25">
      <c r="A108" s="156" t="s">
        <v>247</v>
      </c>
      <c r="B108" s="141">
        <v>-25.694700000000001</v>
      </c>
      <c r="C108" s="233">
        <v>31.7881</v>
      </c>
      <c r="D108" s="234"/>
      <c r="E108" s="142"/>
      <c r="F108" s="142"/>
      <c r="G108" s="142"/>
      <c r="H108" s="142"/>
      <c r="I108" s="142"/>
      <c r="J108" s="142">
        <v>1</v>
      </c>
      <c r="K108" s="143">
        <v>1</v>
      </c>
      <c r="L108" s="143">
        <v>1</v>
      </c>
      <c r="M108" s="144">
        <f t="shared" si="2"/>
        <v>0</v>
      </c>
    </row>
    <row r="109" spans="1:14" x14ac:dyDescent="0.25">
      <c r="A109" s="156" t="s">
        <v>247</v>
      </c>
      <c r="B109" s="141">
        <v>-29.157399999999999</v>
      </c>
      <c r="C109" s="233">
        <v>31.039300000000001</v>
      </c>
      <c r="D109" s="234"/>
      <c r="E109" s="142"/>
      <c r="F109" s="142"/>
      <c r="G109" s="142"/>
      <c r="H109" s="142"/>
      <c r="I109" s="142"/>
      <c r="J109" s="142">
        <v>2</v>
      </c>
      <c r="K109" s="143">
        <v>2</v>
      </c>
      <c r="L109" s="143">
        <v>2</v>
      </c>
      <c r="M109" s="144">
        <f t="shared" si="2"/>
        <v>0</v>
      </c>
    </row>
    <row r="110" spans="1:14" x14ac:dyDescent="0.25">
      <c r="A110" s="156" t="s">
        <v>247</v>
      </c>
      <c r="B110" s="141">
        <v>-31.666699999999999</v>
      </c>
      <c r="C110" s="233">
        <v>18.505099999999999</v>
      </c>
      <c r="D110" s="234"/>
      <c r="E110" s="142"/>
      <c r="F110" s="142"/>
      <c r="G110" s="142">
        <v>1</v>
      </c>
      <c r="H110" s="142">
        <v>1</v>
      </c>
      <c r="I110" s="142"/>
      <c r="J110" s="142"/>
      <c r="K110" s="143">
        <v>2</v>
      </c>
      <c r="L110" s="143">
        <v>2</v>
      </c>
      <c r="M110" s="144">
        <f t="shared" si="2"/>
        <v>0</v>
      </c>
    </row>
    <row r="111" spans="1:14" x14ac:dyDescent="0.25">
      <c r="A111" s="289" t="s">
        <v>18</v>
      </c>
      <c r="B111" s="289"/>
      <c r="C111" s="289"/>
      <c r="D111" s="289"/>
      <c r="E111" s="243">
        <v>185001</v>
      </c>
      <c r="F111" s="243">
        <v>159730</v>
      </c>
      <c r="G111" s="243">
        <v>374340</v>
      </c>
      <c r="H111" s="243">
        <v>707058</v>
      </c>
      <c r="I111" s="243">
        <v>753793</v>
      </c>
      <c r="J111" s="243">
        <v>1312058</v>
      </c>
      <c r="K111" s="243">
        <v>3491980</v>
      </c>
      <c r="L111" s="243">
        <v>3491980</v>
      </c>
      <c r="M111" s="144">
        <f>SUM(M13:M110)</f>
        <v>344731</v>
      </c>
      <c r="N111" s="152"/>
    </row>
  </sheetData>
  <sortState ref="A13:M110">
    <sortCondition descending="1" ref="M13:M110"/>
  </sortState>
  <mergeCells count="5">
    <mergeCell ref="A6:L6"/>
    <mergeCell ref="A7:L7"/>
    <mergeCell ref="E9:K9"/>
    <mergeCell ref="E10:K10"/>
    <mergeCell ref="A111:D1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2" sqref="B12"/>
    </sheetView>
  </sheetViews>
  <sheetFormatPr defaultRowHeight="15" x14ac:dyDescent="0.25"/>
  <cols>
    <col min="1" max="1" width="7.5703125" bestFit="1" customWidth="1"/>
    <col min="2" max="2" width="14" bestFit="1" customWidth="1"/>
  </cols>
  <sheetData>
    <row r="1" spans="1:2" ht="47.25" x14ac:dyDescent="0.25">
      <c r="A1" s="47" t="s">
        <v>38</v>
      </c>
      <c r="B1" s="47" t="s">
        <v>177</v>
      </c>
    </row>
    <row r="2" spans="1:2" x14ac:dyDescent="0.25">
      <c r="A2" s="48" t="s">
        <v>16</v>
      </c>
      <c r="B2" s="92">
        <v>250262.09589000003</v>
      </c>
    </row>
    <row r="3" spans="1:2" x14ac:dyDescent="0.25">
      <c r="A3" s="48" t="s">
        <v>14</v>
      </c>
      <c r="B3" s="92">
        <v>417172.21572000004</v>
      </c>
    </row>
    <row r="4" spans="1:2" x14ac:dyDescent="0.25">
      <c r="A4" s="48" t="s">
        <v>17</v>
      </c>
      <c r="B4" s="92">
        <v>656827.16</v>
      </c>
    </row>
    <row r="8" spans="1:2" x14ac:dyDescent="0.25">
      <c r="B8" s="15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5"/>
  <sheetViews>
    <sheetView topLeftCell="B1" workbookViewId="0">
      <selection activeCell="P5" sqref="P5"/>
    </sheetView>
  </sheetViews>
  <sheetFormatPr defaultRowHeight="15" x14ac:dyDescent="0.25"/>
  <sheetData>
    <row r="5" spans="16:16" x14ac:dyDescent="0.25">
      <c r="P5">
        <v>14.432499999999999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17" sqref="C17"/>
    </sheetView>
  </sheetViews>
  <sheetFormatPr defaultRowHeight="15" x14ac:dyDescent="0.25"/>
  <cols>
    <col min="1" max="1" width="14.5703125" bestFit="1" customWidth="1"/>
    <col min="2" max="2" width="18.5703125" bestFit="1" customWidth="1"/>
    <col min="3" max="3" width="20.42578125" bestFit="1" customWidth="1"/>
  </cols>
  <sheetData>
    <row r="1" spans="1:6" x14ac:dyDescent="0.25">
      <c r="A1" s="290" t="s">
        <v>233</v>
      </c>
      <c r="B1" s="290"/>
      <c r="C1" s="290"/>
      <c r="D1" s="290"/>
    </row>
    <row r="3" spans="1:6" x14ac:dyDescent="0.25">
      <c r="A3" s="134" t="s">
        <v>139</v>
      </c>
      <c r="B3" s="134" t="s">
        <v>234</v>
      </c>
      <c r="C3" s="134" t="s">
        <v>235</v>
      </c>
      <c r="D3" s="134" t="s">
        <v>72</v>
      </c>
      <c r="F3" t="s">
        <v>244</v>
      </c>
    </row>
    <row r="4" spans="1:6" x14ac:dyDescent="0.25">
      <c r="A4" s="170" t="s">
        <v>141</v>
      </c>
      <c r="B4" s="171">
        <v>3</v>
      </c>
      <c r="C4" s="172">
        <v>744</v>
      </c>
      <c r="D4" s="172" t="s">
        <v>57</v>
      </c>
    </row>
    <row r="5" spans="1:6" x14ac:dyDescent="0.25">
      <c r="A5" s="170" t="s">
        <v>142</v>
      </c>
      <c r="B5" s="171">
        <v>5</v>
      </c>
      <c r="C5" s="172">
        <v>1423</v>
      </c>
      <c r="D5" s="172" t="s">
        <v>57</v>
      </c>
      <c r="F5" t="s">
        <v>166</v>
      </c>
    </row>
    <row r="6" spans="1:6" x14ac:dyDescent="0.25">
      <c r="A6" s="170" t="s">
        <v>143</v>
      </c>
      <c r="B6" s="171">
        <v>8</v>
      </c>
      <c r="C6" s="172">
        <v>1907</v>
      </c>
      <c r="D6" s="172" t="s">
        <v>57</v>
      </c>
      <c r="F6" t="s">
        <v>120</v>
      </c>
    </row>
    <row r="7" spans="1:6" x14ac:dyDescent="0.25">
      <c r="A7" s="170" t="s">
        <v>144</v>
      </c>
      <c r="B7" s="171">
        <v>23</v>
      </c>
      <c r="C7" s="172">
        <v>5922</v>
      </c>
      <c r="D7" s="172" t="s">
        <v>57</v>
      </c>
      <c r="F7" t="s">
        <v>125</v>
      </c>
    </row>
    <row r="8" spans="1:6" x14ac:dyDescent="0.25">
      <c r="A8" s="170" t="s">
        <v>145</v>
      </c>
      <c r="B8" s="171">
        <v>40</v>
      </c>
      <c r="C8" s="172">
        <v>10386</v>
      </c>
      <c r="D8" s="172" t="s">
        <v>69</v>
      </c>
      <c r="F8" t="s">
        <v>167</v>
      </c>
    </row>
    <row r="9" spans="1:6" x14ac:dyDescent="0.25">
      <c r="A9" s="170" t="s">
        <v>146</v>
      </c>
      <c r="B9" s="171">
        <v>55</v>
      </c>
      <c r="C9" s="172">
        <v>14112</v>
      </c>
      <c r="D9" s="172" t="s">
        <v>69</v>
      </c>
      <c r="F9" t="s">
        <v>168</v>
      </c>
    </row>
    <row r="10" spans="1:6" x14ac:dyDescent="0.25">
      <c r="A10" s="170" t="s">
        <v>147</v>
      </c>
      <c r="B10" s="171">
        <v>64</v>
      </c>
      <c r="C10" s="172">
        <v>16590</v>
      </c>
      <c r="D10" s="172" t="s">
        <v>69</v>
      </c>
      <c r="F10" t="s">
        <v>169</v>
      </c>
    </row>
    <row r="11" spans="1:6" x14ac:dyDescent="0.25">
      <c r="F11" t="s">
        <v>170</v>
      </c>
    </row>
    <row r="13" spans="1:6" x14ac:dyDescent="0.25">
      <c r="F13" t="s">
        <v>245</v>
      </c>
    </row>
    <row r="14" spans="1:6" x14ac:dyDescent="0.25">
      <c r="F14" t="s">
        <v>171</v>
      </c>
    </row>
    <row r="15" spans="1:6" x14ac:dyDescent="0.25">
      <c r="F15" t="s">
        <v>172</v>
      </c>
    </row>
    <row r="16" spans="1:6" x14ac:dyDescent="0.25">
      <c r="F16" t="s">
        <v>173</v>
      </c>
    </row>
    <row r="17" spans="6:6" x14ac:dyDescent="0.25">
      <c r="F17" t="s">
        <v>174</v>
      </c>
    </row>
    <row r="18" spans="6:6" x14ac:dyDescent="0.25">
      <c r="F18" t="s">
        <v>175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LFA Costing_n=23 (50th Perc)</vt:lpstr>
      <vt:lpstr>EIA Costing n=40 (75th Perc)</vt:lpstr>
      <vt:lpstr>Ref1_Lab_Volumes</vt:lpstr>
      <vt:lpstr>Ref2_CDW Volumes</vt:lpstr>
      <vt:lpstr>Ref3_CTC</vt:lpstr>
      <vt:lpstr>Ref4_ER</vt:lpstr>
      <vt:lpstr>Ref5_Percentile Volumes</vt:lpstr>
      <vt:lpstr>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Naseem Cassim</dc:creator>
  <cp:lastModifiedBy>Lindi Coetzee</cp:lastModifiedBy>
  <cp:lastPrinted>2016-11-23T12:19:42Z</cp:lastPrinted>
  <dcterms:created xsi:type="dcterms:W3CDTF">2014-03-09T20:24:21Z</dcterms:created>
  <dcterms:modified xsi:type="dcterms:W3CDTF">2017-03-09T08:43:44Z</dcterms:modified>
</cp:coreProperties>
</file>