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30" windowWidth="10140" windowHeight="8175" tabRatio="835"/>
  </bookViews>
  <sheets>
    <sheet name="Included pt data" sheetId="13" r:id="rId1"/>
    <sheet name="SVF" sheetId="1" r:id="rId2"/>
    <sheet name="No postTVF" sheetId="4" r:id="rId3"/>
    <sheet name="TVF Times" sheetId="3" r:id="rId4"/>
    <sheet name="Costs" sheetId="8" r:id="rId5"/>
    <sheet name="MRD1 change" sheetId="10" r:id="rId6"/>
    <sheet name="Table" sheetId="14" r:id="rId7"/>
  </sheets>
  <definedNames>
    <definedName name="_xlnm._FilterDatabase" localSheetId="5" hidden="1">'MRD1 change'!$A$1:$X$108</definedName>
    <definedName name="_xlnm._FilterDatabase" localSheetId="1" hidden="1">SVF!$A$1:$AD$100</definedName>
  </definedNames>
  <calcPr calcId="145621"/>
</workbook>
</file>

<file path=xl/calcChain.xml><?xml version="1.0" encoding="utf-8"?>
<calcChain xmlns="http://schemas.openxmlformats.org/spreadsheetml/2006/main">
  <c r="E55" i="13" l="1"/>
  <c r="O2" i="3" l="1"/>
  <c r="M2" i="3"/>
  <c r="M3" i="3" s="1"/>
  <c r="N2" i="3" s="1"/>
  <c r="M9" i="3"/>
  <c r="N9" i="3" s="1"/>
  <c r="S7" i="14" l="1"/>
  <c r="R7" i="14"/>
  <c r="Q7" i="14"/>
  <c r="P7" i="14"/>
  <c r="S6" i="14"/>
  <c r="R6" i="14"/>
  <c r="Q6" i="14"/>
  <c r="P6" i="14"/>
  <c r="S5" i="14"/>
  <c r="R5" i="14"/>
  <c r="Q5" i="14"/>
  <c r="P5" i="14"/>
  <c r="O7" i="14"/>
  <c r="N7" i="14"/>
  <c r="O6" i="14"/>
  <c r="N6" i="14"/>
  <c r="O5" i="14"/>
  <c r="N5" i="14"/>
  <c r="R75" i="14"/>
  <c r="R74" i="14"/>
  <c r="P75" i="14"/>
  <c r="P74" i="14"/>
  <c r="N75" i="14"/>
  <c r="N74" i="14"/>
  <c r="R71" i="14"/>
  <c r="R70" i="14"/>
  <c r="P71" i="14"/>
  <c r="P70" i="14"/>
  <c r="N71" i="14"/>
  <c r="N70" i="14"/>
  <c r="O65" i="14" l="1"/>
  <c r="N65" i="14"/>
  <c r="O67" i="14"/>
  <c r="N67" i="14"/>
  <c r="O66" i="14"/>
  <c r="N66" i="14"/>
  <c r="AL59" i="1" l="1"/>
  <c r="AL58" i="1"/>
  <c r="AL57" i="1"/>
  <c r="AH94" i="1"/>
  <c r="AI93" i="1"/>
  <c r="AH93" i="1"/>
  <c r="AI90" i="1"/>
  <c r="AH90" i="1"/>
  <c r="E57" i="13" l="1"/>
  <c r="E56" i="13"/>
  <c r="B103" i="1"/>
  <c r="B102" i="1"/>
  <c r="E58" i="13" l="1"/>
  <c r="AD72" i="1"/>
  <c r="Y44" i="1" l="1"/>
  <c r="Y43" i="1"/>
  <c r="Y42" i="1"/>
  <c r="L2" i="3" l="1"/>
  <c r="H3" i="10" l="1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2" i="10"/>
  <c r="H2" i="10"/>
  <c r="P15" i="10"/>
  <c r="R15" i="10" s="1"/>
  <c r="P16" i="10"/>
  <c r="R16" i="10" s="1"/>
  <c r="P17" i="10"/>
  <c r="R17" i="10" s="1"/>
  <c r="P18" i="10"/>
  <c r="R18" i="10" s="1"/>
  <c r="P19" i="10"/>
  <c r="R19" i="10" s="1"/>
  <c r="P20" i="10"/>
  <c r="R20" i="10" s="1"/>
  <c r="P21" i="10"/>
  <c r="R21" i="10" s="1"/>
  <c r="P22" i="10"/>
  <c r="R22" i="10" s="1"/>
  <c r="P23" i="10"/>
  <c r="R23" i="10" s="1"/>
  <c r="P24" i="10"/>
  <c r="R24" i="10" s="1"/>
  <c r="P25" i="10"/>
  <c r="P26" i="10"/>
  <c r="P27" i="10"/>
  <c r="P28" i="10"/>
  <c r="P29" i="10"/>
  <c r="R29" i="10" s="1"/>
  <c r="P30" i="10"/>
  <c r="R30" i="10" s="1"/>
  <c r="P31" i="10"/>
  <c r="R31" i="10" s="1"/>
  <c r="P32" i="10"/>
  <c r="R32" i="10" s="1"/>
  <c r="P33" i="10"/>
  <c r="R33" i="10" s="1"/>
  <c r="P34" i="10"/>
  <c r="R34" i="10" s="1"/>
  <c r="P35" i="10"/>
  <c r="R35" i="10" s="1"/>
  <c r="P36" i="10"/>
  <c r="R36" i="10" s="1"/>
  <c r="P37" i="10"/>
  <c r="R37" i="10" s="1"/>
  <c r="P38" i="10"/>
  <c r="R38" i="10" s="1"/>
  <c r="P39" i="10"/>
  <c r="R39" i="10" s="1"/>
  <c r="P40" i="10"/>
  <c r="R40" i="10" s="1"/>
  <c r="P41" i="10"/>
  <c r="R41" i="10" s="1"/>
  <c r="P42" i="10"/>
  <c r="R42" i="10" s="1"/>
  <c r="P43" i="10"/>
  <c r="R43" i="10" s="1"/>
  <c r="P44" i="10"/>
  <c r="R44" i="10" s="1"/>
  <c r="P45" i="10"/>
  <c r="R45" i="10" s="1"/>
  <c r="P46" i="10"/>
  <c r="R46" i="10" s="1"/>
  <c r="P47" i="10"/>
  <c r="R47" i="10" s="1"/>
  <c r="P48" i="10"/>
  <c r="R48" i="10" s="1"/>
  <c r="P49" i="10"/>
  <c r="R49" i="10" s="1"/>
  <c r="P50" i="10"/>
  <c r="R50" i="10" s="1"/>
  <c r="P51" i="10"/>
  <c r="R51" i="10" s="1"/>
  <c r="P52" i="10"/>
  <c r="R52" i="10" s="1"/>
  <c r="P53" i="10"/>
  <c r="R53" i="10" s="1"/>
  <c r="P54" i="10"/>
  <c r="R54" i="10" s="1"/>
  <c r="P55" i="10"/>
  <c r="R55" i="10" s="1"/>
  <c r="P56" i="10"/>
  <c r="R56" i="10" s="1"/>
  <c r="P57" i="10"/>
  <c r="R57" i="10" s="1"/>
  <c r="P58" i="10"/>
  <c r="R58" i="10" s="1"/>
  <c r="P59" i="10"/>
  <c r="P60" i="10"/>
  <c r="P61" i="10"/>
  <c r="R61" i="10" s="1"/>
  <c r="P62" i="10"/>
  <c r="R62" i="10" s="1"/>
  <c r="P63" i="10"/>
  <c r="R63" i="10" s="1"/>
  <c r="P64" i="10"/>
  <c r="R64" i="10" s="1"/>
  <c r="P65" i="10"/>
  <c r="R65" i="10" s="1"/>
  <c r="P66" i="10"/>
  <c r="R66" i="10" s="1"/>
  <c r="P67" i="10"/>
  <c r="R67" i="10" s="1"/>
  <c r="P68" i="10"/>
  <c r="R68" i="10" s="1"/>
  <c r="P69" i="10"/>
  <c r="R69" i="10" s="1"/>
  <c r="P70" i="10"/>
  <c r="R70" i="10" s="1"/>
  <c r="P71" i="10"/>
  <c r="P72" i="10"/>
  <c r="P73" i="10"/>
  <c r="R73" i="10" s="1"/>
  <c r="P74" i="10"/>
  <c r="R74" i="10" s="1"/>
  <c r="P75" i="10"/>
  <c r="R75" i="10" s="1"/>
  <c r="P76" i="10"/>
  <c r="R76" i="10" s="1"/>
  <c r="P77" i="10"/>
  <c r="R77" i="10" s="1"/>
  <c r="P78" i="10"/>
  <c r="P79" i="10"/>
  <c r="P80" i="10"/>
  <c r="R80" i="10" s="1"/>
  <c r="P81" i="10"/>
  <c r="R81" i="10" s="1"/>
  <c r="P82" i="10"/>
  <c r="R82" i="10" s="1"/>
  <c r="P83" i="10"/>
  <c r="R83" i="10" s="1"/>
  <c r="P84" i="10"/>
  <c r="R84" i="10" s="1"/>
  <c r="P85" i="10"/>
  <c r="R85" i="10" s="1"/>
  <c r="P86" i="10"/>
  <c r="R86" i="10" s="1"/>
  <c r="P87" i="10"/>
  <c r="R87" i="10" s="1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R101" i="10" s="1"/>
  <c r="P102" i="10"/>
  <c r="R102" i="10" s="1"/>
  <c r="P103" i="10"/>
  <c r="R103" i="10" s="1"/>
  <c r="P104" i="10"/>
  <c r="R104" i="10" s="1"/>
  <c r="P105" i="10"/>
  <c r="R105" i="10" s="1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3" i="10"/>
  <c r="Q4" i="10"/>
  <c r="Q5" i="10"/>
  <c r="Q6" i="10"/>
  <c r="Q7" i="10"/>
  <c r="Q8" i="10"/>
  <c r="Q9" i="10"/>
  <c r="Q10" i="10"/>
  <c r="Q11" i="10"/>
  <c r="Q12" i="10"/>
  <c r="Q13" i="10"/>
  <c r="Q14" i="10"/>
  <c r="Q2" i="10"/>
  <c r="P3" i="10"/>
  <c r="R3" i="10" s="1"/>
  <c r="P4" i="10"/>
  <c r="R4" i="10" s="1"/>
  <c r="P5" i="10"/>
  <c r="R5" i="10" s="1"/>
  <c r="P6" i="10"/>
  <c r="R6" i="10" s="1"/>
  <c r="P7" i="10"/>
  <c r="R7" i="10" s="1"/>
  <c r="P8" i="10"/>
  <c r="R8" i="10" s="1"/>
  <c r="P9" i="10"/>
  <c r="R9" i="10" s="1"/>
  <c r="P10" i="10"/>
  <c r="R10" i="10" s="1"/>
  <c r="P11" i="10"/>
  <c r="R11" i="10" s="1"/>
  <c r="P12" i="10"/>
  <c r="R12" i="10" s="1"/>
  <c r="P13" i="10"/>
  <c r="R13" i="10" s="1"/>
  <c r="P14" i="10"/>
  <c r="P2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3" i="10"/>
  <c r="N4" i="10"/>
  <c r="N5" i="10"/>
  <c r="N6" i="10"/>
  <c r="N7" i="10"/>
  <c r="N8" i="10"/>
  <c r="N9" i="10"/>
  <c r="N10" i="10"/>
  <c r="N11" i="10"/>
  <c r="N12" i="10"/>
  <c r="N13" i="10"/>
  <c r="M14" i="10"/>
  <c r="O14" i="10" s="1"/>
  <c r="M15" i="10"/>
  <c r="O15" i="10" s="1"/>
  <c r="M16" i="10"/>
  <c r="O16" i="10" s="1"/>
  <c r="M17" i="10"/>
  <c r="O17" i="10" s="1"/>
  <c r="M18" i="10"/>
  <c r="O18" i="10" s="1"/>
  <c r="M19" i="10"/>
  <c r="O19" i="10" s="1"/>
  <c r="M20" i="10"/>
  <c r="M21" i="10"/>
  <c r="O21" i="10" s="1"/>
  <c r="M22" i="10"/>
  <c r="O22" i="10" s="1"/>
  <c r="M23" i="10"/>
  <c r="O23" i="10" s="1"/>
  <c r="M24" i="10"/>
  <c r="O24" i="10" s="1"/>
  <c r="M25" i="10"/>
  <c r="O25" i="10" s="1"/>
  <c r="M26" i="10"/>
  <c r="O26" i="10" s="1"/>
  <c r="M27" i="10"/>
  <c r="O27" i="10" s="1"/>
  <c r="M28" i="10"/>
  <c r="O28" i="10" s="1"/>
  <c r="M29" i="10"/>
  <c r="M30" i="10"/>
  <c r="M31" i="10"/>
  <c r="O31" i="10" s="1"/>
  <c r="M32" i="10"/>
  <c r="O32" i="10" s="1"/>
  <c r="M33" i="10"/>
  <c r="O33" i="10" s="1"/>
  <c r="M34" i="10"/>
  <c r="O34" i="10" s="1"/>
  <c r="M35" i="10"/>
  <c r="O35" i="10" s="1"/>
  <c r="M36" i="10"/>
  <c r="O36" i="10" s="1"/>
  <c r="M37" i="10"/>
  <c r="M38" i="10"/>
  <c r="M39" i="10"/>
  <c r="M40" i="10"/>
  <c r="O40" i="10" s="1"/>
  <c r="M41" i="10"/>
  <c r="O41" i="10" s="1"/>
  <c r="M42" i="10"/>
  <c r="M43" i="10"/>
  <c r="O43" i="10" s="1"/>
  <c r="M44" i="10"/>
  <c r="O44" i="10" s="1"/>
  <c r="M45" i="10"/>
  <c r="M46" i="10"/>
  <c r="M47" i="10"/>
  <c r="O47" i="10" s="1"/>
  <c r="M48" i="10"/>
  <c r="O48" i="10" s="1"/>
  <c r="M49" i="10"/>
  <c r="O49" i="10" s="1"/>
  <c r="M50" i="10"/>
  <c r="O50" i="10" s="1"/>
  <c r="M51" i="10"/>
  <c r="M52" i="10"/>
  <c r="M53" i="10"/>
  <c r="M54" i="10"/>
  <c r="M55" i="10"/>
  <c r="O55" i="10" s="1"/>
  <c r="M56" i="10"/>
  <c r="O56" i="10" s="1"/>
  <c r="M57" i="10"/>
  <c r="M58" i="10"/>
  <c r="M59" i="10"/>
  <c r="O59" i="10" s="1"/>
  <c r="M60" i="10"/>
  <c r="O60" i="10" s="1"/>
  <c r="M61" i="10"/>
  <c r="O61" i="10" s="1"/>
  <c r="M62" i="10"/>
  <c r="O62" i="10" s="1"/>
  <c r="M63" i="10"/>
  <c r="M64" i="10"/>
  <c r="M65" i="10"/>
  <c r="O65" i="10" s="1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O81" i="10" s="1"/>
  <c r="M82" i="10"/>
  <c r="M83" i="10"/>
  <c r="M84" i="10"/>
  <c r="M85" i="10"/>
  <c r="O85" i="10" s="1"/>
  <c r="M86" i="10"/>
  <c r="M87" i="10"/>
  <c r="M88" i="10"/>
  <c r="O88" i="10" s="1"/>
  <c r="M89" i="10"/>
  <c r="O89" i="10" s="1"/>
  <c r="M90" i="10"/>
  <c r="M91" i="10"/>
  <c r="O91" i="10" s="1"/>
  <c r="M92" i="10"/>
  <c r="O92" i="10" s="1"/>
  <c r="M93" i="10"/>
  <c r="O93" i="10" s="1"/>
  <c r="M94" i="10"/>
  <c r="O94" i="10" s="1"/>
  <c r="M95" i="10"/>
  <c r="O95" i="10" s="1"/>
  <c r="M96" i="10"/>
  <c r="O96" i="10" s="1"/>
  <c r="M97" i="10"/>
  <c r="M98" i="10"/>
  <c r="M99" i="10"/>
  <c r="O99" i="10" s="1"/>
  <c r="M100" i="10"/>
  <c r="O100" i="10" s="1"/>
  <c r="M101" i="10"/>
  <c r="O101" i="10" s="1"/>
  <c r="M102" i="10"/>
  <c r="O102" i="10" s="1"/>
  <c r="M103" i="10"/>
  <c r="O103" i="10" s="1"/>
  <c r="M104" i="10"/>
  <c r="O104" i="10" s="1"/>
  <c r="M105" i="10"/>
  <c r="O105" i="10" s="1"/>
  <c r="M3" i="10"/>
  <c r="O3" i="10" s="1"/>
  <c r="M4" i="10"/>
  <c r="O4" i="10" s="1"/>
  <c r="M5" i="10"/>
  <c r="O5" i="10" s="1"/>
  <c r="M6" i="10"/>
  <c r="O6" i="10" s="1"/>
  <c r="M7" i="10"/>
  <c r="O7" i="10" s="1"/>
  <c r="M8" i="10"/>
  <c r="O8" i="10" s="1"/>
  <c r="M9" i="10"/>
  <c r="O9" i="10" s="1"/>
  <c r="M10" i="10"/>
  <c r="O10" i="10" s="1"/>
  <c r="M11" i="10"/>
  <c r="O11" i="10" s="1"/>
  <c r="M12" i="10"/>
  <c r="M13" i="10"/>
  <c r="N2" i="10"/>
  <c r="M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L69" i="10" s="1"/>
  <c r="J70" i="10"/>
  <c r="L70" i="10" s="1"/>
  <c r="J71" i="10"/>
  <c r="L71" i="10" s="1"/>
  <c r="J72" i="10"/>
  <c r="L72" i="10" s="1"/>
  <c r="J73" i="10"/>
  <c r="L73" i="10" s="1"/>
  <c r="J74" i="10"/>
  <c r="L74" i="10" s="1"/>
  <c r="J75" i="10"/>
  <c r="J76" i="10"/>
  <c r="J77" i="10"/>
  <c r="L77" i="10" s="1"/>
  <c r="J78" i="10"/>
  <c r="L78" i="10" s="1"/>
  <c r="J79" i="10"/>
  <c r="L79" i="10" s="1"/>
  <c r="J80" i="10"/>
  <c r="J81" i="10"/>
  <c r="J82" i="10"/>
  <c r="J83" i="10"/>
  <c r="J84" i="10"/>
  <c r="J85" i="10"/>
  <c r="J86" i="10"/>
  <c r="J87" i="10"/>
  <c r="J88" i="10"/>
  <c r="J89" i="10"/>
  <c r="J90" i="10"/>
  <c r="L90" i="10" s="1"/>
  <c r="J91" i="10"/>
  <c r="J92" i="10"/>
  <c r="J93" i="10"/>
  <c r="J94" i="10"/>
  <c r="J95" i="10"/>
  <c r="J96" i="10"/>
  <c r="J97" i="10"/>
  <c r="L97" i="10" s="1"/>
  <c r="J98" i="10"/>
  <c r="L98" i="10" s="1"/>
  <c r="J99" i="10"/>
  <c r="L99" i="10" s="1"/>
  <c r="J100" i="10"/>
  <c r="L100" i="10" s="1"/>
  <c r="J101" i="10"/>
  <c r="L101" i="10" s="1"/>
  <c r="J102" i="10"/>
  <c r="L102" i="10" s="1"/>
  <c r="J103" i="10"/>
  <c r="L103" i="10" s="1"/>
  <c r="J104" i="10"/>
  <c r="L104" i="10" s="1"/>
  <c r="J105" i="10"/>
  <c r="L105" i="10" s="1"/>
  <c r="J2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3" i="10"/>
  <c r="K4" i="10"/>
  <c r="K5" i="10"/>
  <c r="K6" i="10"/>
  <c r="K7" i="10"/>
  <c r="K2" i="10"/>
  <c r="J106" i="10"/>
  <c r="J107" i="10"/>
  <c r="J108" i="10"/>
  <c r="O86" i="10" l="1"/>
  <c r="O82" i="10"/>
  <c r="O78" i="10"/>
  <c r="O66" i="10"/>
  <c r="O87" i="10"/>
  <c r="O83" i="10"/>
  <c r="O79" i="10"/>
  <c r="O75" i="10"/>
  <c r="O71" i="10"/>
  <c r="O67" i="10"/>
  <c r="O63" i="10"/>
  <c r="O84" i="10"/>
  <c r="O80" i="10"/>
  <c r="O76" i="10"/>
  <c r="O72" i="10"/>
  <c r="O68" i="10"/>
  <c r="O64" i="10"/>
  <c r="L58" i="10"/>
  <c r="L54" i="10"/>
  <c r="L46" i="10"/>
  <c r="L42" i="10"/>
  <c r="L38" i="10"/>
  <c r="L30" i="10"/>
  <c r="L26" i="10"/>
  <c r="L14" i="10"/>
  <c r="R98" i="10"/>
  <c r="R94" i="10"/>
  <c r="R90" i="10"/>
  <c r="L57" i="10"/>
  <c r="L53" i="10"/>
  <c r="L45" i="10"/>
  <c r="L37" i="10"/>
  <c r="L29" i="10"/>
  <c r="L25" i="10"/>
  <c r="L13" i="10"/>
  <c r="R97" i="10"/>
  <c r="R93" i="10"/>
  <c r="R89" i="10"/>
  <c r="L60" i="10"/>
  <c r="L52" i="10"/>
  <c r="L28" i="10"/>
  <c r="L20" i="10"/>
  <c r="L12" i="10"/>
  <c r="R96" i="10"/>
  <c r="R92" i="10"/>
  <c r="R88" i="10"/>
  <c r="L59" i="10"/>
  <c r="L51" i="10"/>
  <c r="L39" i="10"/>
  <c r="L27" i="10"/>
  <c r="R95" i="10"/>
  <c r="R91" i="10"/>
  <c r="O97" i="10"/>
  <c r="O77" i="10"/>
  <c r="O69" i="10"/>
  <c r="O37" i="10"/>
  <c r="O13" i="10"/>
  <c r="O52" i="10"/>
  <c r="O20" i="10"/>
  <c r="O73" i="10"/>
  <c r="O57" i="10"/>
  <c r="O53" i="10"/>
  <c r="O45" i="10"/>
  <c r="O29" i="10"/>
  <c r="L15" i="10"/>
  <c r="L11" i="10"/>
  <c r="O98" i="10"/>
  <c r="O90" i="10"/>
  <c r="O74" i="10"/>
  <c r="O70" i="10"/>
  <c r="O58" i="10"/>
  <c r="O54" i="10"/>
  <c r="O46" i="10"/>
  <c r="O42" i="10"/>
  <c r="O38" i="10"/>
  <c r="O30" i="10"/>
  <c r="L96" i="10"/>
  <c r="L92" i="10"/>
  <c r="L88" i="10"/>
  <c r="L84" i="10"/>
  <c r="L80" i="10"/>
  <c r="L76" i="10"/>
  <c r="L68" i="10"/>
  <c r="L64" i="10"/>
  <c r="L56" i="10"/>
  <c r="L48" i="10"/>
  <c r="L44" i="10"/>
  <c r="L40" i="10"/>
  <c r="L36" i="10"/>
  <c r="L32" i="10"/>
  <c r="L24" i="10"/>
  <c r="L16" i="10"/>
  <c r="L8" i="10"/>
  <c r="L7" i="10"/>
  <c r="L3" i="10"/>
  <c r="R99" i="10"/>
  <c r="R79" i="10"/>
  <c r="R71" i="10"/>
  <c r="R59" i="10"/>
  <c r="R27" i="10"/>
  <c r="L94" i="10"/>
  <c r="L86" i="10"/>
  <c r="L82" i="10"/>
  <c r="L66" i="10"/>
  <c r="L62" i="10"/>
  <c r="L50" i="10"/>
  <c r="L34" i="10"/>
  <c r="L22" i="10"/>
  <c r="L18" i="10"/>
  <c r="L10" i="10"/>
  <c r="R78" i="10"/>
  <c r="R26" i="10"/>
  <c r="L5" i="10"/>
  <c r="L4" i="10"/>
  <c r="O12" i="10"/>
  <c r="O51" i="10"/>
  <c r="O39" i="10"/>
  <c r="R100" i="10"/>
  <c r="R72" i="10"/>
  <c r="R60" i="10"/>
  <c r="R28" i="10"/>
  <c r="U15" i="10"/>
  <c r="L2" i="10"/>
  <c r="U12" i="10"/>
  <c r="L6" i="10"/>
  <c r="V15" i="10"/>
  <c r="O2" i="10"/>
  <c r="V12" i="10"/>
  <c r="L93" i="10"/>
  <c r="L89" i="10"/>
  <c r="L85" i="10"/>
  <c r="L81" i="10"/>
  <c r="L65" i="10"/>
  <c r="L61" i="10"/>
  <c r="L49" i="10"/>
  <c r="L41" i="10"/>
  <c r="L33" i="10"/>
  <c r="L21" i="10"/>
  <c r="L17" i="10"/>
  <c r="L9" i="10"/>
  <c r="R14" i="10"/>
  <c r="R25" i="10"/>
  <c r="L95" i="10"/>
  <c r="L91" i="10"/>
  <c r="L87" i="10"/>
  <c r="L83" i="10"/>
  <c r="L75" i="10"/>
  <c r="L67" i="10"/>
  <c r="L63" i="10"/>
  <c r="L55" i="10"/>
  <c r="L47" i="10"/>
  <c r="L43" i="10"/>
  <c r="L35" i="10"/>
  <c r="L31" i="10"/>
  <c r="L23" i="10"/>
  <c r="L19" i="10"/>
  <c r="W15" i="10"/>
  <c r="R2" i="10"/>
  <c r="R106" i="10" s="1"/>
  <c r="W12" i="10"/>
  <c r="U6" i="10"/>
  <c r="U7" i="10" s="1"/>
  <c r="U2" i="10"/>
  <c r="V3" i="10"/>
  <c r="V4" i="10" s="1"/>
  <c r="W2" i="10"/>
  <c r="V6" i="10"/>
  <c r="V7" i="10" s="1"/>
  <c r="W6" i="10"/>
  <c r="W3" i="10"/>
  <c r="W4" i="10" s="1"/>
  <c r="U5" i="10"/>
  <c r="W5" i="10"/>
  <c r="V2" i="10"/>
  <c r="U3" i="10"/>
  <c r="U4" i="10" s="1"/>
  <c r="V5" i="10"/>
  <c r="M99" i="1"/>
  <c r="M100" i="1"/>
  <c r="O106" i="10" l="1"/>
  <c r="V8" i="10" s="1"/>
  <c r="W7" i="10"/>
  <c r="L106" i="10"/>
  <c r="W8" i="10"/>
  <c r="W9" i="10"/>
  <c r="W10" i="10" s="1"/>
  <c r="X12" i="10"/>
  <c r="T100" i="1"/>
  <c r="U100" i="1" s="1"/>
  <c r="W100" i="1"/>
  <c r="R100" i="1"/>
  <c r="S100" i="1" s="1"/>
  <c r="V100" i="1"/>
  <c r="T99" i="1"/>
  <c r="U99" i="1" s="1"/>
  <c r="W99" i="1"/>
  <c r="R99" i="1"/>
  <c r="S99" i="1" s="1"/>
  <c r="V99" i="1"/>
  <c r="P100" i="1"/>
  <c r="Q100" i="1" s="1"/>
  <c r="N100" i="1"/>
  <c r="O100" i="1" s="1"/>
  <c r="P99" i="1"/>
  <c r="Q99" i="1" s="1"/>
  <c r="N99" i="1"/>
  <c r="O99" i="1" s="1"/>
  <c r="T87" i="1"/>
  <c r="U87" i="1" s="1"/>
  <c r="W87" i="1"/>
  <c r="R87" i="1"/>
  <c r="S87" i="1" s="1"/>
  <c r="V87" i="1"/>
  <c r="T86" i="1"/>
  <c r="U86" i="1" s="1"/>
  <c r="W86" i="1"/>
  <c r="R86" i="1"/>
  <c r="S86" i="1" s="1"/>
  <c r="V86" i="1"/>
  <c r="P87" i="1"/>
  <c r="Q87" i="1" s="1"/>
  <c r="N87" i="1"/>
  <c r="O87" i="1" s="1"/>
  <c r="P86" i="1"/>
  <c r="Q86" i="1" s="1"/>
  <c r="N86" i="1"/>
  <c r="O86" i="1" s="1"/>
  <c r="T62" i="1"/>
  <c r="U62" i="1" s="1"/>
  <c r="W62" i="1"/>
  <c r="R62" i="1"/>
  <c r="S62" i="1" s="1"/>
  <c r="V62" i="1"/>
  <c r="T61" i="1"/>
  <c r="U61" i="1" s="1"/>
  <c r="W61" i="1"/>
  <c r="R61" i="1"/>
  <c r="S61" i="1" s="1"/>
  <c r="V61" i="1"/>
  <c r="P62" i="1"/>
  <c r="Q62" i="1" s="1"/>
  <c r="N62" i="1"/>
  <c r="O62" i="1" s="1"/>
  <c r="P61" i="1"/>
  <c r="Q61" i="1" s="1"/>
  <c r="N61" i="1"/>
  <c r="O61" i="1" s="1"/>
  <c r="T60" i="1"/>
  <c r="U60" i="1" s="1"/>
  <c r="W60" i="1"/>
  <c r="R60" i="1"/>
  <c r="S60" i="1" s="1"/>
  <c r="V60" i="1"/>
  <c r="T59" i="1"/>
  <c r="U59" i="1" s="1"/>
  <c r="W59" i="1"/>
  <c r="R59" i="1"/>
  <c r="S59" i="1" s="1"/>
  <c r="V59" i="1"/>
  <c r="P60" i="1"/>
  <c r="Q60" i="1" s="1"/>
  <c r="N60" i="1"/>
  <c r="O60" i="1" s="1"/>
  <c r="P59" i="1"/>
  <c r="Q59" i="1" s="1"/>
  <c r="N59" i="1"/>
  <c r="O59" i="1" s="1"/>
  <c r="T58" i="1"/>
  <c r="U58" i="1" s="1"/>
  <c r="W58" i="1"/>
  <c r="R58" i="1"/>
  <c r="S58" i="1" s="1"/>
  <c r="V58" i="1"/>
  <c r="T57" i="1"/>
  <c r="U57" i="1" s="1"/>
  <c r="W57" i="1"/>
  <c r="R57" i="1"/>
  <c r="S57" i="1" s="1"/>
  <c r="V57" i="1"/>
  <c r="P58" i="1"/>
  <c r="Q58" i="1" s="1"/>
  <c r="N58" i="1"/>
  <c r="O58" i="1" s="1"/>
  <c r="P57" i="1"/>
  <c r="Q57" i="1" s="1"/>
  <c r="N57" i="1"/>
  <c r="O57" i="1" s="1"/>
  <c r="T85" i="1"/>
  <c r="U85" i="1" s="1"/>
  <c r="W85" i="1"/>
  <c r="R85" i="1"/>
  <c r="S85" i="1" s="1"/>
  <c r="V85" i="1"/>
  <c r="P85" i="1"/>
  <c r="Q85" i="1" s="1"/>
  <c r="N85" i="1"/>
  <c r="O85" i="1" s="1"/>
  <c r="T56" i="1"/>
  <c r="U56" i="1" s="1"/>
  <c r="W56" i="1"/>
  <c r="R56" i="1"/>
  <c r="S56" i="1" s="1"/>
  <c r="V56" i="1"/>
  <c r="T55" i="1"/>
  <c r="U55" i="1" s="1"/>
  <c r="W55" i="1"/>
  <c r="R55" i="1"/>
  <c r="S55" i="1" s="1"/>
  <c r="V55" i="1"/>
  <c r="P56" i="1"/>
  <c r="Q56" i="1" s="1"/>
  <c r="N56" i="1"/>
  <c r="O56" i="1" s="1"/>
  <c r="P55" i="1"/>
  <c r="Q55" i="1" s="1"/>
  <c r="N55" i="1"/>
  <c r="O55" i="1" s="1"/>
  <c r="M51" i="1"/>
  <c r="M52" i="1"/>
  <c r="M55" i="1"/>
  <c r="M56" i="1"/>
  <c r="M85" i="1"/>
  <c r="M57" i="1"/>
  <c r="M58" i="1"/>
  <c r="M59" i="1"/>
  <c r="M60" i="1"/>
  <c r="M86" i="1"/>
  <c r="M87" i="1"/>
  <c r="T54" i="1"/>
  <c r="U54" i="1" s="1"/>
  <c r="W54" i="1"/>
  <c r="R54" i="1"/>
  <c r="S54" i="1" s="1"/>
  <c r="V54" i="1"/>
  <c r="T53" i="1"/>
  <c r="U53" i="1" s="1"/>
  <c r="W53" i="1"/>
  <c r="R53" i="1"/>
  <c r="S53" i="1" s="1"/>
  <c r="V53" i="1"/>
  <c r="P54" i="1"/>
  <c r="Q54" i="1" s="1"/>
  <c r="N54" i="1"/>
  <c r="O54" i="1" s="1"/>
  <c r="P53" i="1"/>
  <c r="Q53" i="1" s="1"/>
  <c r="N53" i="1"/>
  <c r="O53" i="1" s="1"/>
  <c r="T52" i="1"/>
  <c r="U52" i="1" s="1"/>
  <c r="W52" i="1"/>
  <c r="R52" i="1"/>
  <c r="S52" i="1" s="1"/>
  <c r="V52" i="1"/>
  <c r="T51" i="1"/>
  <c r="U51" i="1" s="1"/>
  <c r="W51" i="1"/>
  <c r="R51" i="1"/>
  <c r="S51" i="1" s="1"/>
  <c r="V51" i="1"/>
  <c r="P52" i="1"/>
  <c r="Q52" i="1" s="1"/>
  <c r="N52" i="1"/>
  <c r="O52" i="1" s="1"/>
  <c r="P51" i="1"/>
  <c r="Q51" i="1" s="1"/>
  <c r="N51" i="1"/>
  <c r="O51" i="1" s="1"/>
  <c r="T50" i="1"/>
  <c r="U50" i="1" s="1"/>
  <c r="W50" i="1"/>
  <c r="R50" i="1"/>
  <c r="S50" i="1" s="1"/>
  <c r="V50" i="1"/>
  <c r="P50" i="1"/>
  <c r="Q50" i="1" s="1"/>
  <c r="N50" i="1"/>
  <c r="O50" i="1" s="1"/>
  <c r="T49" i="1"/>
  <c r="U49" i="1" s="1"/>
  <c r="W49" i="1"/>
  <c r="R49" i="1"/>
  <c r="S49" i="1" s="1"/>
  <c r="V49" i="1"/>
  <c r="P49" i="1"/>
  <c r="Q49" i="1" s="1"/>
  <c r="N49" i="1"/>
  <c r="O49" i="1" s="1"/>
  <c r="T48" i="1"/>
  <c r="U48" i="1" s="1"/>
  <c r="W48" i="1"/>
  <c r="R48" i="1"/>
  <c r="S48" i="1" s="1"/>
  <c r="V48" i="1"/>
  <c r="T47" i="1"/>
  <c r="U47" i="1" s="1"/>
  <c r="W47" i="1"/>
  <c r="R47" i="1"/>
  <c r="S47" i="1" s="1"/>
  <c r="V47" i="1"/>
  <c r="P48" i="1"/>
  <c r="Q48" i="1" s="1"/>
  <c r="N48" i="1"/>
  <c r="O48" i="1" s="1"/>
  <c r="P47" i="1"/>
  <c r="Q47" i="1" s="1"/>
  <c r="N47" i="1"/>
  <c r="O47" i="1" s="1"/>
  <c r="P84" i="1"/>
  <c r="Q84" i="1" s="1"/>
  <c r="W84" i="1"/>
  <c r="T84" i="1"/>
  <c r="U84" i="1" s="1"/>
  <c r="N84" i="1"/>
  <c r="O84" i="1" s="1"/>
  <c r="R84" i="1"/>
  <c r="S84" i="1" s="1"/>
  <c r="V84" i="1"/>
  <c r="T107" i="10" l="1"/>
  <c r="V9" i="10"/>
  <c r="V10" i="10" s="1"/>
  <c r="M84" i="1"/>
  <c r="P19" i="4"/>
  <c r="Q19" i="4" s="1"/>
  <c r="N19" i="4"/>
  <c r="O19" i="4" s="1"/>
  <c r="M19" i="4"/>
  <c r="P18" i="4"/>
  <c r="Q18" i="4" s="1"/>
  <c r="N18" i="4"/>
  <c r="O18" i="4" s="1"/>
  <c r="M18" i="4"/>
  <c r="P17" i="4"/>
  <c r="Q17" i="4" s="1"/>
  <c r="N17" i="4"/>
  <c r="O17" i="4" s="1"/>
  <c r="M17" i="4"/>
  <c r="P16" i="4"/>
  <c r="Q16" i="4" s="1"/>
  <c r="N16" i="4"/>
  <c r="O16" i="4" s="1"/>
  <c r="M16" i="4"/>
  <c r="P15" i="4"/>
  <c r="Q15" i="4" s="1"/>
  <c r="N15" i="4"/>
  <c r="O15" i="4" s="1"/>
  <c r="P14" i="4"/>
  <c r="Q14" i="4" s="1"/>
  <c r="N14" i="4"/>
  <c r="O14" i="4" s="1"/>
  <c r="P13" i="4"/>
  <c r="Q13" i="4" s="1"/>
  <c r="N13" i="4"/>
  <c r="O13" i="4" s="1"/>
  <c r="M13" i="4"/>
  <c r="P12" i="4"/>
  <c r="Q12" i="4" s="1"/>
  <c r="N12" i="4"/>
  <c r="O12" i="4" s="1"/>
  <c r="M12" i="4"/>
  <c r="P11" i="4"/>
  <c r="Q11" i="4" s="1"/>
  <c r="N11" i="4"/>
  <c r="O11" i="4" s="1"/>
  <c r="M11" i="4"/>
  <c r="P10" i="4"/>
  <c r="Q10" i="4" s="1"/>
  <c r="N10" i="4"/>
  <c r="O10" i="4" s="1"/>
  <c r="M10" i="4"/>
  <c r="P9" i="4"/>
  <c r="Q9" i="4" s="1"/>
  <c r="N9" i="4"/>
  <c r="O9" i="4" s="1"/>
  <c r="M9" i="4"/>
  <c r="P8" i="4"/>
  <c r="Q8" i="4" s="1"/>
  <c r="N8" i="4"/>
  <c r="O8" i="4" s="1"/>
  <c r="P7" i="4"/>
  <c r="Q7" i="4" s="1"/>
  <c r="N7" i="4"/>
  <c r="O7" i="4" s="1"/>
  <c r="P6" i="4"/>
  <c r="Q6" i="4" s="1"/>
  <c r="N6" i="4"/>
  <c r="O6" i="4" s="1"/>
  <c r="M6" i="4"/>
  <c r="P5" i="4"/>
  <c r="Q5" i="4" s="1"/>
  <c r="N5" i="4"/>
  <c r="O5" i="4" s="1"/>
  <c r="P4" i="4"/>
  <c r="Q4" i="4" s="1"/>
  <c r="N4" i="4"/>
  <c r="O4" i="4" s="1"/>
  <c r="P3" i="4"/>
  <c r="Q3" i="4" s="1"/>
  <c r="N3" i="4"/>
  <c r="O3" i="4" s="1"/>
  <c r="M3" i="4"/>
  <c r="P2" i="4"/>
  <c r="Q2" i="4" s="1"/>
  <c r="N2" i="4"/>
  <c r="O2" i="4" s="1"/>
  <c r="M2" i="4"/>
  <c r="M3" i="1"/>
  <c r="N3" i="1"/>
  <c r="O3" i="1" s="1"/>
  <c r="P3" i="1"/>
  <c r="Q3" i="1" s="1"/>
  <c r="R3" i="1"/>
  <c r="S3" i="1" s="1"/>
  <c r="T3" i="1"/>
  <c r="U3" i="1" s="1"/>
  <c r="V3" i="1"/>
  <c r="W3" i="1"/>
  <c r="X3" i="1"/>
  <c r="Y3" i="1"/>
  <c r="Z3" i="1"/>
  <c r="E59" i="3" l="1"/>
  <c r="E37" i="3"/>
  <c r="E38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7" i="3"/>
  <c r="E58" i="3"/>
  <c r="E35" i="3"/>
  <c r="Y25" i="1" l="1"/>
  <c r="Y28" i="1"/>
  <c r="X25" i="1"/>
  <c r="Y11" i="1"/>
  <c r="Y8" i="1"/>
  <c r="X8" i="1"/>
  <c r="W4" i="1" l="1"/>
  <c r="W5" i="1"/>
  <c r="W6" i="1"/>
  <c r="W7" i="1"/>
  <c r="W8" i="1"/>
  <c r="W9" i="1"/>
  <c r="W10" i="1"/>
  <c r="W11" i="1"/>
  <c r="W63" i="1"/>
  <c r="W64" i="1"/>
  <c r="W88" i="1"/>
  <c r="W12" i="1"/>
  <c r="W13" i="1"/>
  <c r="W14" i="1"/>
  <c r="W15" i="1"/>
  <c r="W16" i="1"/>
  <c r="W65" i="1"/>
  <c r="W17" i="1"/>
  <c r="W18" i="1"/>
  <c r="W19" i="1"/>
  <c r="W20" i="1"/>
  <c r="W89" i="1"/>
  <c r="W90" i="1"/>
  <c r="W91" i="1"/>
  <c r="W92" i="1"/>
  <c r="W66" i="1"/>
  <c r="W67" i="1"/>
  <c r="W21" i="1"/>
  <c r="W22" i="1"/>
  <c r="W23" i="1"/>
  <c r="W24" i="1"/>
  <c r="W25" i="1"/>
  <c r="W26" i="1"/>
  <c r="W68" i="1"/>
  <c r="W69" i="1"/>
  <c r="W70" i="1"/>
  <c r="W27" i="1"/>
  <c r="W28" i="1"/>
  <c r="W71" i="1"/>
  <c r="W29" i="1"/>
  <c r="W30" i="1"/>
  <c r="W72" i="1"/>
  <c r="W73" i="1"/>
  <c r="W31" i="1"/>
  <c r="W32" i="1"/>
  <c r="W33" i="1"/>
  <c r="W34" i="1"/>
  <c r="W74" i="1"/>
  <c r="W75" i="1"/>
  <c r="W76" i="1"/>
  <c r="W77" i="1"/>
  <c r="W35" i="1"/>
  <c r="W36" i="1"/>
  <c r="W78" i="1"/>
  <c r="W79" i="1"/>
  <c r="W94" i="1"/>
  <c r="W37" i="1"/>
  <c r="W38" i="1"/>
  <c r="W39" i="1"/>
  <c r="W40" i="1"/>
  <c r="W41" i="1"/>
  <c r="W42" i="1"/>
  <c r="W43" i="1"/>
  <c r="W44" i="1"/>
  <c r="W80" i="1"/>
  <c r="W81" i="1"/>
  <c r="W95" i="1"/>
  <c r="W96" i="1"/>
  <c r="W82" i="1"/>
  <c r="W83" i="1"/>
  <c r="W45" i="1"/>
  <c r="W46" i="1"/>
  <c r="W97" i="1"/>
  <c r="W98" i="1"/>
  <c r="W2" i="1"/>
  <c r="V4" i="1"/>
  <c r="V5" i="1"/>
  <c r="V6" i="1"/>
  <c r="V7" i="1"/>
  <c r="V8" i="1"/>
  <c r="V9" i="1"/>
  <c r="V10" i="1"/>
  <c r="V11" i="1"/>
  <c r="V63" i="1"/>
  <c r="V64" i="1"/>
  <c r="V88" i="1"/>
  <c r="V12" i="1"/>
  <c r="V13" i="1"/>
  <c r="V14" i="1"/>
  <c r="V15" i="1"/>
  <c r="V16" i="1"/>
  <c r="V65" i="1"/>
  <c r="V17" i="1"/>
  <c r="V18" i="1"/>
  <c r="V19" i="1"/>
  <c r="V20" i="1"/>
  <c r="V89" i="1"/>
  <c r="V90" i="1"/>
  <c r="V91" i="1"/>
  <c r="V92" i="1"/>
  <c r="V66" i="1"/>
  <c r="V67" i="1"/>
  <c r="V21" i="1"/>
  <c r="V22" i="1"/>
  <c r="V23" i="1"/>
  <c r="V24" i="1"/>
  <c r="V25" i="1"/>
  <c r="V26" i="1"/>
  <c r="V68" i="1"/>
  <c r="V69" i="1"/>
  <c r="V70" i="1"/>
  <c r="V27" i="1"/>
  <c r="V28" i="1"/>
  <c r="V71" i="1"/>
  <c r="V29" i="1"/>
  <c r="V30" i="1"/>
  <c r="V72" i="1"/>
  <c r="V73" i="1"/>
  <c r="V31" i="1"/>
  <c r="V32" i="1"/>
  <c r="V33" i="1"/>
  <c r="V34" i="1"/>
  <c r="V74" i="1"/>
  <c r="V75" i="1"/>
  <c r="V76" i="1"/>
  <c r="V77" i="1"/>
  <c r="V35" i="1"/>
  <c r="V36" i="1"/>
  <c r="V78" i="1"/>
  <c r="V79" i="1"/>
  <c r="V94" i="1"/>
  <c r="V37" i="1"/>
  <c r="V38" i="1"/>
  <c r="V39" i="1"/>
  <c r="V40" i="1"/>
  <c r="V41" i="1"/>
  <c r="V42" i="1"/>
  <c r="V43" i="1"/>
  <c r="V44" i="1"/>
  <c r="V80" i="1"/>
  <c r="V81" i="1"/>
  <c r="V95" i="1"/>
  <c r="V96" i="1"/>
  <c r="V82" i="1"/>
  <c r="V83" i="1"/>
  <c r="V45" i="1"/>
  <c r="V46" i="1"/>
  <c r="V97" i="1"/>
  <c r="V98" i="1"/>
  <c r="V2" i="1"/>
  <c r="N4" i="1"/>
  <c r="N5" i="1"/>
  <c r="N6" i="1"/>
  <c r="N7" i="1"/>
  <c r="N8" i="1"/>
  <c r="N9" i="1"/>
  <c r="N10" i="1"/>
  <c r="N11" i="1"/>
  <c r="N63" i="1"/>
  <c r="N64" i="1"/>
  <c r="N88" i="1"/>
  <c r="N12" i="1"/>
  <c r="N13" i="1"/>
  <c r="N14" i="1"/>
  <c r="N15" i="1"/>
  <c r="N16" i="1"/>
  <c r="N65" i="1"/>
  <c r="N17" i="1"/>
  <c r="N18" i="1"/>
  <c r="N19" i="1"/>
  <c r="N20" i="1"/>
  <c r="N89" i="1"/>
  <c r="N90" i="1"/>
  <c r="N91" i="1"/>
  <c r="N92" i="1"/>
  <c r="N66" i="1"/>
  <c r="N67" i="1"/>
  <c r="N21" i="1"/>
  <c r="N22" i="1"/>
  <c r="N23" i="1"/>
  <c r="N24" i="1"/>
  <c r="N25" i="1"/>
  <c r="N26" i="1"/>
  <c r="N68" i="1"/>
  <c r="N69" i="1"/>
  <c r="N70" i="1"/>
  <c r="N27" i="1"/>
  <c r="N28" i="1"/>
  <c r="N71" i="1"/>
  <c r="N29" i="1"/>
  <c r="N30" i="1"/>
  <c r="N72" i="1"/>
  <c r="O72" i="1" s="1"/>
  <c r="N73" i="1"/>
  <c r="O73" i="1" s="1"/>
  <c r="N31" i="1"/>
  <c r="N32" i="1"/>
  <c r="N33" i="1"/>
  <c r="N34" i="1"/>
  <c r="N74" i="1"/>
  <c r="N75" i="1"/>
  <c r="N76" i="1"/>
  <c r="N77" i="1"/>
  <c r="N35" i="1"/>
  <c r="N36" i="1"/>
  <c r="N78" i="1"/>
  <c r="N79" i="1"/>
  <c r="N94" i="1"/>
  <c r="N37" i="1"/>
  <c r="N38" i="1"/>
  <c r="N39" i="1"/>
  <c r="N40" i="1"/>
  <c r="N41" i="1"/>
  <c r="N42" i="1"/>
  <c r="N43" i="1"/>
  <c r="N44" i="1"/>
  <c r="N80" i="1"/>
  <c r="N81" i="1"/>
  <c r="N95" i="1"/>
  <c r="N96" i="1"/>
  <c r="N82" i="1"/>
  <c r="N83" i="1"/>
  <c r="N45" i="1"/>
  <c r="N46" i="1"/>
  <c r="N97" i="1"/>
  <c r="N98" i="1"/>
  <c r="N2" i="1"/>
  <c r="P4" i="1"/>
  <c r="P5" i="1"/>
  <c r="P6" i="1"/>
  <c r="P7" i="1"/>
  <c r="P8" i="1"/>
  <c r="P9" i="1"/>
  <c r="P10" i="1"/>
  <c r="P11" i="1"/>
  <c r="P63" i="1"/>
  <c r="P64" i="1"/>
  <c r="P88" i="1"/>
  <c r="P12" i="1"/>
  <c r="P13" i="1"/>
  <c r="P14" i="1"/>
  <c r="P15" i="1"/>
  <c r="P16" i="1"/>
  <c r="P65" i="1"/>
  <c r="P17" i="1"/>
  <c r="P18" i="1"/>
  <c r="P19" i="1"/>
  <c r="P20" i="1"/>
  <c r="P89" i="1"/>
  <c r="P90" i="1"/>
  <c r="P91" i="1"/>
  <c r="P92" i="1"/>
  <c r="P66" i="1"/>
  <c r="P67" i="1"/>
  <c r="P21" i="1"/>
  <c r="P22" i="1"/>
  <c r="P23" i="1"/>
  <c r="P24" i="1"/>
  <c r="P25" i="1"/>
  <c r="P26" i="1"/>
  <c r="P68" i="1"/>
  <c r="P69" i="1"/>
  <c r="P70" i="1"/>
  <c r="P27" i="1"/>
  <c r="P28" i="1"/>
  <c r="P71" i="1"/>
  <c r="P29" i="1"/>
  <c r="P30" i="1"/>
  <c r="P72" i="1"/>
  <c r="Q72" i="1" s="1"/>
  <c r="P73" i="1"/>
  <c r="Q73" i="1" s="1"/>
  <c r="P31" i="1"/>
  <c r="P32" i="1"/>
  <c r="P33" i="1"/>
  <c r="P34" i="1"/>
  <c r="P74" i="1"/>
  <c r="P75" i="1"/>
  <c r="P76" i="1"/>
  <c r="P77" i="1"/>
  <c r="P35" i="1"/>
  <c r="P36" i="1"/>
  <c r="P78" i="1"/>
  <c r="P79" i="1"/>
  <c r="P94" i="1"/>
  <c r="P37" i="1"/>
  <c r="P38" i="1"/>
  <c r="P39" i="1"/>
  <c r="P40" i="1"/>
  <c r="P41" i="1"/>
  <c r="P42" i="1"/>
  <c r="P43" i="1"/>
  <c r="P44" i="1"/>
  <c r="P80" i="1"/>
  <c r="P81" i="1"/>
  <c r="P95" i="1"/>
  <c r="P96" i="1"/>
  <c r="P82" i="1"/>
  <c r="P83" i="1"/>
  <c r="P45" i="1"/>
  <c r="P46" i="1"/>
  <c r="P97" i="1"/>
  <c r="P98" i="1"/>
  <c r="P2" i="1"/>
  <c r="R4" i="1"/>
  <c r="R5" i="1"/>
  <c r="R6" i="1"/>
  <c r="R7" i="1"/>
  <c r="R8" i="1"/>
  <c r="R9" i="1"/>
  <c r="R10" i="1"/>
  <c r="R11" i="1"/>
  <c r="R63" i="1"/>
  <c r="R64" i="1"/>
  <c r="R88" i="1"/>
  <c r="R12" i="1"/>
  <c r="R13" i="1"/>
  <c r="R14" i="1"/>
  <c r="R15" i="1"/>
  <c r="R16" i="1"/>
  <c r="R65" i="1"/>
  <c r="R17" i="1"/>
  <c r="R18" i="1"/>
  <c r="R19" i="1"/>
  <c r="R20" i="1"/>
  <c r="R89" i="1"/>
  <c r="R90" i="1"/>
  <c r="R91" i="1"/>
  <c r="R92" i="1"/>
  <c r="R66" i="1"/>
  <c r="R67" i="1"/>
  <c r="R21" i="1"/>
  <c r="R22" i="1"/>
  <c r="R23" i="1"/>
  <c r="R24" i="1"/>
  <c r="R25" i="1"/>
  <c r="R26" i="1"/>
  <c r="R68" i="1"/>
  <c r="R69" i="1"/>
  <c r="R70" i="1"/>
  <c r="R27" i="1"/>
  <c r="R28" i="1"/>
  <c r="R71" i="1"/>
  <c r="R29" i="1"/>
  <c r="R30" i="1"/>
  <c r="R72" i="1"/>
  <c r="S72" i="1" s="1"/>
  <c r="R73" i="1"/>
  <c r="S73" i="1" s="1"/>
  <c r="R31" i="1"/>
  <c r="R32" i="1"/>
  <c r="R33" i="1"/>
  <c r="R34" i="1"/>
  <c r="R74" i="1"/>
  <c r="R75" i="1"/>
  <c r="R76" i="1"/>
  <c r="R77" i="1"/>
  <c r="R35" i="1"/>
  <c r="R36" i="1"/>
  <c r="R78" i="1"/>
  <c r="R79" i="1"/>
  <c r="R93" i="1"/>
  <c r="S93" i="1" s="1"/>
  <c r="R94" i="1"/>
  <c r="R37" i="1"/>
  <c r="R38" i="1"/>
  <c r="R39" i="1"/>
  <c r="R40" i="1"/>
  <c r="R41" i="1"/>
  <c r="R42" i="1"/>
  <c r="R43" i="1"/>
  <c r="R44" i="1"/>
  <c r="R80" i="1"/>
  <c r="R81" i="1"/>
  <c r="R95" i="1"/>
  <c r="R96" i="1"/>
  <c r="R82" i="1"/>
  <c r="R83" i="1"/>
  <c r="R45" i="1"/>
  <c r="R46" i="1"/>
  <c r="R97" i="1"/>
  <c r="R98" i="1"/>
  <c r="R2" i="1"/>
  <c r="T93" i="1"/>
  <c r="U93" i="1" s="1"/>
  <c r="M4" i="1"/>
  <c r="M5" i="1"/>
  <c r="M8" i="1"/>
  <c r="M9" i="1"/>
  <c r="M10" i="1"/>
  <c r="M11" i="1"/>
  <c r="M63" i="1"/>
  <c r="M64" i="1"/>
  <c r="M88" i="1"/>
  <c r="M12" i="1"/>
  <c r="M15" i="1"/>
  <c r="M16" i="1"/>
  <c r="M65" i="1"/>
  <c r="M17" i="1"/>
  <c r="M18" i="1"/>
  <c r="M19" i="1"/>
  <c r="M20" i="1"/>
  <c r="M89" i="1"/>
  <c r="M90" i="1"/>
  <c r="M91" i="1"/>
  <c r="M92" i="1"/>
  <c r="M66" i="1"/>
  <c r="M67" i="1"/>
  <c r="M21" i="1"/>
  <c r="M22" i="1"/>
  <c r="M23" i="1"/>
  <c r="M24" i="1"/>
  <c r="M68" i="1"/>
  <c r="M69" i="1"/>
  <c r="M70" i="1"/>
  <c r="M71" i="1"/>
  <c r="M29" i="1"/>
  <c r="M30" i="1"/>
  <c r="M72" i="1"/>
  <c r="M73" i="1"/>
  <c r="M31" i="1"/>
  <c r="M32" i="1"/>
  <c r="M74" i="1"/>
  <c r="M75" i="1"/>
  <c r="M76" i="1"/>
  <c r="M77" i="1"/>
  <c r="M35" i="1"/>
  <c r="M36" i="1"/>
  <c r="M78" i="1"/>
  <c r="M79" i="1"/>
  <c r="M93" i="1"/>
  <c r="M94" i="1"/>
  <c r="M37" i="1"/>
  <c r="M38" i="1"/>
  <c r="M39" i="1"/>
  <c r="M40" i="1"/>
  <c r="M43" i="1"/>
  <c r="M44" i="1"/>
  <c r="M80" i="1"/>
  <c r="M81" i="1"/>
  <c r="M95" i="1"/>
  <c r="M96" i="1"/>
  <c r="M82" i="1"/>
  <c r="M83" i="1"/>
  <c r="M45" i="1"/>
  <c r="M46" i="1"/>
  <c r="M97" i="1"/>
  <c r="M98" i="1"/>
  <c r="M2" i="1"/>
  <c r="T72" i="1"/>
  <c r="U72" i="1" s="1"/>
  <c r="T73" i="1"/>
  <c r="U73" i="1" s="1"/>
  <c r="AD95" i="1" l="1"/>
  <c r="AD94" i="1"/>
  <c r="AD93" i="1"/>
  <c r="AD90" i="1"/>
  <c r="AB3" i="1"/>
  <c r="Y15" i="1"/>
  <c r="X30" i="1"/>
  <c r="Y30" i="1"/>
  <c r="X15" i="1"/>
  <c r="X13" i="1"/>
  <c r="Y13" i="1"/>
  <c r="Z20" i="1"/>
  <c r="X36" i="1"/>
  <c r="Y20" i="1"/>
  <c r="X20" i="1"/>
  <c r="Y27" i="1"/>
  <c r="X27" i="1"/>
  <c r="Y24" i="1"/>
  <c r="X24" i="1"/>
  <c r="X10" i="1"/>
  <c r="Y10" i="1"/>
  <c r="Y7" i="1"/>
  <c r="X7" i="1"/>
  <c r="Z13" i="1"/>
  <c r="Z30" i="1"/>
  <c r="Z27" i="1"/>
  <c r="Z24" i="1"/>
  <c r="Z10" i="1"/>
  <c r="Z7" i="1"/>
  <c r="T4" i="1" l="1"/>
  <c r="U4" i="1" s="1"/>
  <c r="T5" i="1"/>
  <c r="U5" i="1" s="1"/>
  <c r="T6" i="1"/>
  <c r="U6" i="1" s="1"/>
  <c r="T7" i="1"/>
  <c r="U7" i="1" s="1"/>
  <c r="T8" i="1"/>
  <c r="U8" i="1" s="1"/>
  <c r="T9" i="1"/>
  <c r="U9" i="1" s="1"/>
  <c r="T10" i="1"/>
  <c r="U10" i="1" s="1"/>
  <c r="T11" i="1"/>
  <c r="U11" i="1" s="1"/>
  <c r="T63" i="1"/>
  <c r="T64" i="1"/>
  <c r="U64" i="1" s="1"/>
  <c r="T88" i="1"/>
  <c r="T12" i="1"/>
  <c r="U12" i="1" s="1"/>
  <c r="T13" i="1"/>
  <c r="U13" i="1" s="1"/>
  <c r="T14" i="1"/>
  <c r="U14" i="1" s="1"/>
  <c r="T15" i="1"/>
  <c r="U15" i="1" s="1"/>
  <c r="T16" i="1"/>
  <c r="U16" i="1" s="1"/>
  <c r="T65" i="1"/>
  <c r="U65" i="1" s="1"/>
  <c r="T17" i="1"/>
  <c r="U17" i="1" s="1"/>
  <c r="T18" i="1"/>
  <c r="U18" i="1" s="1"/>
  <c r="T19" i="1"/>
  <c r="U19" i="1" s="1"/>
  <c r="T20" i="1"/>
  <c r="U20" i="1" s="1"/>
  <c r="T89" i="1"/>
  <c r="U89" i="1" s="1"/>
  <c r="T90" i="1"/>
  <c r="U90" i="1" s="1"/>
  <c r="T91" i="1"/>
  <c r="U91" i="1" s="1"/>
  <c r="T92" i="1"/>
  <c r="U92" i="1" s="1"/>
  <c r="T66" i="1"/>
  <c r="U66" i="1" s="1"/>
  <c r="T67" i="1"/>
  <c r="U67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68" i="1"/>
  <c r="U68" i="1" s="1"/>
  <c r="T69" i="1"/>
  <c r="U69" i="1" s="1"/>
  <c r="T70" i="1"/>
  <c r="U70" i="1" s="1"/>
  <c r="T27" i="1"/>
  <c r="U27" i="1" s="1"/>
  <c r="T28" i="1"/>
  <c r="U28" i="1" s="1"/>
  <c r="T71" i="1"/>
  <c r="U71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74" i="1"/>
  <c r="U74" i="1" s="1"/>
  <c r="T75" i="1"/>
  <c r="U75" i="1" s="1"/>
  <c r="T76" i="1"/>
  <c r="U76" i="1" s="1"/>
  <c r="T77" i="1"/>
  <c r="U77" i="1" s="1"/>
  <c r="T35" i="1"/>
  <c r="U35" i="1" s="1"/>
  <c r="T36" i="1"/>
  <c r="U36" i="1" s="1"/>
  <c r="T78" i="1"/>
  <c r="U78" i="1" s="1"/>
  <c r="T79" i="1"/>
  <c r="U79" i="1" s="1"/>
  <c r="T94" i="1"/>
  <c r="U94" i="1" s="1"/>
  <c r="T37" i="1"/>
  <c r="U37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U44" i="1" s="1"/>
  <c r="T80" i="1"/>
  <c r="U80" i="1" s="1"/>
  <c r="T81" i="1"/>
  <c r="U81" i="1" s="1"/>
  <c r="T95" i="1"/>
  <c r="U95" i="1" s="1"/>
  <c r="T96" i="1"/>
  <c r="U96" i="1" s="1"/>
  <c r="T82" i="1"/>
  <c r="U82" i="1" s="1"/>
  <c r="T83" i="1"/>
  <c r="U83" i="1" s="1"/>
  <c r="T45" i="1"/>
  <c r="U45" i="1" s="1"/>
  <c r="T46" i="1"/>
  <c r="U46" i="1" s="1"/>
  <c r="T97" i="1"/>
  <c r="U97" i="1" s="1"/>
  <c r="T98" i="1"/>
  <c r="U98" i="1" s="1"/>
  <c r="T2" i="1"/>
  <c r="S4" i="1"/>
  <c r="S5" i="1"/>
  <c r="S6" i="1"/>
  <c r="S7" i="1"/>
  <c r="S8" i="1"/>
  <c r="S9" i="1"/>
  <c r="S10" i="1"/>
  <c r="S11" i="1"/>
  <c r="S63" i="1"/>
  <c r="S64" i="1"/>
  <c r="S88" i="1"/>
  <c r="S12" i="1"/>
  <c r="S13" i="1"/>
  <c r="S14" i="1"/>
  <c r="S15" i="1"/>
  <c r="S16" i="1"/>
  <c r="S65" i="1"/>
  <c r="S17" i="1"/>
  <c r="S18" i="1"/>
  <c r="S19" i="1"/>
  <c r="S20" i="1"/>
  <c r="S89" i="1"/>
  <c r="S90" i="1"/>
  <c r="S91" i="1"/>
  <c r="S92" i="1"/>
  <c r="S66" i="1"/>
  <c r="S67" i="1"/>
  <c r="S21" i="1"/>
  <c r="S22" i="1"/>
  <c r="S23" i="1"/>
  <c r="S24" i="1"/>
  <c r="S25" i="1"/>
  <c r="S26" i="1"/>
  <c r="S68" i="1"/>
  <c r="S69" i="1"/>
  <c r="S70" i="1"/>
  <c r="S27" i="1"/>
  <c r="S28" i="1"/>
  <c r="S71" i="1"/>
  <c r="S29" i="1"/>
  <c r="S30" i="1"/>
  <c r="S31" i="1"/>
  <c r="S32" i="1"/>
  <c r="S33" i="1"/>
  <c r="S34" i="1"/>
  <c r="S74" i="1"/>
  <c r="S75" i="1"/>
  <c r="S76" i="1"/>
  <c r="S77" i="1"/>
  <c r="S35" i="1"/>
  <c r="S36" i="1"/>
  <c r="S78" i="1"/>
  <c r="S79" i="1"/>
  <c r="S94" i="1"/>
  <c r="S37" i="1"/>
  <c r="S38" i="1"/>
  <c r="S39" i="1"/>
  <c r="S40" i="1"/>
  <c r="S41" i="1"/>
  <c r="S42" i="1"/>
  <c r="S43" i="1"/>
  <c r="S44" i="1"/>
  <c r="S80" i="1"/>
  <c r="S81" i="1"/>
  <c r="S95" i="1"/>
  <c r="S96" i="1"/>
  <c r="S82" i="1"/>
  <c r="S83" i="1"/>
  <c r="S45" i="1"/>
  <c r="S46" i="1"/>
  <c r="S97" i="1"/>
  <c r="S98" i="1"/>
  <c r="Q4" i="1"/>
  <c r="Q5" i="1"/>
  <c r="Q6" i="1"/>
  <c r="Q7" i="1"/>
  <c r="Q8" i="1"/>
  <c r="Q9" i="1"/>
  <c r="Q10" i="1"/>
  <c r="Q11" i="1"/>
  <c r="Q63" i="1"/>
  <c r="Q64" i="1"/>
  <c r="Q88" i="1"/>
  <c r="Q12" i="1"/>
  <c r="Q13" i="1"/>
  <c r="Q14" i="1"/>
  <c r="Q15" i="1"/>
  <c r="Q16" i="1"/>
  <c r="Q65" i="1"/>
  <c r="Q17" i="1"/>
  <c r="Q18" i="1"/>
  <c r="Q19" i="1"/>
  <c r="Q20" i="1"/>
  <c r="Q89" i="1"/>
  <c r="Q90" i="1"/>
  <c r="Q91" i="1"/>
  <c r="Q92" i="1"/>
  <c r="Q66" i="1"/>
  <c r="Q67" i="1"/>
  <c r="Q21" i="1"/>
  <c r="Q22" i="1"/>
  <c r="Q23" i="1"/>
  <c r="Q24" i="1"/>
  <c r="Q25" i="1"/>
  <c r="Q26" i="1"/>
  <c r="Q68" i="1"/>
  <c r="Q69" i="1"/>
  <c r="Q70" i="1"/>
  <c r="Q27" i="1"/>
  <c r="Q28" i="1"/>
  <c r="Q71" i="1"/>
  <c r="Q29" i="1"/>
  <c r="Q30" i="1"/>
  <c r="Q31" i="1"/>
  <c r="Q32" i="1"/>
  <c r="Q33" i="1"/>
  <c r="Q34" i="1"/>
  <c r="Q74" i="1"/>
  <c r="Q75" i="1"/>
  <c r="Q76" i="1"/>
  <c r="Q77" i="1"/>
  <c r="Q35" i="1"/>
  <c r="Q36" i="1"/>
  <c r="Q78" i="1"/>
  <c r="Q79" i="1"/>
  <c r="Q94" i="1"/>
  <c r="Q37" i="1"/>
  <c r="Q38" i="1"/>
  <c r="Q39" i="1"/>
  <c r="Q40" i="1"/>
  <c r="Q41" i="1"/>
  <c r="Q42" i="1"/>
  <c r="Q43" i="1"/>
  <c r="Q44" i="1"/>
  <c r="Q80" i="1"/>
  <c r="Q81" i="1"/>
  <c r="Q95" i="1"/>
  <c r="Q96" i="1"/>
  <c r="Q82" i="1"/>
  <c r="Q83" i="1"/>
  <c r="Q45" i="1"/>
  <c r="Q46" i="1"/>
  <c r="Q97" i="1"/>
  <c r="Q98" i="1"/>
  <c r="Q2" i="1"/>
  <c r="O4" i="1"/>
  <c r="O5" i="1"/>
  <c r="O6" i="1"/>
  <c r="O7" i="1"/>
  <c r="O8" i="1"/>
  <c r="O9" i="1"/>
  <c r="O10" i="1"/>
  <c r="O11" i="1"/>
  <c r="O63" i="1"/>
  <c r="O64" i="1"/>
  <c r="O88" i="1"/>
  <c r="O12" i="1"/>
  <c r="O13" i="1"/>
  <c r="O14" i="1"/>
  <c r="O15" i="1"/>
  <c r="O16" i="1"/>
  <c r="O65" i="1"/>
  <c r="O17" i="1"/>
  <c r="O18" i="1"/>
  <c r="O19" i="1"/>
  <c r="O20" i="1"/>
  <c r="O89" i="1"/>
  <c r="O90" i="1"/>
  <c r="O91" i="1"/>
  <c r="O92" i="1"/>
  <c r="O66" i="1"/>
  <c r="O67" i="1"/>
  <c r="O21" i="1"/>
  <c r="O22" i="1"/>
  <c r="O23" i="1"/>
  <c r="O24" i="1"/>
  <c r="O25" i="1"/>
  <c r="O26" i="1"/>
  <c r="O68" i="1"/>
  <c r="O69" i="1"/>
  <c r="O70" i="1"/>
  <c r="O27" i="1"/>
  <c r="O28" i="1"/>
  <c r="O71" i="1"/>
  <c r="O29" i="1"/>
  <c r="O30" i="1"/>
  <c r="O31" i="1"/>
  <c r="O32" i="1"/>
  <c r="O33" i="1"/>
  <c r="O34" i="1"/>
  <c r="O74" i="1"/>
  <c r="O75" i="1"/>
  <c r="O76" i="1"/>
  <c r="O77" i="1"/>
  <c r="O35" i="1"/>
  <c r="O36" i="1"/>
  <c r="O78" i="1"/>
  <c r="O79" i="1"/>
  <c r="O94" i="1"/>
  <c r="O37" i="1"/>
  <c r="O38" i="1"/>
  <c r="O39" i="1"/>
  <c r="O40" i="1"/>
  <c r="O41" i="1"/>
  <c r="O42" i="1"/>
  <c r="O43" i="1"/>
  <c r="O44" i="1"/>
  <c r="O80" i="1"/>
  <c r="O81" i="1"/>
  <c r="O95" i="1"/>
  <c r="O96" i="1"/>
  <c r="O82" i="1"/>
  <c r="O83" i="1"/>
  <c r="O45" i="1"/>
  <c r="O46" i="1"/>
  <c r="O97" i="1"/>
  <c r="O98" i="1"/>
  <c r="U88" i="1" l="1"/>
  <c r="AE95" i="1"/>
  <c r="AE90" i="1"/>
  <c r="U63" i="1"/>
  <c r="AE94" i="1"/>
  <c r="AA24" i="1"/>
  <c r="AE93" i="1"/>
  <c r="Z36" i="1"/>
  <c r="Y32" i="1"/>
  <c r="U2" i="1"/>
  <c r="Y36" i="1"/>
  <c r="S2" i="1"/>
  <c r="O2" i="1"/>
  <c r="K2" i="3"/>
  <c r="J2" i="3"/>
  <c r="E3" i="3"/>
  <c r="E4" i="3"/>
  <c r="E5" i="3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2" i="3"/>
  <c r="H2" i="3"/>
  <c r="G2" i="3"/>
  <c r="F2" i="3"/>
  <c r="L5" i="3" l="1"/>
  <c r="I3" i="3"/>
  <c r="J9" i="3" s="1"/>
  <c r="H4" i="3"/>
  <c r="K5" i="3"/>
  <c r="J5" i="3"/>
  <c r="I2" i="3"/>
  <c r="I9" i="3" s="1"/>
  <c r="U8" i="10"/>
  <c r="U9" i="10"/>
  <c r="U10" i="10" s="1"/>
</calcChain>
</file>

<file path=xl/sharedStrings.xml><?xml version="1.0" encoding="utf-8"?>
<sst xmlns="http://schemas.openxmlformats.org/spreadsheetml/2006/main" count="926" uniqueCount="266">
  <si>
    <t>Study ID#</t>
  </si>
  <si>
    <t>Eye</t>
  </si>
  <si>
    <t>OD</t>
  </si>
  <si>
    <t>OS</t>
  </si>
  <si>
    <t>Comments</t>
  </si>
  <si>
    <t>Hering's</t>
  </si>
  <si>
    <t>RUL ptosis BULB</t>
  </si>
  <si>
    <t>OD only</t>
  </si>
  <si>
    <t>OS only</t>
  </si>
  <si>
    <t>OD only w orbic bx</t>
  </si>
  <si>
    <t>Average OD</t>
  </si>
  <si>
    <t>Average OS</t>
  </si>
  <si>
    <t>Average OU</t>
  </si>
  <si>
    <t>OD formatted 00:00:00</t>
  </si>
  <si>
    <t>OS formatted 00:00:00</t>
  </si>
  <si>
    <t>OD+OS</t>
  </si>
  <si>
    <t>Average ODorOS</t>
  </si>
  <si>
    <t>MIN one eye</t>
  </si>
  <si>
    <t>MAX one eye</t>
  </si>
  <si>
    <t>MIN two eyes</t>
  </si>
  <si>
    <t>MAX two eyes</t>
  </si>
  <si>
    <t>previous RUL repair, after LUL repair, herings on right</t>
  </si>
  <si>
    <t>sch for f/u on 1/22/14</t>
  </si>
  <si>
    <t>mistake on TVF?</t>
  </si>
  <si>
    <t>Surgery done (1=BLEPH, 2=PTOSIS, 3=both)</t>
  </si>
  <si>
    <t>later had brow lift</t>
  </si>
  <si>
    <t>Pre to Post Vertical degrees</t>
  </si>
  <si>
    <t>Pre to Post Area</t>
  </si>
  <si>
    <t>Pre to Taped Area</t>
  </si>
  <si>
    <t>Taped to Post Vertical degrees</t>
  </si>
  <si>
    <t>Pre to Taped Vertical degrees</t>
  </si>
  <si>
    <t>Taped to Post Area</t>
  </si>
  <si>
    <t>Pre MRD1 to Post MRD1</t>
  </si>
  <si>
    <t>Pre MRD1 average</t>
  </si>
  <si>
    <t>Post MRD1 average</t>
  </si>
  <si>
    <t>Pre Vertical deg average</t>
  </si>
  <si>
    <t>Post Vertical deg average</t>
  </si>
  <si>
    <t>Taped Vertical deg average</t>
  </si>
  <si>
    <t>Pre Area average</t>
  </si>
  <si>
    <t>Post Area average</t>
  </si>
  <si>
    <t>Taped Area average</t>
  </si>
  <si>
    <t>Pre op estimate vs post op actual</t>
  </si>
  <si>
    <t>Vertical Taping gain average</t>
  </si>
  <si>
    <t>Vertical Surgery gain average</t>
  </si>
  <si>
    <t>MRD1 increase</t>
  </si>
  <si>
    <t>Ave MRD1 change</t>
  </si>
  <si>
    <t>Area Surgery gain average</t>
  </si>
  <si>
    <t>Area Taping Gain average</t>
  </si>
  <si>
    <t>Taping to Surgery Vertical gain</t>
  </si>
  <si>
    <t>Taping to Surgery Area gain</t>
  </si>
  <si>
    <t>VERTICAL DEGREES</t>
  </si>
  <si>
    <t>GAIN</t>
  </si>
  <si>
    <t>AREA</t>
  </si>
  <si>
    <t>AVERAGES</t>
  </si>
  <si>
    <t>T-TEST</t>
  </si>
  <si>
    <t>Aver diff Taped-Post</t>
  </si>
  <si>
    <t>Min Taped-Post</t>
  </si>
  <si>
    <t>Max Diff Taped-Post</t>
  </si>
  <si>
    <t>Aver Post-Pre</t>
  </si>
  <si>
    <t>Pre MRD1</t>
  </si>
  <si>
    <t>Post MRD1</t>
  </si>
  <si>
    <t>Pre Pt Vertical Degrees</t>
  </si>
  <si>
    <t>Pre Deg Area SVF</t>
  </si>
  <si>
    <t>Pre Taped Vertical Degrees</t>
  </si>
  <si>
    <t>Pre Taped Deg Area SVF</t>
  </si>
  <si>
    <t>Post Vertical Degrees</t>
  </si>
  <si>
    <t>Post Deg Area SVF</t>
  </si>
  <si>
    <t>Taped to natural Vert SVF loss</t>
  </si>
  <si>
    <t>Taped to natural % Vertical gain</t>
  </si>
  <si>
    <t xml:space="preserve">Taped to natural SVF area loss </t>
  </si>
  <si>
    <t>Taped to natural % Area gain</t>
  </si>
  <si>
    <t>Pre to Post Vert increase</t>
  </si>
  <si>
    <t>Pre to Post % increase vert SVF</t>
  </si>
  <si>
    <t>Pre to Post Increase SVF area</t>
  </si>
  <si>
    <t>Pre to Post % increase SVF area</t>
  </si>
  <si>
    <t>Taped to Post Vert degrees</t>
  </si>
  <si>
    <t>Tangent</t>
  </si>
  <si>
    <t>Time</t>
  </si>
  <si>
    <t>SD</t>
  </si>
  <si>
    <t>StDEV</t>
  </si>
  <si>
    <t>Pearson correlation</t>
  </si>
  <si>
    <t>t-Ratio</t>
  </si>
  <si>
    <t>DF</t>
  </si>
  <si>
    <t>Mean Difference</t>
  </si>
  <si>
    <t>Prob &gt; |t|</t>
  </si>
  <si>
    <t>&lt;.0001</t>
  </si>
  <si>
    <t>Std Error</t>
  </si>
  <si>
    <t>Prob &gt; t</t>
  </si>
  <si>
    <t>Upper 95%</t>
  </si>
  <si>
    <t>Prob &lt; t</t>
  </si>
  <si>
    <t>Lower 95%</t>
  </si>
  <si>
    <t>N</t>
  </si>
  <si>
    <t>Correlation</t>
  </si>
  <si>
    <t>Blepharoplasty</t>
  </si>
  <si>
    <t>Ptosis Repair</t>
  </si>
  <si>
    <t>Both</t>
  </si>
  <si>
    <t>Goldmann</t>
  </si>
  <si>
    <t>Humphrey</t>
  </si>
  <si>
    <t>Tangent Goldmann Humphrey</t>
  </si>
  <si>
    <t>pre LUL repeat for residual ptosis, also had a LL bleph, LCTT</t>
  </si>
  <si>
    <t>PreMRD1</t>
  </si>
  <si>
    <t>pre 1=Bleph</t>
  </si>
  <si>
    <t>post 1=Bleph</t>
  </si>
  <si>
    <t>Pre 2=Ptosis</t>
  </si>
  <si>
    <t>Post 2=Ptosis</t>
  </si>
  <si>
    <t>Pre 3=both</t>
  </si>
  <si>
    <t>Post 3=Both</t>
  </si>
  <si>
    <t>ID#</t>
  </si>
  <si>
    <t>Bleph</t>
  </si>
  <si>
    <t>Ptosis</t>
  </si>
  <si>
    <t>PostMRD1</t>
  </si>
  <si>
    <t>StDev</t>
  </si>
  <si>
    <t>MeanDiff</t>
  </si>
  <si>
    <t>Diff</t>
  </si>
  <si>
    <t>N eyes</t>
  </si>
  <si>
    <t>SEM</t>
  </si>
  <si>
    <t>t-test</t>
  </si>
  <si>
    <t>median one eye</t>
  </si>
  <si>
    <t>Median two eyes</t>
  </si>
  <si>
    <t># eyes bleph</t>
  </si>
  <si>
    <t># eyes ptosis</t>
  </si>
  <si>
    <t># eyes both</t>
  </si>
  <si>
    <t>r=correlation</t>
  </si>
  <si>
    <t>N complete eyes</t>
  </si>
  <si>
    <t>Dermatochalasis</t>
  </si>
  <si>
    <t>OU</t>
  </si>
  <si>
    <t>No</t>
  </si>
  <si>
    <t>x</t>
  </si>
  <si>
    <t>Bil Brow lift 2nd</t>
  </si>
  <si>
    <t>2 (pre brow lift)</t>
  </si>
  <si>
    <t>2.5</t>
  </si>
  <si>
    <t>2.75</t>
  </si>
  <si>
    <t>No (had Bil internal)</t>
  </si>
  <si>
    <t>0.5</t>
  </si>
  <si>
    <t>Ptosis + Dermatochalasis</t>
  </si>
  <si>
    <t>OD +OU</t>
  </si>
  <si>
    <t>had RUL external ptosis rep + Bil bleph (h/o R scleral buckle and strab surgery)</t>
  </si>
  <si>
    <t>60 (later 30)</t>
  </si>
  <si>
    <t>1</t>
  </si>
  <si>
    <t>-2</t>
  </si>
  <si>
    <t>3</t>
  </si>
  <si>
    <t>2</t>
  </si>
  <si>
    <t>No (external RUL)</t>
  </si>
  <si>
    <t>0.25</t>
  </si>
  <si>
    <t>Exci L lat brow lesion 5x10mm</t>
  </si>
  <si>
    <t>No (external ptos + bleph)</t>
  </si>
  <si>
    <t>No (internal ptos)</t>
  </si>
  <si>
    <t>0</t>
  </si>
  <si>
    <t>-1</t>
  </si>
  <si>
    <t>Ptosis ?CPEO</t>
  </si>
  <si>
    <t>1) Right levator advancement with MRD1 of 2.5 mm and 2.5 mm of lag; 2) Biopsy of RUL orbic for h/o possible CPEO</t>
  </si>
  <si>
    <t>60 (PH20)</t>
  </si>
  <si>
    <t>25 (PH20)</t>
  </si>
  <si>
    <t>Ptosis (OPMD?)</t>
  </si>
  <si>
    <t>4</t>
  </si>
  <si>
    <t>RLL lesion exc</t>
  </si>
  <si>
    <t>No (later had browlift and repeat LUL ptosis repair)</t>
  </si>
  <si>
    <t>LUL 1st 3/23/2012 RUL 2nd 7/27/2012</t>
  </si>
  <si>
    <t>150 (RGP mono)</t>
  </si>
  <si>
    <t>3.5</t>
  </si>
  <si>
    <t>0.75</t>
  </si>
  <si>
    <t>Ptosis LUL, then RUL + Dermatochalasis BUL</t>
  </si>
  <si>
    <t>previous RUL ptosis repair 6/2011 (MRD1 -2/2)</t>
  </si>
  <si>
    <t>1.5</t>
  </si>
  <si>
    <t>1 Bilateral upper lid functional blepharoplasty 2. Bilateral 2.5 mm lateral canthal tendon tightening 3. Bilateral lower eyelid thermal punctal occlusion</t>
  </si>
  <si>
    <t>BLL LCTs</t>
  </si>
  <si>
    <t>-3</t>
  </si>
  <si>
    <t>-4</t>
  </si>
  <si>
    <t>1) Bil ptosis + BULB  2) LUL ptosis repeat (9/18/13)</t>
  </si>
  <si>
    <t>No. external</t>
  </si>
  <si>
    <t>No (internal)</t>
  </si>
  <si>
    <t>No (bleph + external)</t>
  </si>
  <si>
    <t>Bil funtional bleph, bil canthal sparing, LCT tightening, bil LL Jones 1 snip w upper punctum dil</t>
  </si>
  <si>
    <t>Bil bleph, Lesion excision</t>
  </si>
  <si>
    <t>4.5</t>
  </si>
  <si>
    <t>No (LUL external ptos)</t>
  </si>
  <si>
    <t>LL punctal occlusion</t>
  </si>
  <si>
    <t>70 mono</t>
  </si>
  <si>
    <t>OD:</t>
  </si>
  <si>
    <t>OS:</t>
  </si>
  <si>
    <t>patients</t>
  </si>
  <si>
    <t>1 + 3</t>
  </si>
  <si>
    <t>Surg type</t>
  </si>
  <si>
    <t>Mean</t>
  </si>
  <si>
    <t>Std Dev</t>
  </si>
  <si>
    <t>Std Err Mean</t>
  </si>
  <si>
    <t>Upper 95% Mean</t>
  </si>
  <si>
    <t>Lower 95% Mean</t>
  </si>
  <si>
    <t>From JMP</t>
  </si>
  <si>
    <t>r=correlation bleph</t>
  </si>
  <si>
    <t>r=correlation ptosis</t>
  </si>
  <si>
    <t>r=correlation both</t>
  </si>
  <si>
    <t>By surgical subgroup</t>
  </si>
  <si>
    <t>bleph</t>
  </si>
  <si>
    <t>MRD1 change</t>
  </si>
  <si>
    <t>VertSVF</t>
  </si>
  <si>
    <t>SVFArea</t>
  </si>
  <si>
    <t>ptosis</t>
  </si>
  <si>
    <t>both</t>
  </si>
  <si>
    <t>MRD1change vs SVF change</t>
  </si>
  <si>
    <t>Pre MRD1 vs Pre SVF</t>
  </si>
  <si>
    <t>SVF Area</t>
  </si>
  <si>
    <t>Excel</t>
  </si>
  <si>
    <t>JMP</t>
  </si>
  <si>
    <t>MRD1 change to VertSVF change</t>
  </si>
  <si>
    <t>from JMP</t>
  </si>
  <si>
    <t xml:space="preserve">DIDN'T WORK IN EXCEL WITH "FILTER" </t>
  </si>
  <si>
    <t>MRD1 change to SVFArea change</t>
  </si>
  <si>
    <t>Prob &gt; |t| = .0001 represents the p-value for HA: µY - µN ≠ 0</t>
  </si>
  <si>
    <t>Prob &gt; t = .0001 represents the p-value for HA: µY - µN &gt; 0</t>
  </si>
  <si>
    <t>Prob &lt; t = 1.000 represents the p-value for HA: µY - µN &lt; 0</t>
  </si>
  <si>
    <t>Prob</t>
  </si>
  <si>
    <t>1. Upper
CL
Dif
and
Lower
CL
Dif
give
the
95%
CI
for
the
true
difference.
Since
the
95%
CI
contains
zero,
conclude
that
there
is
not
a
significant
difference
between
the
means.
2. Prob
&gt;
|t|
is
the
p-­‐value
for
the
two-­‐tailed
test.
The
null
hypothesis
is
that
means
are
equal
(the
mean
difference
is
zero).
Since
the
Prob
&gt;
|t|
is
greater
than
0.05,
cannot
reject
the
null
hypothesis
(i.e.,
we
cannot
conclude
that
there
is
a
significant
difference).</t>
  </si>
  <si>
    <t>2 tailed T-test</t>
  </si>
  <si>
    <t>1 tailed where Y&gt;X</t>
  </si>
  <si>
    <t>1 tailed where Y&lt;X</t>
  </si>
  <si>
    <t>Count</t>
  </si>
  <si>
    <t>Lower 95% CI</t>
  </si>
  <si>
    <t>Upper 95% CI</t>
  </si>
  <si>
    <t>Correlations</t>
  </si>
  <si>
    <t>Ptosis (2)</t>
  </si>
  <si>
    <t>Pre MRD1:VertSVF</t>
  </si>
  <si>
    <t>Pre MRD1:SVFArea</t>
  </si>
  <si>
    <t>Both (3)</t>
  </si>
  <si>
    <t>Bleph (1)</t>
  </si>
  <si>
    <t>ave preMRD1</t>
  </si>
  <si>
    <t>ave post MRD1</t>
  </si>
  <si>
    <t>ave preVert</t>
  </si>
  <si>
    <t>ave post Vert</t>
  </si>
  <si>
    <t>ave preArea</t>
  </si>
  <si>
    <t>ave postArea</t>
  </si>
  <si>
    <t>Surgery group</t>
  </si>
  <si>
    <t>Preop</t>
  </si>
  <si>
    <t>Postop</t>
  </si>
  <si>
    <t>Column1</t>
  </si>
  <si>
    <t>Column2</t>
  </si>
  <si>
    <t>Column3</t>
  </si>
  <si>
    <t>Mean MRD1 (mm)</t>
  </si>
  <si>
    <t>Mean VertSVF (deg)</t>
  </si>
  <si>
    <t>CI</t>
  </si>
  <si>
    <t>CI in seconds</t>
  </si>
  <si>
    <t>CI one eye</t>
  </si>
  <si>
    <t>St dev one eye</t>
  </si>
  <si>
    <t>CI in one eye</t>
  </si>
  <si>
    <t>sec</t>
  </si>
  <si>
    <t>mistake on TVF or Hering's?</t>
  </si>
  <si>
    <t>6 eyelids with lower than expected post op VF and post op MRD1&lt;2.5 mm</t>
  </si>
  <si>
    <t>due to brow</t>
  </si>
  <si>
    <t>The Goldmann - no longer made.  Have Haag Streit Automated VF that does kinetic testing.</t>
  </si>
  <si>
    <t>The HS 600 is around $16,000.00 but it only goes out about 50 degrees. The rep said most people use the HS 900 which is $26,000.00 to $31,000.00.</t>
  </si>
  <si>
    <t>GVF refurbished is $300</t>
  </si>
  <si>
    <t>Costs</t>
  </si>
  <si>
    <r>
      <t>Mean SVFArea (deg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</si>
  <si>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Diagnosis</t>
  </si>
  <si>
    <t>Affected Side</t>
  </si>
  <si>
    <t>Other surg? S=simultaneous</t>
  </si>
  <si>
    <t>First Survey Complete</t>
  </si>
  <si>
    <t>Initial VA OD</t>
  </si>
  <si>
    <t>Initial VA OS</t>
  </si>
  <si>
    <t>preop MRD1 OD</t>
  </si>
  <si>
    <t>preop MRD1 OS</t>
  </si>
  <si>
    <t>postop MRD1 OD</t>
  </si>
  <si>
    <t>postop MRD1 OS</t>
  </si>
  <si>
    <t xml:space="preserve">Surgery done (1=BLEPH, 2=PTOSIS, 3=both) </t>
  </si>
  <si>
    <t xml:space="preserve">Tangent screen is $250.00 </t>
  </si>
  <si>
    <t>with #12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</si>
</sst>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mm]:ss"/>
  </numFmts>
  <fonts count="9" x14ac:knownFonts="1"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1F497D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0" fillId="0" borderId="0" xfId="0" applyNumberFormat="1"/>
    <xf numFmtId="164" fontId="0" fillId="0" borderId="0" xfId="0" applyNumberFormat="1"/>
    <xf numFmtId="2" fontId="0" fillId="0" borderId="0" xfId="0" applyNumberFormat="1" applyFill="1"/>
    <xf numFmtId="0" fontId="3" fillId="0" borderId="0" xfId="0" applyNumberFormat="1" applyFont="1"/>
    <xf numFmtId="0" fontId="0" fillId="0" borderId="0" xfId="0" applyAlignment="1">
      <alignment horizontal="left"/>
    </xf>
    <xf numFmtId="0" fontId="2" fillId="0" borderId="3" xfId="0" applyFont="1" applyBorder="1"/>
    <xf numFmtId="0" fontId="3" fillId="0" borderId="0" xfId="0" applyFont="1" applyBorder="1"/>
    <xf numFmtId="0" fontId="3" fillId="0" borderId="0" xfId="0" applyNumberFormat="1" applyFont="1" applyBorder="1"/>
    <xf numFmtId="0" fontId="2" fillId="0" borderId="0" xfId="0" applyFont="1" applyBorder="1"/>
    <xf numFmtId="0" fontId="6" fillId="0" borderId="0" xfId="0" applyFont="1" applyAlignment="1">
      <alignment vertical="center"/>
    </xf>
    <xf numFmtId="0" fontId="1" fillId="0" borderId="0" xfId="0" applyFont="1" applyBorder="1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2" fillId="0" borderId="4" xfId="0" applyFont="1" applyBorder="1"/>
    <xf numFmtId="0" fontId="0" fillId="0" borderId="0" xfId="0" applyAlignment="1">
      <alignment horizontal="center"/>
    </xf>
    <xf numFmtId="0" fontId="0" fillId="4" borderId="0" xfId="0" applyFill="1"/>
    <xf numFmtId="0" fontId="3" fillId="0" borderId="0" xfId="0" applyFont="1" applyFill="1" applyBorder="1" applyAlignment="1">
      <alignment horizontal="center" vertical="center"/>
    </xf>
    <xf numFmtId="1" fontId="0" fillId="0" borderId="0" xfId="0" applyNumberFormat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Border="1"/>
    <xf numFmtId="49" fontId="2" fillId="0" borderId="0" xfId="0" applyNumberFormat="1" applyFont="1" applyFill="1" applyBorder="1"/>
    <xf numFmtId="0" fontId="0" fillId="5" borderId="0" xfId="0" applyFill="1"/>
    <xf numFmtId="0" fontId="5" fillId="5" borderId="0" xfId="0" applyFont="1" applyFill="1"/>
    <xf numFmtId="0" fontId="3" fillId="0" borderId="4" xfId="0" applyFont="1" applyBorder="1"/>
    <xf numFmtId="0" fontId="3" fillId="0" borderId="4" xfId="0" applyNumberFormat="1" applyFont="1" applyBorder="1"/>
    <xf numFmtId="0" fontId="1" fillId="0" borderId="4" xfId="0" applyFont="1" applyFill="1" applyBorder="1"/>
    <xf numFmtId="0" fontId="1" fillId="0" borderId="4" xfId="0" applyFont="1" applyBorder="1"/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0" fillId="6" borderId="0" xfId="0" applyFill="1"/>
    <xf numFmtId="20" fontId="0" fillId="0" borderId="0" xfId="0" applyNumberFormat="1"/>
    <xf numFmtId="0" fontId="3" fillId="0" borderId="0" xfId="0" applyNumberFormat="1" applyFont="1" applyFill="1"/>
    <xf numFmtId="0" fontId="3" fillId="0" borderId="0" xfId="0" applyNumberFormat="1" applyFont="1" applyFill="1" applyBorder="1"/>
    <xf numFmtId="0" fontId="3" fillId="0" borderId="4" xfId="0" applyNumberFormat="1" applyFont="1" applyFill="1" applyBorder="1"/>
    <xf numFmtId="0" fontId="2" fillId="0" borderId="0" xfId="0" applyFont="1" applyFill="1" applyProtection="1"/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7" fillId="2" borderId="0" xfId="0" applyNumberFormat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10" fontId="7" fillId="3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2" borderId="0" xfId="0" applyFont="1" applyFill="1"/>
    <xf numFmtId="0" fontId="2" fillId="3" borderId="0" xfId="0" applyFont="1" applyFill="1"/>
    <xf numFmtId="0" fontId="2" fillId="6" borderId="0" xfId="0" applyFont="1" applyFill="1"/>
    <xf numFmtId="0" fontId="7" fillId="2" borderId="0" xfId="0" applyFont="1" applyFill="1"/>
    <xf numFmtId="2" fontId="2" fillId="2" borderId="0" xfId="0" applyNumberFormat="1" applyFont="1" applyFill="1"/>
    <xf numFmtId="2" fontId="2" fillId="3" borderId="0" xfId="0" applyNumberFormat="1" applyFont="1" applyFill="1"/>
    <xf numFmtId="0" fontId="2" fillId="0" borderId="0" xfId="0" applyFont="1" applyAlignment="1"/>
    <xf numFmtId="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/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/>
    <xf numFmtId="0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/>
    <xf numFmtId="0" fontId="2" fillId="2" borderId="4" xfId="0" applyFont="1" applyFill="1" applyBorder="1"/>
    <xf numFmtId="0" fontId="2" fillId="3" borderId="4" xfId="0" applyFont="1" applyFill="1" applyBorder="1"/>
    <xf numFmtId="0" fontId="2" fillId="2" borderId="0" xfId="0" applyFont="1" applyFill="1" applyBorder="1"/>
    <xf numFmtId="0" fontId="2" fillId="3" borderId="0" xfId="0" applyFont="1" applyFill="1" applyBorder="1"/>
    <xf numFmtId="0" fontId="2" fillId="2" borderId="3" xfId="0" applyFont="1" applyFill="1" applyBorder="1"/>
    <xf numFmtId="0" fontId="2" fillId="3" borderId="3" xfId="0" applyFont="1" applyFill="1" applyBorder="1"/>
    <xf numFmtId="0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/>
    <xf numFmtId="2" fontId="2" fillId="0" borderId="0" xfId="0" applyNumberFormat="1" applyFont="1" applyFill="1"/>
    <xf numFmtId="0" fontId="2" fillId="0" borderId="7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9">
    <dxf>
      <font>
        <strike val="0"/>
        <outline val="0"/>
        <shadow val="0"/>
        <u val="no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Surgical SVF Increases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SVF!$T$1</c:f>
              <c:strCache>
                <c:ptCount val="1"/>
                <c:pt idx="0">
                  <c:v>Pre to Post Increase SVF area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</c:spPr>
          </c:marker>
          <c:dLbls>
            <c:delete val="1"/>
          </c:dLbls>
          <c:trendline>
            <c:trendlineType val="linear"/>
            <c:dispRSqr val="0"/>
            <c:dispEq val="0"/>
          </c:trendline>
          <c:xVal>
            <c:numRef>
              <c:f>SVF!$R$2:$R$100</c:f>
              <c:numCache>
                <c:formatCode>General</c:formatCode>
                <c:ptCount val="99"/>
                <c:pt idx="0">
                  <c:v>8.0999999999999979</c:v>
                </c:pt>
                <c:pt idx="1">
                  <c:v>11.299999999999999</c:v>
                </c:pt>
                <c:pt idx="2">
                  <c:v>-1</c:v>
                </c:pt>
                <c:pt idx="3">
                  <c:v>-3.3000000000000007</c:v>
                </c:pt>
                <c:pt idx="4">
                  <c:v>-4.2</c:v>
                </c:pt>
                <c:pt idx="5">
                  <c:v>-3.1999999999999993</c:v>
                </c:pt>
                <c:pt idx="6">
                  <c:v>16.5</c:v>
                </c:pt>
                <c:pt idx="7">
                  <c:v>14.3</c:v>
                </c:pt>
                <c:pt idx="8">
                  <c:v>22.4</c:v>
                </c:pt>
                <c:pt idx="9">
                  <c:v>22.799999999999997</c:v>
                </c:pt>
                <c:pt idx="10">
                  <c:v>-2.8</c:v>
                </c:pt>
                <c:pt idx="11">
                  <c:v>13.500000000000002</c:v>
                </c:pt>
                <c:pt idx="12">
                  <c:v>15.400000000000002</c:v>
                </c:pt>
                <c:pt idx="13">
                  <c:v>3.7000000000000011</c:v>
                </c:pt>
                <c:pt idx="14">
                  <c:v>7</c:v>
                </c:pt>
                <c:pt idx="15">
                  <c:v>13.2</c:v>
                </c:pt>
                <c:pt idx="16">
                  <c:v>8.9000000000000021</c:v>
                </c:pt>
                <c:pt idx="17">
                  <c:v>21</c:v>
                </c:pt>
                <c:pt idx="18">
                  <c:v>18.3</c:v>
                </c:pt>
                <c:pt idx="19">
                  <c:v>5.4</c:v>
                </c:pt>
                <c:pt idx="20">
                  <c:v>6.1000000000000014</c:v>
                </c:pt>
                <c:pt idx="21">
                  <c:v>13.2</c:v>
                </c:pt>
                <c:pt idx="22">
                  <c:v>20</c:v>
                </c:pt>
                <c:pt idx="23">
                  <c:v>13.299999999999999</c:v>
                </c:pt>
                <c:pt idx="24">
                  <c:v>20.700000000000003</c:v>
                </c:pt>
                <c:pt idx="25">
                  <c:v>4.3000000000000007</c:v>
                </c:pt>
                <c:pt idx="26">
                  <c:v>10.900000000000002</c:v>
                </c:pt>
                <c:pt idx="27">
                  <c:v>15.2</c:v>
                </c:pt>
                <c:pt idx="28">
                  <c:v>17.2</c:v>
                </c:pt>
                <c:pt idx="29">
                  <c:v>19.900000000000002</c:v>
                </c:pt>
                <c:pt idx="30">
                  <c:v>15.7</c:v>
                </c:pt>
                <c:pt idx="31">
                  <c:v>17.200000000000003</c:v>
                </c:pt>
                <c:pt idx="32">
                  <c:v>20.2</c:v>
                </c:pt>
                <c:pt idx="33">
                  <c:v>19.2</c:v>
                </c:pt>
                <c:pt idx="34">
                  <c:v>-1.4000000000000004</c:v>
                </c:pt>
                <c:pt idx="35">
                  <c:v>12.100000000000001</c:v>
                </c:pt>
                <c:pt idx="36">
                  <c:v>13.899999999999999</c:v>
                </c:pt>
                <c:pt idx="37">
                  <c:v>17</c:v>
                </c:pt>
                <c:pt idx="38">
                  <c:v>16.799999999999997</c:v>
                </c:pt>
                <c:pt idx="39">
                  <c:v>15.899999999999999</c:v>
                </c:pt>
                <c:pt idx="40">
                  <c:v>17.399999999999999</c:v>
                </c:pt>
                <c:pt idx="41">
                  <c:v>7.1</c:v>
                </c:pt>
                <c:pt idx="42">
                  <c:v>7.7000000000000011</c:v>
                </c:pt>
                <c:pt idx="43">
                  <c:v>18.600000000000001</c:v>
                </c:pt>
                <c:pt idx="44">
                  <c:v>15.700000000000001</c:v>
                </c:pt>
                <c:pt idx="45">
                  <c:v>10.399999999999999</c:v>
                </c:pt>
                <c:pt idx="46">
                  <c:v>1.9000000000000004</c:v>
                </c:pt>
                <c:pt idx="47" formatCode="0.00">
                  <c:v>-0.5</c:v>
                </c:pt>
                <c:pt idx="48" formatCode="0.00">
                  <c:v>5</c:v>
                </c:pt>
                <c:pt idx="49" formatCode="0.00">
                  <c:v>19.5</c:v>
                </c:pt>
                <c:pt idx="50" formatCode="0.00">
                  <c:v>18.8</c:v>
                </c:pt>
                <c:pt idx="51">
                  <c:v>16.899999999999999</c:v>
                </c:pt>
                <c:pt idx="52">
                  <c:v>17</c:v>
                </c:pt>
                <c:pt idx="53">
                  <c:v>23.1</c:v>
                </c:pt>
                <c:pt idx="54">
                  <c:v>23.3</c:v>
                </c:pt>
                <c:pt idx="55">
                  <c:v>12.7</c:v>
                </c:pt>
                <c:pt idx="56">
                  <c:v>23.7</c:v>
                </c:pt>
                <c:pt idx="57">
                  <c:v>15.4</c:v>
                </c:pt>
                <c:pt idx="58">
                  <c:v>16.400000000000002</c:v>
                </c:pt>
                <c:pt idx="59">
                  <c:v>28</c:v>
                </c:pt>
                <c:pt idx="60">
                  <c:v>26.6</c:v>
                </c:pt>
                <c:pt idx="61">
                  <c:v>19.200000000000003</c:v>
                </c:pt>
                <c:pt idx="62">
                  <c:v>15.4</c:v>
                </c:pt>
                <c:pt idx="63">
                  <c:v>15.600000000000001</c:v>
                </c:pt>
                <c:pt idx="64">
                  <c:v>12.400000000000002</c:v>
                </c:pt>
                <c:pt idx="65">
                  <c:v>9.7999999999999989</c:v>
                </c:pt>
                <c:pt idx="66">
                  <c:v>7.5999999999999979</c:v>
                </c:pt>
                <c:pt idx="67">
                  <c:v>18.600000000000001</c:v>
                </c:pt>
                <c:pt idx="68">
                  <c:v>11.600000000000001</c:v>
                </c:pt>
                <c:pt idx="69">
                  <c:v>16.200000000000003</c:v>
                </c:pt>
                <c:pt idx="70">
                  <c:v>8.9</c:v>
                </c:pt>
                <c:pt idx="71">
                  <c:v>12.400000000000002</c:v>
                </c:pt>
                <c:pt idx="72">
                  <c:v>7.8000000000000007</c:v>
                </c:pt>
                <c:pt idx="73">
                  <c:v>8.9</c:v>
                </c:pt>
                <c:pt idx="74">
                  <c:v>12.899999999999999</c:v>
                </c:pt>
                <c:pt idx="75">
                  <c:v>13.700000000000001</c:v>
                </c:pt>
                <c:pt idx="76">
                  <c:v>18.5</c:v>
                </c:pt>
                <c:pt idx="77">
                  <c:v>14.900000000000002</c:v>
                </c:pt>
                <c:pt idx="78">
                  <c:v>20.6</c:v>
                </c:pt>
                <c:pt idx="79">
                  <c:v>19.100000000000001</c:v>
                </c:pt>
                <c:pt idx="80">
                  <c:v>10.9</c:v>
                </c:pt>
                <c:pt idx="81">
                  <c:v>4.2000000000000011</c:v>
                </c:pt>
                <c:pt idx="82">
                  <c:v>15.7</c:v>
                </c:pt>
                <c:pt idx="83">
                  <c:v>9.6000000000000014</c:v>
                </c:pt>
                <c:pt idx="84">
                  <c:v>18.599999999999998</c:v>
                </c:pt>
                <c:pt idx="85">
                  <c:v>22.6</c:v>
                </c:pt>
                <c:pt idx="86">
                  <c:v>20.3</c:v>
                </c:pt>
                <c:pt idx="87">
                  <c:v>15.1</c:v>
                </c:pt>
                <c:pt idx="88">
                  <c:v>16.8</c:v>
                </c:pt>
                <c:pt idx="89">
                  <c:v>13.8</c:v>
                </c:pt>
                <c:pt idx="90">
                  <c:v>15.200000000000001</c:v>
                </c:pt>
                <c:pt idx="91">
                  <c:v>11</c:v>
                </c:pt>
                <c:pt idx="92">
                  <c:v>27.3</c:v>
                </c:pt>
                <c:pt idx="93">
                  <c:v>15.999999999999998</c:v>
                </c:pt>
                <c:pt idx="94">
                  <c:v>14.700000000000001</c:v>
                </c:pt>
                <c:pt idx="95">
                  <c:v>12.2</c:v>
                </c:pt>
                <c:pt idx="96">
                  <c:v>4.4000000000000004</c:v>
                </c:pt>
                <c:pt idx="97">
                  <c:v>13</c:v>
                </c:pt>
                <c:pt idx="98">
                  <c:v>21.599999999999998</c:v>
                </c:pt>
              </c:numCache>
            </c:numRef>
          </c:xVal>
          <c:yVal>
            <c:numRef>
              <c:f>SVF!$T$2:$T$100</c:f>
              <c:numCache>
                <c:formatCode>General</c:formatCode>
                <c:ptCount val="99"/>
                <c:pt idx="0">
                  <c:v>659</c:v>
                </c:pt>
                <c:pt idx="1">
                  <c:v>741</c:v>
                </c:pt>
                <c:pt idx="2">
                  <c:v>128</c:v>
                </c:pt>
                <c:pt idx="3">
                  <c:v>45</c:v>
                </c:pt>
                <c:pt idx="4">
                  <c:v>-188</c:v>
                </c:pt>
                <c:pt idx="5">
                  <c:v>-145</c:v>
                </c:pt>
                <c:pt idx="6">
                  <c:v>650</c:v>
                </c:pt>
                <c:pt idx="7">
                  <c:v>532</c:v>
                </c:pt>
                <c:pt idx="8">
                  <c:v>921</c:v>
                </c:pt>
                <c:pt idx="9">
                  <c:v>895</c:v>
                </c:pt>
                <c:pt idx="10">
                  <c:v>-58</c:v>
                </c:pt>
                <c:pt idx="11">
                  <c:v>602</c:v>
                </c:pt>
                <c:pt idx="12">
                  <c:v>663</c:v>
                </c:pt>
                <c:pt idx="13">
                  <c:v>21</c:v>
                </c:pt>
                <c:pt idx="14">
                  <c:v>150</c:v>
                </c:pt>
                <c:pt idx="15">
                  <c:v>486</c:v>
                </c:pt>
                <c:pt idx="16">
                  <c:v>385</c:v>
                </c:pt>
                <c:pt idx="17">
                  <c:v>729</c:v>
                </c:pt>
                <c:pt idx="18">
                  <c:v>694</c:v>
                </c:pt>
                <c:pt idx="19">
                  <c:v>430</c:v>
                </c:pt>
                <c:pt idx="20">
                  <c:v>606</c:v>
                </c:pt>
                <c:pt idx="21">
                  <c:v>644</c:v>
                </c:pt>
                <c:pt idx="22">
                  <c:v>888</c:v>
                </c:pt>
                <c:pt idx="23">
                  <c:v>589</c:v>
                </c:pt>
                <c:pt idx="24">
                  <c:v>734</c:v>
                </c:pt>
                <c:pt idx="25">
                  <c:v>382</c:v>
                </c:pt>
                <c:pt idx="26">
                  <c:v>559</c:v>
                </c:pt>
                <c:pt idx="27">
                  <c:v>549</c:v>
                </c:pt>
                <c:pt idx="28">
                  <c:v>769</c:v>
                </c:pt>
                <c:pt idx="29">
                  <c:v>699</c:v>
                </c:pt>
                <c:pt idx="30">
                  <c:v>675</c:v>
                </c:pt>
                <c:pt idx="31">
                  <c:v>511</c:v>
                </c:pt>
                <c:pt idx="32">
                  <c:v>716</c:v>
                </c:pt>
                <c:pt idx="33">
                  <c:v>740</c:v>
                </c:pt>
                <c:pt idx="34">
                  <c:v>-163</c:v>
                </c:pt>
                <c:pt idx="35">
                  <c:v>643</c:v>
                </c:pt>
                <c:pt idx="36">
                  <c:v>788</c:v>
                </c:pt>
                <c:pt idx="37">
                  <c:v>592</c:v>
                </c:pt>
                <c:pt idx="38">
                  <c:v>611</c:v>
                </c:pt>
                <c:pt idx="39">
                  <c:v>736</c:v>
                </c:pt>
                <c:pt idx="40">
                  <c:v>705</c:v>
                </c:pt>
                <c:pt idx="41">
                  <c:v>318</c:v>
                </c:pt>
                <c:pt idx="42">
                  <c:v>252</c:v>
                </c:pt>
                <c:pt idx="43">
                  <c:v>1040</c:v>
                </c:pt>
                <c:pt idx="44">
                  <c:v>1055</c:v>
                </c:pt>
                <c:pt idx="45">
                  <c:v>375</c:v>
                </c:pt>
                <c:pt idx="46">
                  <c:v>107</c:v>
                </c:pt>
                <c:pt idx="47">
                  <c:v>-117</c:v>
                </c:pt>
                <c:pt idx="48">
                  <c:v>86</c:v>
                </c:pt>
                <c:pt idx="49">
                  <c:v>715</c:v>
                </c:pt>
                <c:pt idx="50">
                  <c:v>865</c:v>
                </c:pt>
                <c:pt idx="51">
                  <c:v>855</c:v>
                </c:pt>
                <c:pt idx="52">
                  <c:v>740</c:v>
                </c:pt>
                <c:pt idx="53">
                  <c:v>938</c:v>
                </c:pt>
                <c:pt idx="54">
                  <c:v>954</c:v>
                </c:pt>
                <c:pt idx="55">
                  <c:v>652</c:v>
                </c:pt>
                <c:pt idx="56">
                  <c:v>984</c:v>
                </c:pt>
                <c:pt idx="57">
                  <c:v>845</c:v>
                </c:pt>
                <c:pt idx="58">
                  <c:v>868</c:v>
                </c:pt>
                <c:pt idx="59">
                  <c:v>1103</c:v>
                </c:pt>
                <c:pt idx="60">
                  <c:v>1124</c:v>
                </c:pt>
                <c:pt idx="61">
                  <c:v>927</c:v>
                </c:pt>
                <c:pt idx="62">
                  <c:v>800</c:v>
                </c:pt>
                <c:pt idx="63">
                  <c:v>501</c:v>
                </c:pt>
                <c:pt idx="64">
                  <c:v>644</c:v>
                </c:pt>
                <c:pt idx="65">
                  <c:v>583</c:v>
                </c:pt>
                <c:pt idx="66">
                  <c:v>513</c:v>
                </c:pt>
                <c:pt idx="67">
                  <c:v>702</c:v>
                </c:pt>
                <c:pt idx="68">
                  <c:v>644</c:v>
                </c:pt>
                <c:pt idx="69">
                  <c:v>737</c:v>
                </c:pt>
                <c:pt idx="70">
                  <c:v>498</c:v>
                </c:pt>
                <c:pt idx="71">
                  <c:v>701</c:v>
                </c:pt>
                <c:pt idx="72">
                  <c:v>162</c:v>
                </c:pt>
                <c:pt idx="73">
                  <c:v>98</c:v>
                </c:pt>
                <c:pt idx="74">
                  <c:v>667</c:v>
                </c:pt>
                <c:pt idx="75">
                  <c:v>638</c:v>
                </c:pt>
                <c:pt idx="76">
                  <c:v>892</c:v>
                </c:pt>
                <c:pt idx="77">
                  <c:v>875</c:v>
                </c:pt>
                <c:pt idx="78">
                  <c:v>841</c:v>
                </c:pt>
                <c:pt idx="79">
                  <c:v>707</c:v>
                </c:pt>
                <c:pt idx="80">
                  <c:v>521</c:v>
                </c:pt>
                <c:pt idx="81">
                  <c:v>-40</c:v>
                </c:pt>
                <c:pt idx="82">
                  <c:v>687</c:v>
                </c:pt>
                <c:pt idx="83">
                  <c:v>796</c:v>
                </c:pt>
                <c:pt idx="84">
                  <c:v>942</c:v>
                </c:pt>
                <c:pt idx="85">
                  <c:v>996</c:v>
                </c:pt>
                <c:pt idx="86">
                  <c:v>675</c:v>
                </c:pt>
                <c:pt idx="87">
                  <c:v>540</c:v>
                </c:pt>
                <c:pt idx="88">
                  <c:v>770</c:v>
                </c:pt>
                <c:pt idx="89">
                  <c:v>904</c:v>
                </c:pt>
                <c:pt idx="90">
                  <c:v>893</c:v>
                </c:pt>
                <c:pt idx="91">
                  <c:v>575</c:v>
                </c:pt>
                <c:pt idx="92">
                  <c:v>1373</c:v>
                </c:pt>
                <c:pt idx="93">
                  <c:v>721</c:v>
                </c:pt>
                <c:pt idx="94">
                  <c:v>570</c:v>
                </c:pt>
                <c:pt idx="95">
                  <c:v>466</c:v>
                </c:pt>
                <c:pt idx="96">
                  <c:v>276</c:v>
                </c:pt>
                <c:pt idx="97">
                  <c:v>627</c:v>
                </c:pt>
                <c:pt idx="98">
                  <c:v>799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7365504"/>
        <c:axId val="47367680"/>
      </c:scatterChart>
      <c:valAx>
        <c:axId val="47365504"/>
        <c:scaling>
          <c:orientation val="minMax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Vertical Increase (Degrees)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47367680"/>
        <c:crossesAt val="-250"/>
        <c:crossBetween val="midCat"/>
      </c:valAx>
      <c:valAx>
        <c:axId val="47367680"/>
        <c:scaling>
          <c:orientation val="minMax"/>
          <c:max val="1500"/>
          <c:min val="-2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Area Increase (Degrees</a:t>
                </a:r>
                <a:r>
                  <a:rPr lang="en-US" baseline="30000"/>
                  <a:t>2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crossAx val="47365504"/>
        <c:crossesAt val="-5"/>
        <c:crossBetween val="midCat"/>
        <c:majorUnit val="250"/>
        <c:minorUnit val="2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MRD1</a:t>
            </a:r>
          </a:p>
        </c:rich>
      </c:tx>
      <c:layout>
        <c:manualLayout>
          <c:xMode val="edge"/>
          <c:yMode val="edge"/>
          <c:x val="0.31988188976377951"/>
          <c:y val="5.55555555555555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Preop</c:v>
          </c:tx>
          <c:invertIfNegative val="0"/>
          <c:errBars>
            <c:errBarType val="plus"/>
            <c:errValType val="cust"/>
            <c:noEndCap val="0"/>
            <c:plus>
              <c:numRef>
                <c:f>('MRD1 change'!$B$12,'MRD1 change'!$B$29,'MRD1 change'!$B$46)</c:f>
                <c:numCache>
                  <c:formatCode>General</c:formatCode>
                  <c:ptCount val="3"/>
                  <c:pt idx="0">
                    <c:v>0.89526254059999999</c:v>
                  </c:pt>
                  <c:pt idx="1">
                    <c:v>1.6024070436</c:v>
                  </c:pt>
                  <c:pt idx="2">
                    <c:v>0.81256163469999998</c:v>
                  </c:pt>
                </c:numCache>
              </c:numRef>
            </c:plus>
            <c:minus>
              <c:numRef>
                <c:f>'MRD1 change'!$U$3:$W$3</c:f>
                <c:numCache>
                  <c:formatCode>General</c:formatCode>
                  <c:ptCount val="3"/>
                  <c:pt idx="0">
                    <c:v>1.0815927589323366</c:v>
                  </c:pt>
                  <c:pt idx="1">
                    <c:v>1.6024070435857842</c:v>
                  </c:pt>
                  <c:pt idx="2">
                    <c:v>0.81256163474311915</c:v>
                  </c:pt>
                </c:numCache>
              </c:numRef>
            </c:minus>
          </c:errBars>
          <c:cat>
            <c:strRef>
              <c:f>('MRD1 change'!$F$2,'MRD1 change'!$F$19,'MRD1 change'!$F$36)</c:f>
              <c:strCache>
                <c:ptCount val="3"/>
                <c:pt idx="0">
                  <c:v>Blepharoplasty</c:v>
                </c:pt>
                <c:pt idx="1">
                  <c:v>Ptosis Repair</c:v>
                </c:pt>
                <c:pt idx="2">
                  <c:v>Both</c:v>
                </c:pt>
              </c:strCache>
            </c:strRef>
          </c:cat>
          <c:val>
            <c:numRef>
              <c:f>('MRD1 change'!$B$3,'MRD1 change'!$B$20,'MRD1 change'!$B$37)</c:f>
              <c:numCache>
                <c:formatCode>General</c:formatCode>
                <c:ptCount val="3"/>
                <c:pt idx="0">
                  <c:v>2.6104651162999999</c:v>
                </c:pt>
                <c:pt idx="1">
                  <c:v>-0.15</c:v>
                </c:pt>
                <c:pt idx="2">
                  <c:v>0.4230769231</c:v>
                </c:pt>
              </c:numCache>
            </c:numRef>
          </c:val>
        </c:ser>
        <c:ser>
          <c:idx val="0"/>
          <c:order val="1"/>
          <c:tx>
            <c:v>Postop</c:v>
          </c:tx>
          <c:invertIfNegative val="0"/>
          <c:errBars>
            <c:errBarType val="plus"/>
            <c:errValType val="cust"/>
            <c:noEndCap val="0"/>
            <c:plus>
              <c:numRef>
                <c:f>('MRD1 change'!$C$12,'MRD1 change'!$C$29,'MRD1 change'!$C$46)</c:f>
                <c:numCache>
                  <c:formatCode>General</c:formatCode>
                  <c:ptCount val="3"/>
                  <c:pt idx="0">
                    <c:v>0.94860304120000005</c:v>
                  </c:pt>
                  <c:pt idx="1">
                    <c:v>0.74833147739999994</c:v>
                  </c:pt>
                  <c:pt idx="2">
                    <c:v>0.72279727270000005</c:v>
                  </c:pt>
                </c:numCache>
              </c:numRef>
            </c:plus>
            <c:minus>
              <c:numRef>
                <c:f>'MRD1 change'!$U$6:$W$6</c:f>
                <c:numCache>
                  <c:formatCode>General</c:formatCode>
                  <c:ptCount val="3"/>
                  <c:pt idx="0">
                    <c:v>0.94860304120827632</c:v>
                  </c:pt>
                  <c:pt idx="1">
                    <c:v>0.74833147735478822</c:v>
                  </c:pt>
                  <c:pt idx="2">
                    <c:v>0.72279727270922778</c:v>
                  </c:pt>
                </c:numCache>
              </c:numRef>
            </c:minus>
          </c:errBars>
          <c:cat>
            <c:strRef>
              <c:f>('MRD1 change'!$F$2,'MRD1 change'!$F$19,'MRD1 change'!$F$36)</c:f>
              <c:strCache>
                <c:ptCount val="3"/>
                <c:pt idx="0">
                  <c:v>Blepharoplasty</c:v>
                </c:pt>
                <c:pt idx="1">
                  <c:v>Ptosis Repair</c:v>
                </c:pt>
                <c:pt idx="2">
                  <c:v>Both</c:v>
                </c:pt>
              </c:strCache>
            </c:strRef>
          </c:cat>
          <c:val>
            <c:numRef>
              <c:f>('MRD1 change'!$B$2,'MRD1 change'!$B$19,'MRD1 change'!$B$36)</c:f>
              <c:numCache>
                <c:formatCode>General</c:formatCode>
                <c:ptCount val="3"/>
                <c:pt idx="0">
                  <c:v>3.3662790698</c:v>
                </c:pt>
                <c:pt idx="1">
                  <c:v>2.93</c:v>
                </c:pt>
                <c:pt idx="2">
                  <c:v>3.1923076923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31136"/>
        <c:axId val="63933056"/>
      </c:barChart>
      <c:catAx>
        <c:axId val="6393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/>
                  <a:t>Type of Surgery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63933056"/>
        <c:crosses val="autoZero"/>
        <c:auto val="1"/>
        <c:lblAlgn val="ctr"/>
        <c:lblOffset val="100"/>
        <c:noMultiLvlLbl val="0"/>
      </c:catAx>
      <c:valAx>
        <c:axId val="639330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MRD1 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931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Intact</a:t>
            </a:r>
            <a:r>
              <a:rPr lang="en-US" baseline="0"/>
              <a:t> Vertical SVF</a:t>
            </a:r>
            <a:endParaRPr lang="en-US"/>
          </a:p>
        </c:rich>
      </c:tx>
      <c:layout>
        <c:manualLayout>
          <c:xMode val="edge"/>
          <c:yMode val="edge"/>
          <c:x val="0.2597105173568785"/>
          <c:y val="2.777774701819699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Natural Preop</c:v>
          </c:tx>
          <c:spPr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SVF!$X$8</c:f>
                <c:numCache>
                  <c:formatCode>General</c:formatCode>
                  <c:ptCount val="1"/>
                  <c:pt idx="0">
                    <c:v>4.7025493421546241</c:v>
                  </c:pt>
                </c:numCache>
              </c:numRef>
            </c:plus>
            <c:minus>
              <c:numRef>
                <c:f>SVF!$X$8</c:f>
                <c:numCache>
                  <c:formatCode>General</c:formatCode>
                  <c:ptCount val="1"/>
                  <c:pt idx="0">
                    <c:v>4.7025493421546241</c:v>
                  </c:pt>
                </c:numCache>
              </c:numRef>
            </c:minus>
          </c:errBars>
          <c:val>
            <c:numRef>
              <c:f>SVF!$X$7</c:f>
              <c:numCache>
                <c:formatCode>General</c:formatCode>
                <c:ptCount val="1"/>
                <c:pt idx="0">
                  <c:v>7.9696969696969697</c:v>
                </c:pt>
              </c:numCache>
            </c:numRef>
          </c:val>
        </c:ser>
        <c:ser>
          <c:idx val="1"/>
          <c:order val="1"/>
          <c:tx>
            <c:v>Taped Preop</c:v>
          </c:tx>
          <c:spPr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SVF!$Y$11</c:f>
                <c:numCache>
                  <c:formatCode>General</c:formatCode>
                  <c:ptCount val="1"/>
                  <c:pt idx="0">
                    <c:v>2.6741706607678766</c:v>
                  </c:pt>
                </c:numCache>
              </c:numRef>
            </c:plus>
            <c:minus>
              <c:numRef>
                <c:f>SVF!$Y$11</c:f>
                <c:numCache>
                  <c:formatCode>General</c:formatCode>
                  <c:ptCount val="1"/>
                  <c:pt idx="0">
                    <c:v>2.6741706607678766</c:v>
                  </c:pt>
                </c:numCache>
              </c:numRef>
            </c:minus>
          </c:errBars>
          <c:val>
            <c:numRef>
              <c:f>SVF!$Y$10</c:f>
              <c:numCache>
                <c:formatCode>General</c:formatCode>
                <c:ptCount val="1"/>
                <c:pt idx="0">
                  <c:v>23.412244897959191</c:v>
                </c:pt>
              </c:numCache>
            </c:numRef>
          </c:val>
        </c:ser>
        <c:ser>
          <c:idx val="0"/>
          <c:order val="2"/>
          <c:tx>
            <c:v>Postop</c:v>
          </c:tx>
          <c:spPr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SVF!$Y$8</c:f>
                <c:numCache>
                  <c:formatCode>General</c:formatCode>
                  <c:ptCount val="1"/>
                  <c:pt idx="0">
                    <c:v>5.3610510035157324</c:v>
                  </c:pt>
                </c:numCache>
              </c:numRef>
            </c:plus>
            <c:minus>
              <c:numRef>
                <c:f>SVF!$Y$8</c:f>
                <c:numCache>
                  <c:formatCode>General</c:formatCode>
                  <c:ptCount val="1"/>
                  <c:pt idx="0">
                    <c:v>5.3610510035157324</c:v>
                  </c:pt>
                </c:numCache>
              </c:numRef>
            </c:minus>
          </c:errBars>
          <c:val>
            <c:numRef>
              <c:f>SVF!$Y$7</c:f>
              <c:numCache>
                <c:formatCode>General</c:formatCode>
                <c:ptCount val="1"/>
                <c:pt idx="0">
                  <c:v>21.570707070707059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52416"/>
        <c:axId val="64654336"/>
      </c:barChart>
      <c:catAx>
        <c:axId val="6465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Eyelid</a:t>
                </a:r>
                <a:r>
                  <a:rPr lang="en-US" baseline="0"/>
                  <a:t> Position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4734164479440072"/>
              <c:y val="0.87868037328667248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64654336"/>
        <c:crosses val="autoZero"/>
        <c:auto val="1"/>
        <c:lblAlgn val="ctr"/>
        <c:lblOffset val="100"/>
        <c:noMultiLvlLbl val="0"/>
      </c:catAx>
      <c:valAx>
        <c:axId val="646543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Vertical</a:t>
                </a:r>
                <a:r>
                  <a:rPr lang="en-US" baseline="0"/>
                  <a:t> SVF (Degrees)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4652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Intact</a:t>
            </a:r>
            <a:r>
              <a:rPr lang="en-US" baseline="0"/>
              <a:t> SVF Area</a:t>
            </a:r>
            <a:endParaRPr lang="en-US"/>
          </a:p>
        </c:rich>
      </c:tx>
      <c:layout>
        <c:manualLayout>
          <c:xMode val="edge"/>
          <c:yMode val="edge"/>
          <c:x val="0.27581933508311463"/>
          <c:y val="1.85185185185185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Natural Preop</c:v>
          </c:tx>
          <c:spPr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SVF!$X$25</c:f>
                <c:numCache>
                  <c:formatCode>General</c:formatCode>
                  <c:ptCount val="1"/>
                  <c:pt idx="0">
                    <c:v>156.69409949429024</c:v>
                  </c:pt>
                </c:numCache>
              </c:numRef>
            </c:plus>
            <c:minus>
              <c:numRef>
                <c:f>SVF!$X$25</c:f>
                <c:numCache>
                  <c:formatCode>General</c:formatCode>
                  <c:ptCount val="1"/>
                  <c:pt idx="0">
                    <c:v>156.69409949429024</c:v>
                  </c:pt>
                </c:numCache>
              </c:numRef>
            </c:minus>
          </c:errBars>
          <c:val>
            <c:numRef>
              <c:f>SVF!$X$24</c:f>
              <c:numCache>
                <c:formatCode>General</c:formatCode>
                <c:ptCount val="1"/>
                <c:pt idx="0">
                  <c:v>222.66666666666666</c:v>
                </c:pt>
              </c:numCache>
            </c:numRef>
          </c:val>
        </c:ser>
        <c:ser>
          <c:idx val="1"/>
          <c:order val="1"/>
          <c:tx>
            <c:v>Taped Preop</c:v>
          </c:tx>
          <c:spPr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SVF!$Y$28</c:f>
                <c:numCache>
                  <c:formatCode>General</c:formatCode>
                  <c:ptCount val="1"/>
                  <c:pt idx="0">
                    <c:v>144.15018825018814</c:v>
                  </c:pt>
                </c:numCache>
              </c:numRef>
            </c:plus>
            <c:minus>
              <c:numRef>
                <c:f>SVF!$Y$28</c:f>
                <c:numCache>
                  <c:formatCode>General</c:formatCode>
                  <c:ptCount val="1"/>
                  <c:pt idx="0">
                    <c:v>144.15018825018814</c:v>
                  </c:pt>
                </c:numCache>
              </c:numRef>
            </c:minus>
          </c:errBars>
          <c:val>
            <c:numRef>
              <c:f>SVF!$Y$27</c:f>
              <c:numCache>
                <c:formatCode>General</c:formatCode>
                <c:ptCount val="1"/>
                <c:pt idx="0">
                  <c:v>912.58163265306121</c:v>
                </c:pt>
              </c:numCache>
            </c:numRef>
          </c:val>
        </c:ser>
        <c:ser>
          <c:idx val="0"/>
          <c:order val="2"/>
          <c:tx>
            <c:v>Postop</c:v>
          </c:tx>
          <c:spPr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SVF!$Y$25</c:f>
                <c:numCache>
                  <c:formatCode>General</c:formatCode>
                  <c:ptCount val="1"/>
                  <c:pt idx="0">
                    <c:v>275.31186941004557</c:v>
                  </c:pt>
                </c:numCache>
              </c:numRef>
            </c:plus>
            <c:minus>
              <c:numRef>
                <c:f>SVF!$Y$25</c:f>
                <c:numCache>
                  <c:formatCode>General</c:formatCode>
                  <c:ptCount val="1"/>
                  <c:pt idx="0">
                    <c:v>275.31186941004557</c:v>
                  </c:pt>
                </c:numCache>
              </c:numRef>
            </c:minus>
          </c:errBars>
          <c:val>
            <c:numRef>
              <c:f>SVF!$Y$24</c:f>
              <c:numCache>
                <c:formatCode>General</c:formatCode>
                <c:ptCount val="1"/>
                <c:pt idx="0">
                  <c:v>831.68686868686871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60768"/>
        <c:axId val="64962944"/>
      </c:barChart>
      <c:catAx>
        <c:axId val="6496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Eyelid</a:t>
                </a:r>
                <a:r>
                  <a:rPr lang="en-US" baseline="0"/>
                  <a:t> Position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crossAx val="64962944"/>
        <c:crosses val="autoZero"/>
        <c:auto val="1"/>
        <c:lblAlgn val="ctr"/>
        <c:lblOffset val="100"/>
        <c:noMultiLvlLbl val="0"/>
      </c:catAx>
      <c:valAx>
        <c:axId val="649629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SVF Area (Degrees</a:t>
                </a:r>
                <a:r>
                  <a:rPr lang="en-US" baseline="30000"/>
                  <a:t>2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496076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Preoperative SVF Measurements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19050"/>
            </c:spPr>
            <c:trendlineType val="linear"/>
            <c:dispRSqr val="0"/>
            <c:dispEq val="0"/>
          </c:trendline>
          <c:xVal>
            <c:numRef>
              <c:f>SVF!$E$2:$E$100</c:f>
              <c:numCache>
                <c:formatCode>General</c:formatCode>
                <c:ptCount val="99"/>
                <c:pt idx="0">
                  <c:v>17.100000000000001</c:v>
                </c:pt>
                <c:pt idx="1">
                  <c:v>13.9</c:v>
                </c:pt>
                <c:pt idx="2">
                  <c:v>14.6</c:v>
                </c:pt>
                <c:pt idx="3">
                  <c:v>13.8</c:v>
                </c:pt>
                <c:pt idx="4">
                  <c:v>8.5</c:v>
                </c:pt>
                <c:pt idx="5">
                  <c:v>11.5</c:v>
                </c:pt>
                <c:pt idx="6">
                  <c:v>11.8</c:v>
                </c:pt>
                <c:pt idx="7">
                  <c:v>13.2</c:v>
                </c:pt>
                <c:pt idx="8">
                  <c:v>3</c:v>
                </c:pt>
                <c:pt idx="9">
                  <c:v>2.6</c:v>
                </c:pt>
                <c:pt idx="10">
                  <c:v>8.5</c:v>
                </c:pt>
                <c:pt idx="11">
                  <c:v>11.1</c:v>
                </c:pt>
                <c:pt idx="12">
                  <c:v>9.1999999999999993</c:v>
                </c:pt>
                <c:pt idx="13">
                  <c:v>15.9</c:v>
                </c:pt>
                <c:pt idx="14">
                  <c:v>13</c:v>
                </c:pt>
                <c:pt idx="15">
                  <c:v>10.7</c:v>
                </c:pt>
                <c:pt idx="16">
                  <c:v>13.2</c:v>
                </c:pt>
                <c:pt idx="17">
                  <c:v>2.1</c:v>
                </c:pt>
                <c:pt idx="18">
                  <c:v>3.8</c:v>
                </c:pt>
                <c:pt idx="19">
                  <c:v>8.9</c:v>
                </c:pt>
                <c:pt idx="20">
                  <c:v>10.7</c:v>
                </c:pt>
                <c:pt idx="21">
                  <c:v>8</c:v>
                </c:pt>
                <c:pt idx="22">
                  <c:v>1.6</c:v>
                </c:pt>
                <c:pt idx="23">
                  <c:v>11.9</c:v>
                </c:pt>
                <c:pt idx="24">
                  <c:v>4.0999999999999996</c:v>
                </c:pt>
                <c:pt idx="25">
                  <c:v>16.3</c:v>
                </c:pt>
                <c:pt idx="26">
                  <c:v>13.7</c:v>
                </c:pt>
                <c:pt idx="27">
                  <c:v>2.5</c:v>
                </c:pt>
                <c:pt idx="28">
                  <c:v>6.7</c:v>
                </c:pt>
                <c:pt idx="29">
                  <c:v>2.7</c:v>
                </c:pt>
                <c:pt idx="30">
                  <c:v>7.3</c:v>
                </c:pt>
                <c:pt idx="31">
                  <c:v>4.0999999999999996</c:v>
                </c:pt>
                <c:pt idx="32">
                  <c:v>2.8</c:v>
                </c:pt>
                <c:pt idx="33">
                  <c:v>4.8</c:v>
                </c:pt>
                <c:pt idx="34">
                  <c:v>6.7</c:v>
                </c:pt>
                <c:pt idx="35">
                  <c:v>5</c:v>
                </c:pt>
                <c:pt idx="36">
                  <c:v>9</c:v>
                </c:pt>
                <c:pt idx="37">
                  <c:v>0.6</c:v>
                </c:pt>
                <c:pt idx="38">
                  <c:v>0.6</c:v>
                </c:pt>
                <c:pt idx="39">
                  <c:v>6.3</c:v>
                </c:pt>
                <c:pt idx="40">
                  <c:v>6</c:v>
                </c:pt>
                <c:pt idx="41">
                  <c:v>12.6</c:v>
                </c:pt>
                <c:pt idx="42">
                  <c:v>14.6</c:v>
                </c:pt>
                <c:pt idx="43">
                  <c:v>10</c:v>
                </c:pt>
                <c:pt idx="44">
                  <c:v>11.1</c:v>
                </c:pt>
                <c:pt idx="45">
                  <c:v>7.5</c:v>
                </c:pt>
                <c:pt idx="46">
                  <c:v>12.6</c:v>
                </c:pt>
                <c:pt idx="47">
                  <c:v>12.7</c:v>
                </c:pt>
                <c:pt idx="48">
                  <c:v>12.8</c:v>
                </c:pt>
                <c:pt idx="49">
                  <c:v>5</c:v>
                </c:pt>
                <c:pt idx="50">
                  <c:v>5</c:v>
                </c:pt>
                <c:pt idx="51">
                  <c:v>1</c:v>
                </c:pt>
                <c:pt idx="52">
                  <c:v>3.3</c:v>
                </c:pt>
                <c:pt idx="53">
                  <c:v>1.7</c:v>
                </c:pt>
                <c:pt idx="54">
                  <c:v>2.2999999999999998</c:v>
                </c:pt>
                <c:pt idx="55">
                  <c:v>9.5</c:v>
                </c:pt>
                <c:pt idx="56">
                  <c:v>2</c:v>
                </c:pt>
                <c:pt idx="57">
                  <c:v>3.4</c:v>
                </c:pt>
                <c:pt idx="58">
                  <c:v>6.7</c:v>
                </c:pt>
                <c:pt idx="59">
                  <c:v>3.5</c:v>
                </c:pt>
                <c:pt idx="60">
                  <c:v>2.2000000000000002</c:v>
                </c:pt>
                <c:pt idx="61">
                  <c:v>6.9</c:v>
                </c:pt>
                <c:pt idx="62">
                  <c:v>8.9</c:v>
                </c:pt>
                <c:pt idx="63">
                  <c:v>8.5</c:v>
                </c:pt>
                <c:pt idx="64">
                  <c:v>12.2</c:v>
                </c:pt>
                <c:pt idx="65">
                  <c:v>14.4</c:v>
                </c:pt>
                <c:pt idx="66">
                  <c:v>18.100000000000001</c:v>
                </c:pt>
                <c:pt idx="67">
                  <c:v>7.4</c:v>
                </c:pt>
                <c:pt idx="68">
                  <c:v>12.5</c:v>
                </c:pt>
                <c:pt idx="69">
                  <c:v>5.6</c:v>
                </c:pt>
                <c:pt idx="70">
                  <c:v>7.9</c:v>
                </c:pt>
                <c:pt idx="71">
                  <c:v>8.1999999999999993</c:v>
                </c:pt>
                <c:pt idx="72">
                  <c:v>2.5</c:v>
                </c:pt>
                <c:pt idx="73">
                  <c:v>1.4</c:v>
                </c:pt>
                <c:pt idx="74">
                  <c:v>11.5</c:v>
                </c:pt>
                <c:pt idx="75">
                  <c:v>11.1</c:v>
                </c:pt>
                <c:pt idx="76">
                  <c:v>4.8</c:v>
                </c:pt>
                <c:pt idx="77">
                  <c:v>7.2</c:v>
                </c:pt>
                <c:pt idx="78">
                  <c:v>1.4</c:v>
                </c:pt>
                <c:pt idx="79">
                  <c:v>1.7</c:v>
                </c:pt>
                <c:pt idx="80">
                  <c:v>12.4</c:v>
                </c:pt>
                <c:pt idx="81">
                  <c:v>9.6</c:v>
                </c:pt>
                <c:pt idx="82">
                  <c:v>9.5</c:v>
                </c:pt>
                <c:pt idx="83">
                  <c:v>14.2</c:v>
                </c:pt>
                <c:pt idx="84">
                  <c:v>2.2999999999999998</c:v>
                </c:pt>
                <c:pt idx="85">
                  <c:v>2</c:v>
                </c:pt>
                <c:pt idx="86">
                  <c:v>0.4</c:v>
                </c:pt>
                <c:pt idx="87">
                  <c:v>7.9</c:v>
                </c:pt>
                <c:pt idx="88">
                  <c:v>7.5</c:v>
                </c:pt>
                <c:pt idx="89">
                  <c:v>13.3</c:v>
                </c:pt>
                <c:pt idx="90">
                  <c:v>11.9</c:v>
                </c:pt>
                <c:pt idx="91">
                  <c:v>20</c:v>
                </c:pt>
                <c:pt idx="92">
                  <c:v>3.7</c:v>
                </c:pt>
                <c:pt idx="93">
                  <c:v>6.9</c:v>
                </c:pt>
                <c:pt idx="94">
                  <c:v>8.4</c:v>
                </c:pt>
                <c:pt idx="95">
                  <c:v>10</c:v>
                </c:pt>
                <c:pt idx="96">
                  <c:v>10</c:v>
                </c:pt>
                <c:pt idx="97">
                  <c:v>8.6999999999999993</c:v>
                </c:pt>
                <c:pt idx="98">
                  <c:v>0.8</c:v>
                </c:pt>
              </c:numCache>
            </c:numRef>
          </c:xVal>
          <c:yVal>
            <c:numRef>
              <c:f>SVF!$F$2:$F$100</c:f>
              <c:numCache>
                <c:formatCode>General</c:formatCode>
                <c:ptCount val="99"/>
                <c:pt idx="0">
                  <c:v>385</c:v>
                </c:pt>
                <c:pt idx="1">
                  <c:v>353</c:v>
                </c:pt>
                <c:pt idx="2">
                  <c:v>322</c:v>
                </c:pt>
                <c:pt idx="3">
                  <c:v>308</c:v>
                </c:pt>
                <c:pt idx="4">
                  <c:v>233</c:v>
                </c:pt>
                <c:pt idx="5">
                  <c:v>288</c:v>
                </c:pt>
                <c:pt idx="6">
                  <c:v>456</c:v>
                </c:pt>
                <c:pt idx="7">
                  <c:v>596</c:v>
                </c:pt>
                <c:pt idx="8">
                  <c:v>66</c:v>
                </c:pt>
                <c:pt idx="9">
                  <c:v>100</c:v>
                </c:pt>
                <c:pt idx="10">
                  <c:v>259</c:v>
                </c:pt>
                <c:pt idx="11">
                  <c:v>350</c:v>
                </c:pt>
                <c:pt idx="12">
                  <c:v>298</c:v>
                </c:pt>
                <c:pt idx="13">
                  <c:v>579</c:v>
                </c:pt>
                <c:pt idx="14">
                  <c:v>455</c:v>
                </c:pt>
                <c:pt idx="15">
                  <c:v>355</c:v>
                </c:pt>
                <c:pt idx="16">
                  <c:v>355</c:v>
                </c:pt>
                <c:pt idx="17">
                  <c:v>89</c:v>
                </c:pt>
                <c:pt idx="18">
                  <c:v>77</c:v>
                </c:pt>
                <c:pt idx="19">
                  <c:v>159</c:v>
                </c:pt>
                <c:pt idx="20">
                  <c:v>175</c:v>
                </c:pt>
                <c:pt idx="21">
                  <c:v>248</c:v>
                </c:pt>
                <c:pt idx="22">
                  <c:v>51</c:v>
                </c:pt>
                <c:pt idx="23">
                  <c:v>373</c:v>
                </c:pt>
                <c:pt idx="24">
                  <c:v>207</c:v>
                </c:pt>
                <c:pt idx="25">
                  <c:v>398</c:v>
                </c:pt>
                <c:pt idx="26">
                  <c:v>373</c:v>
                </c:pt>
                <c:pt idx="27">
                  <c:v>54</c:v>
                </c:pt>
                <c:pt idx="28">
                  <c:v>168</c:v>
                </c:pt>
                <c:pt idx="29">
                  <c:v>147</c:v>
                </c:pt>
                <c:pt idx="30">
                  <c:v>144</c:v>
                </c:pt>
                <c:pt idx="31">
                  <c:v>116</c:v>
                </c:pt>
                <c:pt idx="32">
                  <c:v>61</c:v>
                </c:pt>
                <c:pt idx="33">
                  <c:v>216</c:v>
                </c:pt>
                <c:pt idx="34">
                  <c:v>275</c:v>
                </c:pt>
                <c:pt idx="35">
                  <c:v>110</c:v>
                </c:pt>
                <c:pt idx="36">
                  <c:v>233</c:v>
                </c:pt>
                <c:pt idx="37">
                  <c:v>6</c:v>
                </c:pt>
                <c:pt idx="38">
                  <c:v>9</c:v>
                </c:pt>
                <c:pt idx="39">
                  <c:v>123</c:v>
                </c:pt>
                <c:pt idx="40">
                  <c:v>167</c:v>
                </c:pt>
                <c:pt idx="41">
                  <c:v>336</c:v>
                </c:pt>
                <c:pt idx="42">
                  <c:v>452</c:v>
                </c:pt>
                <c:pt idx="43">
                  <c:v>246</c:v>
                </c:pt>
                <c:pt idx="44">
                  <c:v>255</c:v>
                </c:pt>
                <c:pt idx="45">
                  <c:v>222</c:v>
                </c:pt>
                <c:pt idx="46">
                  <c:v>387</c:v>
                </c:pt>
                <c:pt idx="47">
                  <c:v>449</c:v>
                </c:pt>
                <c:pt idx="48">
                  <c:v>356</c:v>
                </c:pt>
                <c:pt idx="49">
                  <c:v>176</c:v>
                </c:pt>
                <c:pt idx="50">
                  <c:v>135</c:v>
                </c:pt>
                <c:pt idx="51">
                  <c:v>1</c:v>
                </c:pt>
                <c:pt idx="52">
                  <c:v>149</c:v>
                </c:pt>
                <c:pt idx="53">
                  <c:v>13</c:v>
                </c:pt>
                <c:pt idx="54">
                  <c:v>20</c:v>
                </c:pt>
                <c:pt idx="55">
                  <c:v>207</c:v>
                </c:pt>
                <c:pt idx="56">
                  <c:v>16</c:v>
                </c:pt>
                <c:pt idx="57">
                  <c:v>36</c:v>
                </c:pt>
                <c:pt idx="58">
                  <c:v>91</c:v>
                </c:pt>
                <c:pt idx="59">
                  <c:v>240</c:v>
                </c:pt>
                <c:pt idx="60">
                  <c:v>75</c:v>
                </c:pt>
                <c:pt idx="61">
                  <c:v>90</c:v>
                </c:pt>
                <c:pt idx="62">
                  <c:v>132</c:v>
                </c:pt>
                <c:pt idx="63">
                  <c:v>276</c:v>
                </c:pt>
                <c:pt idx="64">
                  <c:v>249</c:v>
                </c:pt>
                <c:pt idx="65">
                  <c:v>309</c:v>
                </c:pt>
                <c:pt idx="66">
                  <c:v>458</c:v>
                </c:pt>
                <c:pt idx="67">
                  <c:v>305</c:v>
                </c:pt>
                <c:pt idx="68">
                  <c:v>262</c:v>
                </c:pt>
                <c:pt idx="69">
                  <c:v>137</c:v>
                </c:pt>
                <c:pt idx="70">
                  <c:v>283</c:v>
                </c:pt>
                <c:pt idx="71">
                  <c:v>181</c:v>
                </c:pt>
                <c:pt idx="72">
                  <c:v>136</c:v>
                </c:pt>
                <c:pt idx="73">
                  <c:v>48</c:v>
                </c:pt>
                <c:pt idx="74">
                  <c:v>287</c:v>
                </c:pt>
                <c:pt idx="75">
                  <c:v>321</c:v>
                </c:pt>
                <c:pt idx="76">
                  <c:v>99</c:v>
                </c:pt>
                <c:pt idx="77">
                  <c:v>99</c:v>
                </c:pt>
                <c:pt idx="78">
                  <c:v>9</c:v>
                </c:pt>
                <c:pt idx="79">
                  <c:v>11</c:v>
                </c:pt>
                <c:pt idx="80">
                  <c:v>425</c:v>
                </c:pt>
                <c:pt idx="81">
                  <c:v>380</c:v>
                </c:pt>
                <c:pt idx="82">
                  <c:v>214</c:v>
                </c:pt>
                <c:pt idx="83">
                  <c:v>271</c:v>
                </c:pt>
                <c:pt idx="84">
                  <c:v>19</c:v>
                </c:pt>
                <c:pt idx="85">
                  <c:v>41</c:v>
                </c:pt>
                <c:pt idx="86">
                  <c:v>13</c:v>
                </c:pt>
                <c:pt idx="87">
                  <c:v>151</c:v>
                </c:pt>
                <c:pt idx="88">
                  <c:v>106</c:v>
                </c:pt>
                <c:pt idx="89">
                  <c:v>292</c:v>
                </c:pt>
                <c:pt idx="90">
                  <c:v>230</c:v>
                </c:pt>
                <c:pt idx="91">
                  <c:v>929</c:v>
                </c:pt>
                <c:pt idx="92">
                  <c:v>158</c:v>
                </c:pt>
                <c:pt idx="93">
                  <c:v>174</c:v>
                </c:pt>
                <c:pt idx="94">
                  <c:v>333</c:v>
                </c:pt>
                <c:pt idx="95">
                  <c:v>406</c:v>
                </c:pt>
                <c:pt idx="96">
                  <c:v>305</c:v>
                </c:pt>
                <c:pt idx="97">
                  <c:v>256</c:v>
                </c:pt>
                <c:pt idx="98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92768"/>
        <c:axId val="64994688"/>
      </c:scatterChart>
      <c:valAx>
        <c:axId val="64992768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Vertical SVF (Degrees)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4994688"/>
        <c:crosses val="autoZero"/>
        <c:crossBetween val="midCat"/>
      </c:valAx>
      <c:valAx>
        <c:axId val="649946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SVF Area (Degrees</a:t>
                </a:r>
                <a:r>
                  <a:rPr lang="en-US" sz="1000" b="1" i="0" baseline="30000">
                    <a:effectLst/>
                  </a:rPr>
                  <a:t>2</a:t>
                </a:r>
                <a:r>
                  <a:rPr lang="en-US" sz="1000" b="1" i="0" baseline="0">
                    <a:effectLst/>
                  </a:rPr>
                  <a:t>)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4992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MRD1 vs.</a:t>
            </a:r>
            <a:r>
              <a:rPr lang="en-US" baseline="0"/>
              <a:t> Vertical SVF change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SVF!$M$2:$M$100</c:f>
              <c:numCache>
                <c:formatCode>General</c:formatCod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1.25</c:v>
                </c:pt>
                <c:pt idx="10">
                  <c:v>1</c:v>
                </c:pt>
                <c:pt idx="11">
                  <c:v>-1</c:v>
                </c:pt>
                <c:pt idx="12">
                  <c:v>-1.75</c:v>
                </c:pt>
                <c:pt idx="13">
                  <c:v>1.5</c:v>
                </c:pt>
                <c:pt idx="14">
                  <c:v>1</c:v>
                </c:pt>
                <c:pt idx="15">
                  <c:v>2</c:v>
                </c:pt>
                <c:pt idx="16">
                  <c:v>1.75</c:v>
                </c:pt>
                <c:pt idx="17">
                  <c:v>1</c:v>
                </c:pt>
                <c:pt idx="18">
                  <c:v>2</c:v>
                </c:pt>
                <c:pt idx="19">
                  <c:v>1.5</c:v>
                </c:pt>
                <c:pt idx="20">
                  <c:v>1.5</c:v>
                </c:pt>
                <c:pt idx="21">
                  <c:v>1</c:v>
                </c:pt>
                <c:pt idx="22">
                  <c:v>0.5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2</c:v>
                </c:pt>
                <c:pt idx="37">
                  <c:v>0</c:v>
                </c:pt>
                <c:pt idx="38">
                  <c:v>-0.25</c:v>
                </c:pt>
                <c:pt idx="41">
                  <c:v>0</c:v>
                </c:pt>
                <c:pt idx="42">
                  <c:v>0</c:v>
                </c:pt>
                <c:pt idx="43">
                  <c:v>1.5</c:v>
                </c:pt>
                <c:pt idx="44">
                  <c:v>1</c:v>
                </c:pt>
                <c:pt idx="49">
                  <c:v>0.5</c:v>
                </c:pt>
                <c:pt idx="50">
                  <c:v>0.5</c:v>
                </c:pt>
                <c:pt idx="53">
                  <c:v>1</c:v>
                </c:pt>
                <c:pt idx="54">
                  <c:v>-0.5</c:v>
                </c:pt>
                <c:pt idx="55">
                  <c:v>1</c:v>
                </c:pt>
                <c:pt idx="56">
                  <c:v>1.5</c:v>
                </c:pt>
                <c:pt idx="57">
                  <c:v>0.5</c:v>
                </c:pt>
                <c:pt idx="58">
                  <c:v>0.5</c:v>
                </c:pt>
                <c:pt idx="61">
                  <c:v>3.5</c:v>
                </c:pt>
                <c:pt idx="62">
                  <c:v>4</c:v>
                </c:pt>
                <c:pt idx="63">
                  <c:v>2.75</c:v>
                </c:pt>
                <c:pt idx="64">
                  <c:v>3.75</c:v>
                </c:pt>
                <c:pt idx="65">
                  <c:v>4</c:v>
                </c:pt>
                <c:pt idx="66">
                  <c:v>2.5</c:v>
                </c:pt>
                <c:pt idx="67">
                  <c:v>4</c:v>
                </c:pt>
                <c:pt idx="68">
                  <c:v>3.5</c:v>
                </c:pt>
                <c:pt idx="69">
                  <c:v>2</c:v>
                </c:pt>
                <c:pt idx="70">
                  <c:v>2.5</c:v>
                </c:pt>
                <c:pt idx="71">
                  <c:v>2.5</c:v>
                </c:pt>
                <c:pt idx="72">
                  <c:v>0</c:v>
                </c:pt>
                <c:pt idx="73">
                  <c:v>1.5</c:v>
                </c:pt>
                <c:pt idx="74">
                  <c:v>1</c:v>
                </c:pt>
                <c:pt idx="75">
                  <c:v>2.25</c:v>
                </c:pt>
                <c:pt idx="76">
                  <c:v>4</c:v>
                </c:pt>
                <c:pt idx="77">
                  <c:v>4</c:v>
                </c:pt>
                <c:pt idx="78">
                  <c:v>5.5</c:v>
                </c:pt>
                <c:pt idx="79">
                  <c:v>6.5</c:v>
                </c:pt>
                <c:pt idx="80">
                  <c:v>2</c:v>
                </c:pt>
                <c:pt idx="81">
                  <c:v>1.5</c:v>
                </c:pt>
                <c:pt idx="82">
                  <c:v>2.5</c:v>
                </c:pt>
                <c:pt idx="83">
                  <c:v>1</c:v>
                </c:pt>
                <c:pt idx="84">
                  <c:v>5</c:v>
                </c:pt>
                <c:pt idx="85">
                  <c:v>5.25</c:v>
                </c:pt>
                <c:pt idx="86">
                  <c:v>5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3</c:v>
                </c:pt>
                <c:pt idx="92">
                  <c:v>4.5</c:v>
                </c:pt>
                <c:pt idx="93">
                  <c:v>2.5</c:v>
                </c:pt>
                <c:pt idx="94">
                  <c:v>2.5</c:v>
                </c:pt>
                <c:pt idx="95">
                  <c:v>1</c:v>
                </c:pt>
                <c:pt idx="96">
                  <c:v>1</c:v>
                </c:pt>
                <c:pt idx="97">
                  <c:v>3.5</c:v>
                </c:pt>
                <c:pt idx="98">
                  <c:v>3</c:v>
                </c:pt>
              </c:numCache>
            </c:numRef>
          </c:xVal>
          <c:yVal>
            <c:numRef>
              <c:f>SVF!$R$2:$R$100</c:f>
              <c:numCache>
                <c:formatCode>General</c:formatCode>
                <c:ptCount val="99"/>
                <c:pt idx="0">
                  <c:v>8.0999999999999979</c:v>
                </c:pt>
                <c:pt idx="1">
                  <c:v>11.299999999999999</c:v>
                </c:pt>
                <c:pt idx="2">
                  <c:v>-1</c:v>
                </c:pt>
                <c:pt idx="3">
                  <c:v>-3.3000000000000007</c:v>
                </c:pt>
                <c:pt idx="4">
                  <c:v>-4.2</c:v>
                </c:pt>
                <c:pt idx="5">
                  <c:v>-3.1999999999999993</c:v>
                </c:pt>
                <c:pt idx="6">
                  <c:v>16.5</c:v>
                </c:pt>
                <c:pt idx="7">
                  <c:v>14.3</c:v>
                </c:pt>
                <c:pt idx="8">
                  <c:v>22.4</c:v>
                </c:pt>
                <c:pt idx="9">
                  <c:v>22.799999999999997</c:v>
                </c:pt>
                <c:pt idx="10">
                  <c:v>-2.8</c:v>
                </c:pt>
                <c:pt idx="11">
                  <c:v>13.500000000000002</c:v>
                </c:pt>
                <c:pt idx="12">
                  <c:v>15.400000000000002</c:v>
                </c:pt>
                <c:pt idx="13">
                  <c:v>3.7000000000000011</c:v>
                </c:pt>
                <c:pt idx="14">
                  <c:v>7</c:v>
                </c:pt>
                <c:pt idx="15">
                  <c:v>13.2</c:v>
                </c:pt>
                <c:pt idx="16">
                  <c:v>8.9000000000000021</c:v>
                </c:pt>
                <c:pt idx="17">
                  <c:v>21</c:v>
                </c:pt>
                <c:pt idx="18">
                  <c:v>18.3</c:v>
                </c:pt>
                <c:pt idx="19">
                  <c:v>5.4</c:v>
                </c:pt>
                <c:pt idx="20">
                  <c:v>6.1000000000000014</c:v>
                </c:pt>
                <c:pt idx="21">
                  <c:v>13.2</c:v>
                </c:pt>
                <c:pt idx="22">
                  <c:v>20</c:v>
                </c:pt>
                <c:pt idx="23">
                  <c:v>13.299999999999999</c:v>
                </c:pt>
                <c:pt idx="24">
                  <c:v>20.700000000000003</c:v>
                </c:pt>
                <c:pt idx="25">
                  <c:v>4.3000000000000007</c:v>
                </c:pt>
                <c:pt idx="26">
                  <c:v>10.900000000000002</c:v>
                </c:pt>
                <c:pt idx="27">
                  <c:v>15.2</c:v>
                </c:pt>
                <c:pt idx="28">
                  <c:v>17.2</c:v>
                </c:pt>
                <c:pt idx="29">
                  <c:v>19.900000000000002</c:v>
                </c:pt>
                <c:pt idx="30">
                  <c:v>15.7</c:v>
                </c:pt>
                <c:pt idx="31">
                  <c:v>17.200000000000003</c:v>
                </c:pt>
                <c:pt idx="32">
                  <c:v>20.2</c:v>
                </c:pt>
                <c:pt idx="33">
                  <c:v>19.2</c:v>
                </c:pt>
                <c:pt idx="34">
                  <c:v>-1.4000000000000004</c:v>
                </c:pt>
                <c:pt idx="35">
                  <c:v>12.100000000000001</c:v>
                </c:pt>
                <c:pt idx="36">
                  <c:v>13.899999999999999</c:v>
                </c:pt>
                <c:pt idx="37">
                  <c:v>17</c:v>
                </c:pt>
                <c:pt idx="38">
                  <c:v>16.799999999999997</c:v>
                </c:pt>
                <c:pt idx="39">
                  <c:v>15.899999999999999</c:v>
                </c:pt>
                <c:pt idx="40">
                  <c:v>17.399999999999999</c:v>
                </c:pt>
                <c:pt idx="41">
                  <c:v>7.1</c:v>
                </c:pt>
                <c:pt idx="42">
                  <c:v>7.7000000000000011</c:v>
                </c:pt>
                <c:pt idx="43">
                  <c:v>18.600000000000001</c:v>
                </c:pt>
                <c:pt idx="44">
                  <c:v>15.700000000000001</c:v>
                </c:pt>
                <c:pt idx="45">
                  <c:v>10.399999999999999</c:v>
                </c:pt>
                <c:pt idx="46">
                  <c:v>1.9000000000000004</c:v>
                </c:pt>
                <c:pt idx="47" formatCode="0.00">
                  <c:v>-0.5</c:v>
                </c:pt>
                <c:pt idx="48" formatCode="0.00">
                  <c:v>5</c:v>
                </c:pt>
                <c:pt idx="49" formatCode="0.00">
                  <c:v>19.5</c:v>
                </c:pt>
                <c:pt idx="50" formatCode="0.00">
                  <c:v>18.8</c:v>
                </c:pt>
                <c:pt idx="51">
                  <c:v>16.899999999999999</c:v>
                </c:pt>
                <c:pt idx="52">
                  <c:v>17</c:v>
                </c:pt>
                <c:pt idx="53">
                  <c:v>23.1</c:v>
                </c:pt>
                <c:pt idx="54">
                  <c:v>23.3</c:v>
                </c:pt>
                <c:pt idx="55">
                  <c:v>12.7</c:v>
                </c:pt>
                <c:pt idx="56">
                  <c:v>23.7</c:v>
                </c:pt>
                <c:pt idx="57">
                  <c:v>15.4</c:v>
                </c:pt>
                <c:pt idx="58">
                  <c:v>16.400000000000002</c:v>
                </c:pt>
                <c:pt idx="59">
                  <c:v>28</c:v>
                </c:pt>
                <c:pt idx="60">
                  <c:v>26.6</c:v>
                </c:pt>
                <c:pt idx="61">
                  <c:v>19.200000000000003</c:v>
                </c:pt>
                <c:pt idx="62">
                  <c:v>15.4</c:v>
                </c:pt>
                <c:pt idx="63">
                  <c:v>15.600000000000001</c:v>
                </c:pt>
                <c:pt idx="64">
                  <c:v>12.400000000000002</c:v>
                </c:pt>
                <c:pt idx="65">
                  <c:v>9.7999999999999989</c:v>
                </c:pt>
                <c:pt idx="66">
                  <c:v>7.5999999999999979</c:v>
                </c:pt>
                <c:pt idx="67">
                  <c:v>18.600000000000001</c:v>
                </c:pt>
                <c:pt idx="68">
                  <c:v>11.600000000000001</c:v>
                </c:pt>
                <c:pt idx="69">
                  <c:v>16.200000000000003</c:v>
                </c:pt>
                <c:pt idx="70">
                  <c:v>8.9</c:v>
                </c:pt>
                <c:pt idx="71">
                  <c:v>12.400000000000002</c:v>
                </c:pt>
                <c:pt idx="72">
                  <c:v>7.8000000000000007</c:v>
                </c:pt>
                <c:pt idx="73">
                  <c:v>8.9</c:v>
                </c:pt>
                <c:pt idx="74">
                  <c:v>12.899999999999999</c:v>
                </c:pt>
                <c:pt idx="75">
                  <c:v>13.700000000000001</c:v>
                </c:pt>
                <c:pt idx="76">
                  <c:v>18.5</c:v>
                </c:pt>
                <c:pt idx="77">
                  <c:v>14.900000000000002</c:v>
                </c:pt>
                <c:pt idx="78">
                  <c:v>20.6</c:v>
                </c:pt>
                <c:pt idx="79">
                  <c:v>19.100000000000001</c:v>
                </c:pt>
                <c:pt idx="80">
                  <c:v>10.9</c:v>
                </c:pt>
                <c:pt idx="81">
                  <c:v>4.2000000000000011</c:v>
                </c:pt>
                <c:pt idx="82">
                  <c:v>15.7</c:v>
                </c:pt>
                <c:pt idx="83">
                  <c:v>9.6000000000000014</c:v>
                </c:pt>
                <c:pt idx="84">
                  <c:v>18.599999999999998</c:v>
                </c:pt>
                <c:pt idx="85">
                  <c:v>22.6</c:v>
                </c:pt>
                <c:pt idx="86">
                  <c:v>20.3</c:v>
                </c:pt>
                <c:pt idx="87">
                  <c:v>15.1</c:v>
                </c:pt>
                <c:pt idx="88">
                  <c:v>16.8</c:v>
                </c:pt>
                <c:pt idx="89">
                  <c:v>13.8</c:v>
                </c:pt>
                <c:pt idx="90">
                  <c:v>15.200000000000001</c:v>
                </c:pt>
                <c:pt idx="91">
                  <c:v>11</c:v>
                </c:pt>
                <c:pt idx="92">
                  <c:v>27.3</c:v>
                </c:pt>
                <c:pt idx="93">
                  <c:v>15.999999999999998</c:v>
                </c:pt>
                <c:pt idx="94">
                  <c:v>14.700000000000001</c:v>
                </c:pt>
                <c:pt idx="95">
                  <c:v>12.2</c:v>
                </c:pt>
                <c:pt idx="96">
                  <c:v>4.4000000000000004</c:v>
                </c:pt>
                <c:pt idx="97">
                  <c:v>13</c:v>
                </c:pt>
                <c:pt idx="98">
                  <c:v>21.599999999999998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78688"/>
        <c:axId val="64580224"/>
      </c:scatterChart>
      <c:valAx>
        <c:axId val="6457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580224"/>
        <c:crosses val="autoZero"/>
        <c:crossBetween val="midCat"/>
      </c:valAx>
      <c:valAx>
        <c:axId val="64580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5786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MRD1 vs. Vertical SVF</a:t>
            </a:r>
          </a:p>
        </c:rich>
      </c:tx>
      <c:layout>
        <c:manualLayout>
          <c:xMode val="edge"/>
          <c:yMode val="edge"/>
          <c:x val="0.11411304836895388"/>
          <c:y val="1.8058690744920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392950881139858E-2"/>
          <c:y val="0.12664427104625467"/>
          <c:w val="0.83371175063294078"/>
          <c:h val="0.79448427862995685"/>
        </c:manualLayout>
      </c:layout>
      <c:scatterChart>
        <c:scatterStyle val="lineMarker"/>
        <c:varyColors val="0"/>
        <c:ser>
          <c:idx val="0"/>
          <c:order val="0"/>
          <c:tx>
            <c:v>Blepharoplasty</c:v>
          </c:tx>
          <c:spPr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pPr>
              <a:gradFill rotWithShape="1">
                <a:gsLst>
                  <a:gs pos="0">
                    <a:schemeClr val="dk1">
                      <a:shade val="51000"/>
                      <a:satMod val="130000"/>
                    </a:schemeClr>
                  </a:gs>
                  <a:gs pos="80000">
                    <a:schemeClr val="dk1">
                      <a:shade val="93000"/>
                      <a:satMod val="130000"/>
                    </a:schemeClr>
                  </a:gs>
                  <a:gs pos="100000">
                    <a:schemeClr val="dk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/>
            </c:spPr>
            <c:trendlineType val="linear"/>
            <c:dispRSqr val="0"/>
            <c:dispEq val="0"/>
          </c:trendline>
          <c:xVal>
            <c:numRef>
              <c:f>SVF!$M$2:$M$62</c:f>
              <c:numCache>
                <c:formatCode>General</c:formatCode>
                <c:ptCount val="6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1.25</c:v>
                </c:pt>
                <c:pt idx="10">
                  <c:v>1</c:v>
                </c:pt>
                <c:pt idx="11">
                  <c:v>-1</c:v>
                </c:pt>
                <c:pt idx="12">
                  <c:v>-1.75</c:v>
                </c:pt>
                <c:pt idx="13">
                  <c:v>1.5</c:v>
                </c:pt>
                <c:pt idx="14">
                  <c:v>1</c:v>
                </c:pt>
                <c:pt idx="15">
                  <c:v>2</c:v>
                </c:pt>
                <c:pt idx="16">
                  <c:v>1.75</c:v>
                </c:pt>
                <c:pt idx="17">
                  <c:v>1</c:v>
                </c:pt>
                <c:pt idx="18">
                  <c:v>2</c:v>
                </c:pt>
                <c:pt idx="19">
                  <c:v>1.5</c:v>
                </c:pt>
                <c:pt idx="20">
                  <c:v>1.5</c:v>
                </c:pt>
                <c:pt idx="21">
                  <c:v>1</c:v>
                </c:pt>
                <c:pt idx="22">
                  <c:v>0.5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2</c:v>
                </c:pt>
                <c:pt idx="37">
                  <c:v>0</c:v>
                </c:pt>
                <c:pt idx="38">
                  <c:v>-0.25</c:v>
                </c:pt>
                <c:pt idx="41">
                  <c:v>0</c:v>
                </c:pt>
                <c:pt idx="42">
                  <c:v>0</c:v>
                </c:pt>
                <c:pt idx="43">
                  <c:v>1.5</c:v>
                </c:pt>
                <c:pt idx="44">
                  <c:v>1</c:v>
                </c:pt>
                <c:pt idx="49">
                  <c:v>0.5</c:v>
                </c:pt>
                <c:pt idx="50">
                  <c:v>0.5</c:v>
                </c:pt>
                <c:pt idx="53">
                  <c:v>1</c:v>
                </c:pt>
                <c:pt idx="54">
                  <c:v>-0.5</c:v>
                </c:pt>
                <c:pt idx="55">
                  <c:v>1</c:v>
                </c:pt>
                <c:pt idx="56">
                  <c:v>1.5</c:v>
                </c:pt>
                <c:pt idx="57">
                  <c:v>0.5</c:v>
                </c:pt>
                <c:pt idx="58">
                  <c:v>0.5</c:v>
                </c:pt>
              </c:numCache>
            </c:numRef>
          </c:xVal>
          <c:yVal>
            <c:numRef>
              <c:f>SVF!$R$2:$R$62</c:f>
              <c:numCache>
                <c:formatCode>General</c:formatCode>
                <c:ptCount val="61"/>
                <c:pt idx="0">
                  <c:v>8.0999999999999979</c:v>
                </c:pt>
                <c:pt idx="1">
                  <c:v>11.299999999999999</c:v>
                </c:pt>
                <c:pt idx="2">
                  <c:v>-1</c:v>
                </c:pt>
                <c:pt idx="3">
                  <c:v>-3.3000000000000007</c:v>
                </c:pt>
                <c:pt idx="4">
                  <c:v>-4.2</c:v>
                </c:pt>
                <c:pt idx="5">
                  <c:v>-3.1999999999999993</c:v>
                </c:pt>
                <c:pt idx="6">
                  <c:v>16.5</c:v>
                </c:pt>
                <c:pt idx="7">
                  <c:v>14.3</c:v>
                </c:pt>
                <c:pt idx="8">
                  <c:v>22.4</c:v>
                </c:pt>
                <c:pt idx="9">
                  <c:v>22.799999999999997</c:v>
                </c:pt>
                <c:pt idx="10">
                  <c:v>-2.8</c:v>
                </c:pt>
                <c:pt idx="11">
                  <c:v>13.500000000000002</c:v>
                </c:pt>
                <c:pt idx="12">
                  <c:v>15.400000000000002</c:v>
                </c:pt>
                <c:pt idx="13">
                  <c:v>3.7000000000000011</c:v>
                </c:pt>
                <c:pt idx="14">
                  <c:v>7</c:v>
                </c:pt>
                <c:pt idx="15">
                  <c:v>13.2</c:v>
                </c:pt>
                <c:pt idx="16">
                  <c:v>8.9000000000000021</c:v>
                </c:pt>
                <c:pt idx="17">
                  <c:v>21</c:v>
                </c:pt>
                <c:pt idx="18">
                  <c:v>18.3</c:v>
                </c:pt>
                <c:pt idx="19">
                  <c:v>5.4</c:v>
                </c:pt>
                <c:pt idx="20">
                  <c:v>6.1000000000000014</c:v>
                </c:pt>
                <c:pt idx="21">
                  <c:v>13.2</c:v>
                </c:pt>
                <c:pt idx="22">
                  <c:v>20</c:v>
                </c:pt>
                <c:pt idx="23">
                  <c:v>13.299999999999999</c:v>
                </c:pt>
                <c:pt idx="24">
                  <c:v>20.700000000000003</c:v>
                </c:pt>
                <c:pt idx="25">
                  <c:v>4.3000000000000007</c:v>
                </c:pt>
                <c:pt idx="26">
                  <c:v>10.900000000000002</c:v>
                </c:pt>
                <c:pt idx="27">
                  <c:v>15.2</c:v>
                </c:pt>
                <c:pt idx="28">
                  <c:v>17.2</c:v>
                </c:pt>
                <c:pt idx="29">
                  <c:v>19.900000000000002</c:v>
                </c:pt>
                <c:pt idx="30">
                  <c:v>15.7</c:v>
                </c:pt>
                <c:pt idx="31">
                  <c:v>17.200000000000003</c:v>
                </c:pt>
                <c:pt idx="32">
                  <c:v>20.2</c:v>
                </c:pt>
                <c:pt idx="33">
                  <c:v>19.2</c:v>
                </c:pt>
                <c:pt idx="34">
                  <c:v>-1.4000000000000004</c:v>
                </c:pt>
                <c:pt idx="35">
                  <c:v>12.100000000000001</c:v>
                </c:pt>
                <c:pt idx="36">
                  <c:v>13.899999999999999</c:v>
                </c:pt>
                <c:pt idx="37">
                  <c:v>17</c:v>
                </c:pt>
                <c:pt idx="38">
                  <c:v>16.799999999999997</c:v>
                </c:pt>
                <c:pt idx="39">
                  <c:v>15.899999999999999</c:v>
                </c:pt>
                <c:pt idx="40">
                  <c:v>17.399999999999999</c:v>
                </c:pt>
                <c:pt idx="41">
                  <c:v>7.1</c:v>
                </c:pt>
                <c:pt idx="42">
                  <c:v>7.7000000000000011</c:v>
                </c:pt>
                <c:pt idx="43">
                  <c:v>18.600000000000001</c:v>
                </c:pt>
                <c:pt idx="44">
                  <c:v>15.700000000000001</c:v>
                </c:pt>
                <c:pt idx="45">
                  <c:v>10.399999999999999</c:v>
                </c:pt>
                <c:pt idx="46">
                  <c:v>1.9000000000000004</c:v>
                </c:pt>
                <c:pt idx="47" formatCode="0.00">
                  <c:v>-0.5</c:v>
                </c:pt>
                <c:pt idx="48" formatCode="0.00">
                  <c:v>5</c:v>
                </c:pt>
                <c:pt idx="49" formatCode="0.00">
                  <c:v>19.5</c:v>
                </c:pt>
                <c:pt idx="50" formatCode="0.00">
                  <c:v>18.8</c:v>
                </c:pt>
                <c:pt idx="51">
                  <c:v>16.899999999999999</c:v>
                </c:pt>
                <c:pt idx="52">
                  <c:v>17</c:v>
                </c:pt>
                <c:pt idx="53">
                  <c:v>23.1</c:v>
                </c:pt>
                <c:pt idx="54">
                  <c:v>23.3</c:v>
                </c:pt>
                <c:pt idx="55">
                  <c:v>12.7</c:v>
                </c:pt>
                <c:pt idx="56">
                  <c:v>23.7</c:v>
                </c:pt>
                <c:pt idx="57">
                  <c:v>15.4</c:v>
                </c:pt>
                <c:pt idx="58">
                  <c:v>16.400000000000002</c:v>
                </c:pt>
                <c:pt idx="59">
                  <c:v>28</c:v>
                </c:pt>
                <c:pt idx="60">
                  <c:v>26.6</c:v>
                </c:pt>
              </c:numCache>
            </c:numRef>
          </c:yVal>
          <c:smooth val="0"/>
        </c:ser>
        <c:ser>
          <c:idx val="1"/>
          <c:order val="1"/>
          <c:tx>
            <c:v>Ptosis</c:v>
          </c:tx>
          <c:spPr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25400" cap="flat" cmpd="sng" algn="ctr">
                <a:solidFill>
                  <a:schemeClr val="dk1"/>
                </a:solidFill>
                <a:prstDash val="dash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0"/>
            <c:dispEq val="0"/>
          </c:trendline>
          <c:xVal>
            <c:numRef>
              <c:f>SVF!$M$63:$M$87</c:f>
              <c:numCache>
                <c:formatCode>General</c:formatCode>
                <c:ptCount val="25"/>
                <c:pt idx="0">
                  <c:v>3.5</c:v>
                </c:pt>
                <c:pt idx="1">
                  <c:v>4</c:v>
                </c:pt>
                <c:pt idx="2">
                  <c:v>2.75</c:v>
                </c:pt>
                <c:pt idx="3">
                  <c:v>3.75</c:v>
                </c:pt>
                <c:pt idx="4">
                  <c:v>4</c:v>
                </c:pt>
                <c:pt idx="5">
                  <c:v>2.5</c:v>
                </c:pt>
                <c:pt idx="6">
                  <c:v>4</c:v>
                </c:pt>
                <c:pt idx="7">
                  <c:v>3.5</c:v>
                </c:pt>
                <c:pt idx="8">
                  <c:v>2</c:v>
                </c:pt>
                <c:pt idx="9">
                  <c:v>2.5</c:v>
                </c:pt>
                <c:pt idx="10">
                  <c:v>2.5</c:v>
                </c:pt>
                <c:pt idx="11">
                  <c:v>0</c:v>
                </c:pt>
                <c:pt idx="12">
                  <c:v>1.5</c:v>
                </c:pt>
                <c:pt idx="13">
                  <c:v>1</c:v>
                </c:pt>
                <c:pt idx="14">
                  <c:v>2.25</c:v>
                </c:pt>
                <c:pt idx="15">
                  <c:v>4</c:v>
                </c:pt>
                <c:pt idx="16">
                  <c:v>4</c:v>
                </c:pt>
                <c:pt idx="17">
                  <c:v>5.5</c:v>
                </c:pt>
                <c:pt idx="18">
                  <c:v>6.5</c:v>
                </c:pt>
                <c:pt idx="19">
                  <c:v>2</c:v>
                </c:pt>
                <c:pt idx="20">
                  <c:v>1.5</c:v>
                </c:pt>
                <c:pt idx="21">
                  <c:v>2.5</c:v>
                </c:pt>
                <c:pt idx="22">
                  <c:v>1</c:v>
                </c:pt>
                <c:pt idx="23">
                  <c:v>5</c:v>
                </c:pt>
                <c:pt idx="24">
                  <c:v>5.25</c:v>
                </c:pt>
              </c:numCache>
            </c:numRef>
          </c:xVal>
          <c:yVal>
            <c:numRef>
              <c:f>SVF!$R$63:$R$87</c:f>
              <c:numCache>
                <c:formatCode>General</c:formatCode>
                <c:ptCount val="25"/>
                <c:pt idx="0">
                  <c:v>19.200000000000003</c:v>
                </c:pt>
                <c:pt idx="1">
                  <c:v>15.4</c:v>
                </c:pt>
                <c:pt idx="2">
                  <c:v>15.600000000000001</c:v>
                </c:pt>
                <c:pt idx="3">
                  <c:v>12.400000000000002</c:v>
                </c:pt>
                <c:pt idx="4">
                  <c:v>9.7999999999999989</c:v>
                </c:pt>
                <c:pt idx="5">
                  <c:v>7.5999999999999979</c:v>
                </c:pt>
                <c:pt idx="6">
                  <c:v>18.600000000000001</c:v>
                </c:pt>
                <c:pt idx="7">
                  <c:v>11.600000000000001</c:v>
                </c:pt>
                <c:pt idx="8">
                  <c:v>16.200000000000003</c:v>
                </c:pt>
                <c:pt idx="9">
                  <c:v>8.9</c:v>
                </c:pt>
                <c:pt idx="10">
                  <c:v>12.400000000000002</c:v>
                </c:pt>
                <c:pt idx="11">
                  <c:v>7.8000000000000007</c:v>
                </c:pt>
                <c:pt idx="12">
                  <c:v>8.9</c:v>
                </c:pt>
                <c:pt idx="13">
                  <c:v>12.899999999999999</c:v>
                </c:pt>
                <c:pt idx="14">
                  <c:v>13.700000000000001</c:v>
                </c:pt>
                <c:pt idx="15">
                  <c:v>18.5</c:v>
                </c:pt>
                <c:pt idx="16">
                  <c:v>14.900000000000002</c:v>
                </c:pt>
                <c:pt idx="17">
                  <c:v>20.6</c:v>
                </c:pt>
                <c:pt idx="18">
                  <c:v>19.100000000000001</c:v>
                </c:pt>
                <c:pt idx="19">
                  <c:v>10.9</c:v>
                </c:pt>
                <c:pt idx="20">
                  <c:v>4.2000000000000011</c:v>
                </c:pt>
                <c:pt idx="21">
                  <c:v>15.7</c:v>
                </c:pt>
                <c:pt idx="22">
                  <c:v>9.6000000000000014</c:v>
                </c:pt>
                <c:pt idx="23">
                  <c:v>18.599999999999998</c:v>
                </c:pt>
                <c:pt idx="24">
                  <c:v>22.6</c:v>
                </c:pt>
              </c:numCache>
            </c:numRef>
          </c:yVal>
          <c:smooth val="0"/>
        </c:ser>
        <c:ser>
          <c:idx val="2"/>
          <c:order val="2"/>
          <c:tx>
            <c:v>Both</c:v>
          </c:tx>
          <c:spPr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pPr>
              <a:noFill/>
              <a:ln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38100" cap="flat" cmpd="sng" algn="ctr">
                <a:solidFill>
                  <a:schemeClr val="dk1"/>
                </a:solidFill>
                <a:prstDash val="sysDot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trendlineType val="linear"/>
            <c:dispRSqr val="0"/>
            <c:dispEq val="0"/>
          </c:trendline>
          <c:xVal>
            <c:numRef>
              <c:f>SVF!$M$88:$M$100</c:f>
              <c:numCache>
                <c:formatCode>General</c:formatCode>
                <c:ptCount val="13"/>
                <c:pt idx="0">
                  <c:v>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3</c:v>
                </c:pt>
                <c:pt idx="6">
                  <c:v>4.5</c:v>
                </c:pt>
                <c:pt idx="7">
                  <c:v>2.5</c:v>
                </c:pt>
                <c:pt idx="8">
                  <c:v>2.5</c:v>
                </c:pt>
                <c:pt idx="9">
                  <c:v>1</c:v>
                </c:pt>
                <c:pt idx="10">
                  <c:v>1</c:v>
                </c:pt>
                <c:pt idx="11">
                  <c:v>3.5</c:v>
                </c:pt>
                <c:pt idx="12">
                  <c:v>3</c:v>
                </c:pt>
              </c:numCache>
            </c:numRef>
          </c:xVal>
          <c:yVal>
            <c:numRef>
              <c:f>SVF!$R$88:$R$100</c:f>
              <c:numCache>
                <c:formatCode>General</c:formatCode>
                <c:ptCount val="13"/>
                <c:pt idx="0">
                  <c:v>20.3</c:v>
                </c:pt>
                <c:pt idx="1">
                  <c:v>15.1</c:v>
                </c:pt>
                <c:pt idx="2">
                  <c:v>16.8</c:v>
                </c:pt>
                <c:pt idx="3">
                  <c:v>13.8</c:v>
                </c:pt>
                <c:pt idx="4">
                  <c:v>15.200000000000001</c:v>
                </c:pt>
                <c:pt idx="5">
                  <c:v>11</c:v>
                </c:pt>
                <c:pt idx="6">
                  <c:v>27.3</c:v>
                </c:pt>
                <c:pt idx="7">
                  <c:v>15.999999999999998</c:v>
                </c:pt>
                <c:pt idx="8">
                  <c:v>14.700000000000001</c:v>
                </c:pt>
                <c:pt idx="9">
                  <c:v>12.2</c:v>
                </c:pt>
                <c:pt idx="10">
                  <c:v>4.4000000000000004</c:v>
                </c:pt>
                <c:pt idx="11">
                  <c:v>13</c:v>
                </c:pt>
                <c:pt idx="12">
                  <c:v>21.599999999999998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18880"/>
        <c:axId val="65029248"/>
      </c:scatterChart>
      <c:valAx>
        <c:axId val="65018880"/>
        <c:scaling>
          <c:orientation val="minMax"/>
          <c:max val="8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Change</a:t>
                </a:r>
                <a:r>
                  <a:rPr lang="en-US" baseline="0"/>
                  <a:t> in MRD1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029248"/>
        <c:crosses val="autoZero"/>
        <c:crossBetween val="midCat"/>
      </c:valAx>
      <c:valAx>
        <c:axId val="65029248"/>
        <c:scaling>
          <c:orientation val="minMax"/>
          <c:min val="-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/>
                  <a:t>Change</a:t>
                </a:r>
                <a:r>
                  <a:rPr lang="en-US" sz="1000" baseline="0"/>
                  <a:t> in Vertical SVF (degrees)</a:t>
                </a:r>
                <a:endParaRPr lang="en-US" sz="1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018880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2352662996771422"/>
          <c:y val="0.61847437241902325"/>
          <c:w val="0.18378723898450747"/>
          <c:h val="0.1632768703009189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MRD1 vs. SVF Area</a:t>
            </a:r>
          </a:p>
        </c:rich>
      </c:tx>
      <c:layout>
        <c:manualLayout>
          <c:xMode val="edge"/>
          <c:yMode val="edge"/>
          <c:x val="0.11411304836895388"/>
          <c:y val="1.8058690744920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392950881139858E-2"/>
          <c:y val="0.12664427104625467"/>
          <c:w val="0.83371175063294078"/>
          <c:h val="0.79448427862995685"/>
        </c:manualLayout>
      </c:layout>
      <c:scatterChart>
        <c:scatterStyle val="lineMarker"/>
        <c:varyColors val="0"/>
        <c:ser>
          <c:idx val="0"/>
          <c:order val="0"/>
          <c:tx>
            <c:v>Blepharoplasty</c:v>
          </c:tx>
          <c:spPr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pPr>
              <a:gradFill rotWithShape="1">
                <a:gsLst>
                  <a:gs pos="0">
                    <a:schemeClr val="dk1">
                      <a:shade val="51000"/>
                      <a:satMod val="130000"/>
                    </a:schemeClr>
                  </a:gs>
                  <a:gs pos="80000">
                    <a:schemeClr val="dk1">
                      <a:shade val="93000"/>
                      <a:satMod val="130000"/>
                    </a:schemeClr>
                  </a:gs>
                  <a:gs pos="100000">
                    <a:schemeClr val="dk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/>
            </c:spPr>
            <c:trendlineType val="linear"/>
            <c:dispRSqr val="0"/>
            <c:dispEq val="0"/>
          </c:trendline>
          <c:xVal>
            <c:numRef>
              <c:f>SVF!$M$2:$M$62</c:f>
              <c:numCache>
                <c:formatCode>General</c:formatCode>
                <c:ptCount val="6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1.25</c:v>
                </c:pt>
                <c:pt idx="10">
                  <c:v>1</c:v>
                </c:pt>
                <c:pt idx="11">
                  <c:v>-1</c:v>
                </c:pt>
                <c:pt idx="12">
                  <c:v>-1.75</c:v>
                </c:pt>
                <c:pt idx="13">
                  <c:v>1.5</c:v>
                </c:pt>
                <c:pt idx="14">
                  <c:v>1</c:v>
                </c:pt>
                <c:pt idx="15">
                  <c:v>2</c:v>
                </c:pt>
                <c:pt idx="16">
                  <c:v>1.75</c:v>
                </c:pt>
                <c:pt idx="17">
                  <c:v>1</c:v>
                </c:pt>
                <c:pt idx="18">
                  <c:v>2</c:v>
                </c:pt>
                <c:pt idx="19">
                  <c:v>1.5</c:v>
                </c:pt>
                <c:pt idx="20">
                  <c:v>1.5</c:v>
                </c:pt>
                <c:pt idx="21">
                  <c:v>1</c:v>
                </c:pt>
                <c:pt idx="22">
                  <c:v>0.5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2</c:v>
                </c:pt>
                <c:pt idx="37">
                  <c:v>0</c:v>
                </c:pt>
                <c:pt idx="38">
                  <c:v>-0.25</c:v>
                </c:pt>
                <c:pt idx="41">
                  <c:v>0</c:v>
                </c:pt>
                <c:pt idx="42">
                  <c:v>0</c:v>
                </c:pt>
                <c:pt idx="43">
                  <c:v>1.5</c:v>
                </c:pt>
                <c:pt idx="44">
                  <c:v>1</c:v>
                </c:pt>
                <c:pt idx="49">
                  <c:v>0.5</c:v>
                </c:pt>
                <c:pt idx="50">
                  <c:v>0.5</c:v>
                </c:pt>
                <c:pt idx="53">
                  <c:v>1</c:v>
                </c:pt>
                <c:pt idx="54">
                  <c:v>-0.5</c:v>
                </c:pt>
                <c:pt idx="55">
                  <c:v>1</c:v>
                </c:pt>
                <c:pt idx="56">
                  <c:v>1.5</c:v>
                </c:pt>
                <c:pt idx="57">
                  <c:v>0.5</c:v>
                </c:pt>
                <c:pt idx="58">
                  <c:v>0.5</c:v>
                </c:pt>
              </c:numCache>
            </c:numRef>
          </c:xVal>
          <c:yVal>
            <c:numRef>
              <c:f>SVF!$T$2:$T$62</c:f>
              <c:numCache>
                <c:formatCode>General</c:formatCode>
                <c:ptCount val="61"/>
                <c:pt idx="0">
                  <c:v>659</c:v>
                </c:pt>
                <c:pt idx="1">
                  <c:v>741</c:v>
                </c:pt>
                <c:pt idx="2">
                  <c:v>128</c:v>
                </c:pt>
                <c:pt idx="3">
                  <c:v>45</c:v>
                </c:pt>
                <c:pt idx="4">
                  <c:v>-188</c:v>
                </c:pt>
                <c:pt idx="5">
                  <c:v>-145</c:v>
                </c:pt>
                <c:pt idx="6">
                  <c:v>650</c:v>
                </c:pt>
                <c:pt idx="7">
                  <c:v>532</c:v>
                </c:pt>
                <c:pt idx="8">
                  <c:v>921</c:v>
                </c:pt>
                <c:pt idx="9">
                  <c:v>895</c:v>
                </c:pt>
                <c:pt idx="10">
                  <c:v>-58</c:v>
                </c:pt>
                <c:pt idx="11">
                  <c:v>602</c:v>
                </c:pt>
                <c:pt idx="12">
                  <c:v>663</c:v>
                </c:pt>
                <c:pt idx="13">
                  <c:v>21</c:v>
                </c:pt>
                <c:pt idx="14">
                  <c:v>150</c:v>
                </c:pt>
                <c:pt idx="15">
                  <c:v>486</c:v>
                </c:pt>
                <c:pt idx="16">
                  <c:v>385</c:v>
                </c:pt>
                <c:pt idx="17">
                  <c:v>729</c:v>
                </c:pt>
                <c:pt idx="18">
                  <c:v>694</c:v>
                </c:pt>
                <c:pt idx="19">
                  <c:v>430</c:v>
                </c:pt>
                <c:pt idx="20">
                  <c:v>606</c:v>
                </c:pt>
                <c:pt idx="21">
                  <c:v>644</c:v>
                </c:pt>
                <c:pt idx="22">
                  <c:v>888</c:v>
                </c:pt>
                <c:pt idx="23">
                  <c:v>589</c:v>
                </c:pt>
                <c:pt idx="24">
                  <c:v>734</c:v>
                </c:pt>
                <c:pt idx="25">
                  <c:v>382</c:v>
                </c:pt>
                <c:pt idx="26">
                  <c:v>559</c:v>
                </c:pt>
                <c:pt idx="27">
                  <c:v>549</c:v>
                </c:pt>
                <c:pt idx="28">
                  <c:v>769</c:v>
                </c:pt>
                <c:pt idx="29">
                  <c:v>699</c:v>
                </c:pt>
                <c:pt idx="30">
                  <c:v>675</c:v>
                </c:pt>
                <c:pt idx="31">
                  <c:v>511</c:v>
                </c:pt>
                <c:pt idx="32">
                  <c:v>716</c:v>
                </c:pt>
                <c:pt idx="33">
                  <c:v>740</c:v>
                </c:pt>
                <c:pt idx="34">
                  <c:v>-163</c:v>
                </c:pt>
                <c:pt idx="35">
                  <c:v>643</c:v>
                </c:pt>
                <c:pt idx="36">
                  <c:v>788</c:v>
                </c:pt>
                <c:pt idx="37">
                  <c:v>592</c:v>
                </c:pt>
                <c:pt idx="38">
                  <c:v>611</c:v>
                </c:pt>
                <c:pt idx="39">
                  <c:v>736</c:v>
                </c:pt>
                <c:pt idx="40">
                  <c:v>705</c:v>
                </c:pt>
                <c:pt idx="41">
                  <c:v>318</c:v>
                </c:pt>
                <c:pt idx="42">
                  <c:v>252</c:v>
                </c:pt>
                <c:pt idx="43">
                  <c:v>1040</c:v>
                </c:pt>
                <c:pt idx="44">
                  <c:v>1055</c:v>
                </c:pt>
                <c:pt idx="45">
                  <c:v>375</c:v>
                </c:pt>
                <c:pt idx="46">
                  <c:v>107</c:v>
                </c:pt>
                <c:pt idx="47">
                  <c:v>-117</c:v>
                </c:pt>
                <c:pt idx="48">
                  <c:v>86</c:v>
                </c:pt>
                <c:pt idx="49">
                  <c:v>715</c:v>
                </c:pt>
                <c:pt idx="50">
                  <c:v>865</c:v>
                </c:pt>
                <c:pt idx="51">
                  <c:v>855</c:v>
                </c:pt>
                <c:pt idx="52">
                  <c:v>740</c:v>
                </c:pt>
                <c:pt idx="53">
                  <c:v>938</c:v>
                </c:pt>
                <c:pt idx="54">
                  <c:v>954</c:v>
                </c:pt>
                <c:pt idx="55">
                  <c:v>652</c:v>
                </c:pt>
                <c:pt idx="56">
                  <c:v>984</c:v>
                </c:pt>
                <c:pt idx="57">
                  <c:v>845</c:v>
                </c:pt>
                <c:pt idx="58">
                  <c:v>868</c:v>
                </c:pt>
                <c:pt idx="59">
                  <c:v>1103</c:v>
                </c:pt>
                <c:pt idx="60">
                  <c:v>1124</c:v>
                </c:pt>
              </c:numCache>
            </c:numRef>
          </c:yVal>
          <c:smooth val="0"/>
        </c:ser>
        <c:ser>
          <c:idx val="1"/>
          <c:order val="1"/>
          <c:tx>
            <c:v>Ptosis</c:v>
          </c:tx>
          <c:spPr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25400" cap="flat" cmpd="sng" algn="ctr">
                <a:solidFill>
                  <a:schemeClr val="dk1"/>
                </a:solidFill>
                <a:prstDash val="dash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0"/>
            <c:dispEq val="0"/>
          </c:trendline>
          <c:xVal>
            <c:numRef>
              <c:f>SVF!$M$63:$M$87</c:f>
              <c:numCache>
                <c:formatCode>General</c:formatCode>
                <c:ptCount val="25"/>
                <c:pt idx="0">
                  <c:v>3.5</c:v>
                </c:pt>
                <c:pt idx="1">
                  <c:v>4</c:v>
                </c:pt>
                <c:pt idx="2">
                  <c:v>2.75</c:v>
                </c:pt>
                <c:pt idx="3">
                  <c:v>3.75</c:v>
                </c:pt>
                <c:pt idx="4">
                  <c:v>4</c:v>
                </c:pt>
                <c:pt idx="5">
                  <c:v>2.5</c:v>
                </c:pt>
                <c:pt idx="6">
                  <c:v>4</c:v>
                </c:pt>
                <c:pt idx="7">
                  <c:v>3.5</c:v>
                </c:pt>
                <c:pt idx="8">
                  <c:v>2</c:v>
                </c:pt>
                <c:pt idx="9">
                  <c:v>2.5</c:v>
                </c:pt>
                <c:pt idx="10">
                  <c:v>2.5</c:v>
                </c:pt>
                <c:pt idx="11">
                  <c:v>0</c:v>
                </c:pt>
                <c:pt idx="12">
                  <c:v>1.5</c:v>
                </c:pt>
                <c:pt idx="13">
                  <c:v>1</c:v>
                </c:pt>
                <c:pt idx="14">
                  <c:v>2.25</c:v>
                </c:pt>
                <c:pt idx="15">
                  <c:v>4</c:v>
                </c:pt>
                <c:pt idx="16">
                  <c:v>4</c:v>
                </c:pt>
                <c:pt idx="17">
                  <c:v>5.5</c:v>
                </c:pt>
                <c:pt idx="18">
                  <c:v>6.5</c:v>
                </c:pt>
                <c:pt idx="19">
                  <c:v>2</c:v>
                </c:pt>
                <c:pt idx="20">
                  <c:v>1.5</c:v>
                </c:pt>
                <c:pt idx="21">
                  <c:v>2.5</c:v>
                </c:pt>
                <c:pt idx="22">
                  <c:v>1</c:v>
                </c:pt>
                <c:pt idx="23">
                  <c:v>5</c:v>
                </c:pt>
                <c:pt idx="24">
                  <c:v>5.25</c:v>
                </c:pt>
              </c:numCache>
            </c:numRef>
          </c:xVal>
          <c:yVal>
            <c:numRef>
              <c:f>SVF!$T$63:$T$87</c:f>
              <c:numCache>
                <c:formatCode>General</c:formatCode>
                <c:ptCount val="25"/>
                <c:pt idx="0">
                  <c:v>927</c:v>
                </c:pt>
                <c:pt idx="1">
                  <c:v>800</c:v>
                </c:pt>
                <c:pt idx="2">
                  <c:v>501</c:v>
                </c:pt>
                <c:pt idx="3">
                  <c:v>644</c:v>
                </c:pt>
                <c:pt idx="4">
                  <c:v>583</c:v>
                </c:pt>
                <c:pt idx="5">
                  <c:v>513</c:v>
                </c:pt>
                <c:pt idx="6">
                  <c:v>702</c:v>
                </c:pt>
                <c:pt idx="7">
                  <c:v>644</c:v>
                </c:pt>
                <c:pt idx="8">
                  <c:v>737</c:v>
                </c:pt>
                <c:pt idx="9">
                  <c:v>498</c:v>
                </c:pt>
                <c:pt idx="10">
                  <c:v>701</c:v>
                </c:pt>
                <c:pt idx="11">
                  <c:v>162</c:v>
                </c:pt>
                <c:pt idx="12">
                  <c:v>98</c:v>
                </c:pt>
                <c:pt idx="13">
                  <c:v>667</c:v>
                </c:pt>
                <c:pt idx="14">
                  <c:v>638</c:v>
                </c:pt>
                <c:pt idx="15">
                  <c:v>892</c:v>
                </c:pt>
                <c:pt idx="16">
                  <c:v>875</c:v>
                </c:pt>
                <c:pt idx="17">
                  <c:v>841</c:v>
                </c:pt>
                <c:pt idx="18">
                  <c:v>707</c:v>
                </c:pt>
                <c:pt idx="19">
                  <c:v>521</c:v>
                </c:pt>
                <c:pt idx="20">
                  <c:v>-40</c:v>
                </c:pt>
                <c:pt idx="21">
                  <c:v>687</c:v>
                </c:pt>
                <c:pt idx="22">
                  <c:v>796</c:v>
                </c:pt>
                <c:pt idx="23">
                  <c:v>942</c:v>
                </c:pt>
                <c:pt idx="24">
                  <c:v>996</c:v>
                </c:pt>
              </c:numCache>
            </c:numRef>
          </c:yVal>
          <c:smooth val="0"/>
        </c:ser>
        <c:ser>
          <c:idx val="2"/>
          <c:order val="2"/>
          <c:tx>
            <c:v>Both</c:v>
          </c:tx>
          <c:spPr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pPr>
              <a:noFill/>
              <a:ln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38100" cap="flat" cmpd="sng" algn="ctr">
                <a:solidFill>
                  <a:schemeClr val="dk1"/>
                </a:solidFill>
                <a:prstDash val="sysDot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trendlineType val="linear"/>
            <c:dispRSqr val="0"/>
            <c:dispEq val="0"/>
          </c:trendline>
          <c:xVal>
            <c:numRef>
              <c:f>SVF!$M$88:$M$100</c:f>
              <c:numCache>
                <c:formatCode>General</c:formatCode>
                <c:ptCount val="13"/>
                <c:pt idx="0">
                  <c:v>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3</c:v>
                </c:pt>
                <c:pt idx="6">
                  <c:v>4.5</c:v>
                </c:pt>
                <c:pt idx="7">
                  <c:v>2.5</c:v>
                </c:pt>
                <c:pt idx="8">
                  <c:v>2.5</c:v>
                </c:pt>
                <c:pt idx="9">
                  <c:v>1</c:v>
                </c:pt>
                <c:pt idx="10">
                  <c:v>1</c:v>
                </c:pt>
                <c:pt idx="11">
                  <c:v>3.5</c:v>
                </c:pt>
                <c:pt idx="12">
                  <c:v>3</c:v>
                </c:pt>
              </c:numCache>
            </c:numRef>
          </c:xVal>
          <c:yVal>
            <c:numRef>
              <c:f>SVF!$T$88:$T$100</c:f>
              <c:numCache>
                <c:formatCode>General</c:formatCode>
                <c:ptCount val="13"/>
                <c:pt idx="0">
                  <c:v>675</c:v>
                </c:pt>
                <c:pt idx="1">
                  <c:v>540</c:v>
                </c:pt>
                <c:pt idx="2">
                  <c:v>770</c:v>
                </c:pt>
                <c:pt idx="3">
                  <c:v>904</c:v>
                </c:pt>
                <c:pt idx="4">
                  <c:v>893</c:v>
                </c:pt>
                <c:pt idx="5">
                  <c:v>575</c:v>
                </c:pt>
                <c:pt idx="6">
                  <c:v>1373</c:v>
                </c:pt>
                <c:pt idx="7">
                  <c:v>721</c:v>
                </c:pt>
                <c:pt idx="8">
                  <c:v>570</c:v>
                </c:pt>
                <c:pt idx="9">
                  <c:v>466</c:v>
                </c:pt>
                <c:pt idx="10">
                  <c:v>276</c:v>
                </c:pt>
                <c:pt idx="11">
                  <c:v>627</c:v>
                </c:pt>
                <c:pt idx="12">
                  <c:v>799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10784"/>
        <c:axId val="65112704"/>
      </c:scatterChart>
      <c:valAx>
        <c:axId val="65110784"/>
        <c:scaling>
          <c:orientation val="minMax"/>
          <c:max val="8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Change</a:t>
                </a:r>
                <a:r>
                  <a:rPr lang="en-US" baseline="0"/>
                  <a:t> in MRD1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112704"/>
        <c:crosses val="autoZero"/>
        <c:crossBetween val="midCat"/>
      </c:valAx>
      <c:valAx>
        <c:axId val="65112704"/>
        <c:scaling>
          <c:orientation val="minMax"/>
          <c:max val="14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/>
                  <a:t>Change</a:t>
                </a:r>
                <a:r>
                  <a:rPr lang="en-US" sz="1000" baseline="0"/>
                  <a:t> in SVF Area (degrees</a:t>
                </a:r>
                <a:r>
                  <a:rPr lang="en-US" sz="1000" baseline="30000"/>
                  <a:t>2</a:t>
                </a:r>
                <a:r>
                  <a:rPr lang="en-US" sz="1000" baseline="0"/>
                  <a:t>)</a:t>
                </a:r>
                <a:endParaRPr lang="en-US" sz="1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110784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2352662996771422"/>
          <c:y val="0.71177760793444833"/>
          <c:w val="0.18378723898450747"/>
          <c:h val="0.1632768703009189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3200" dirty="0"/>
              <a:t>Test</a:t>
            </a:r>
            <a:r>
              <a:rPr lang="en-US" sz="3200" baseline="0" dirty="0"/>
              <a:t> Duration</a:t>
            </a:r>
            <a:endParaRPr lang="en-US" sz="3200" dirty="0"/>
          </a:p>
        </c:rich>
      </c:tx>
      <c:layout>
        <c:manualLayout>
          <c:xMode val="edge"/>
          <c:yMode val="edge"/>
          <c:x val="0.35749596204320616"/>
          <c:y val="1.495726495726495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800"/>
                    </a:pPr>
                    <a:r>
                      <a:rPr lang="en-US" dirty="0" smtClean="0"/>
                      <a:t>6:23</a:t>
                    </a:r>
                    <a:endParaRPr lang="en-US" dirty="0"/>
                  </a:p>
                </c:rich>
              </c:tx>
              <c:numFmt formatCode="#,##0.00" sourceLinked="0"/>
              <c:spPr/>
              <c:dLblPos val="inBase"/>
              <c:showLegendKey val="0"/>
              <c:showVal val="1"/>
              <c:showCatName val="1"/>
              <c:showSerName val="1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1"/>
            <c:showPercent val="0"/>
            <c:showBubbleSize val="0"/>
            <c:showLeaderLines val="0"/>
          </c:dLbls>
          <c:errBars>
            <c:errBarType val="plus"/>
            <c:errValType val="cust"/>
            <c:noEndCap val="0"/>
            <c:plus>
              <c:numRef>
                <c:f>'TVF Times'!$K$9</c:f>
                <c:numCache>
                  <c:formatCode>General</c:formatCode>
                  <c:ptCount val="1"/>
                  <c:pt idx="0">
                    <c:v>3.47</c:v>
                  </c:pt>
                </c:numCache>
              </c:numRef>
            </c:plus>
            <c:minus>
              <c:numRef>
                <c:f>'TVF Times'!$K$9</c:f>
                <c:numCache>
                  <c:formatCode>General</c:formatCode>
                  <c:ptCount val="1"/>
                  <c:pt idx="0">
                    <c:v>3.47</c:v>
                  </c:pt>
                </c:numCache>
              </c:numRef>
            </c:minus>
          </c:errBars>
          <c:val>
            <c:numRef>
              <c:f>'TVF Times'!$L$9</c:f>
              <c:numCache>
                <c:formatCode>0.00</c:formatCode>
                <c:ptCount val="1"/>
                <c:pt idx="0">
                  <c:v>6.23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dirty="0" smtClean="0"/>
                      <a:t>12:10</a:t>
                    </a:r>
                    <a:endParaRPr lang="en-US" dirty="0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8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plus"/>
            <c:errValType val="cust"/>
            <c:noEndCap val="0"/>
            <c:plus>
              <c:numRef>
                <c:f>'TVF Times'!$K$10</c:f>
                <c:numCache>
                  <c:formatCode>General</c:formatCode>
                  <c:ptCount val="1"/>
                  <c:pt idx="0">
                    <c:v>2.9</c:v>
                  </c:pt>
                </c:numCache>
              </c:numRef>
            </c:plus>
            <c:minus>
              <c:numRef>
                <c:f>'TVF Times'!$K$10</c:f>
                <c:numCache>
                  <c:formatCode>General</c:formatCode>
                  <c:ptCount val="1"/>
                  <c:pt idx="0">
                    <c:v>2.9</c:v>
                  </c:pt>
                </c:numCache>
              </c:numRef>
            </c:minus>
          </c:errBars>
          <c:val>
            <c:numRef>
              <c:f>'TVF Times'!$L$10</c:f>
              <c:numCache>
                <c:formatCode>0.00</c:formatCode>
                <c:ptCount val="1"/>
                <c:pt idx="0">
                  <c:v>12.1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dirty="0" smtClean="0"/>
                      <a:t>18:50</a:t>
                    </a:r>
                    <a:endParaRPr lang="en-US" dirty="0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800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plus"/>
            <c:errValType val="cust"/>
            <c:noEndCap val="0"/>
            <c:plus>
              <c:numRef>
                <c:f>'TVF Times'!$K$11</c:f>
                <c:numCache>
                  <c:formatCode>General</c:formatCode>
                  <c:ptCount val="1"/>
                  <c:pt idx="0">
                    <c:v>3.8</c:v>
                  </c:pt>
                </c:numCache>
              </c:numRef>
            </c:plus>
            <c:minus>
              <c:numRef>
                <c:f>'TVF Times'!$K$11</c:f>
                <c:numCache>
                  <c:formatCode>General</c:formatCode>
                  <c:ptCount val="1"/>
                  <c:pt idx="0">
                    <c:v>3.8</c:v>
                  </c:pt>
                </c:numCache>
              </c:numRef>
            </c:minus>
          </c:errBars>
          <c:val>
            <c:numRef>
              <c:f>'TVF Times'!$L$11</c:f>
              <c:numCache>
                <c:formatCode>0.00</c:formatCode>
                <c:ptCount val="1"/>
                <c:pt idx="0">
                  <c:v>18.5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697856"/>
        <c:axId val="64699776"/>
      </c:barChart>
      <c:catAx>
        <c:axId val="64697856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2800" dirty="0"/>
                  <a:t>Visual Field Type</a:t>
                </a:r>
              </a:p>
            </c:rich>
          </c:tx>
          <c:layout>
            <c:manualLayout>
              <c:xMode val="edge"/>
              <c:yMode val="edge"/>
              <c:x val="0.40041149303452456"/>
              <c:y val="0.92134942269879994"/>
            </c:manualLayout>
          </c:layout>
          <c:overlay val="0"/>
        </c:title>
        <c:majorTickMark val="out"/>
        <c:minorTickMark val="none"/>
        <c:tickLblPos val="nextTo"/>
        <c:crossAx val="64699776"/>
        <c:crosses val="autoZero"/>
        <c:auto val="1"/>
        <c:lblAlgn val="ctr"/>
        <c:lblOffset val="100"/>
        <c:noMultiLvlLbl val="0"/>
      </c:catAx>
      <c:valAx>
        <c:axId val="64699776"/>
        <c:scaling>
          <c:orientation val="minMax"/>
          <c:max val="2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800" dirty="0"/>
                  <a:t>Time</a:t>
                </a:r>
                <a:r>
                  <a:rPr lang="en-US" sz="2800" baseline="0" dirty="0"/>
                  <a:t> (Minutes)</a:t>
                </a:r>
                <a:endParaRPr lang="en-US" sz="2800" dirty="0"/>
              </a:p>
            </c:rich>
          </c:tx>
          <c:layout>
            <c:manualLayout>
              <c:xMode val="edge"/>
              <c:yMode val="edge"/>
              <c:x val="1.3888888888888888E-2"/>
              <c:y val="0.2908468212306795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6469785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Equipment Costs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44174158412794"/>
          <c:y val="0.1598666583699605"/>
          <c:w val="0.86233433123166481"/>
          <c:h val="0.66126852249623957"/>
        </c:manualLayout>
      </c:layout>
      <c:barChart>
        <c:barDir val="col"/>
        <c:grouping val="clustered"/>
        <c:varyColors val="0"/>
        <c:ser>
          <c:idx val="0"/>
          <c:order val="0"/>
          <c:tx>
            <c:v>Tangent</c:v>
          </c:tx>
          <c:spPr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Costs!$B$2</c:f>
              <c:numCache>
                <c:formatCode>General</c:formatCode>
                <c:ptCount val="1"/>
                <c:pt idx="0">
                  <c:v>250</c:v>
                </c:pt>
              </c:numCache>
            </c:numRef>
          </c:val>
        </c:ser>
        <c:ser>
          <c:idx val="1"/>
          <c:order val="1"/>
          <c:tx>
            <c:v>Goldmann</c:v>
          </c:tx>
          <c:invertIfNegative val="0"/>
          <c:val>
            <c:numRef>
              <c:f>Costs!$C$2</c:f>
              <c:numCache>
                <c:formatCode>General</c:formatCode>
                <c:ptCount val="1"/>
                <c:pt idx="0">
                  <c:v>300</c:v>
                </c:pt>
              </c:numCache>
            </c:numRef>
          </c:val>
        </c:ser>
        <c:ser>
          <c:idx val="2"/>
          <c:order val="2"/>
          <c:tx>
            <c:v>Humphrey</c:v>
          </c:tx>
          <c:invertIfNegative val="0"/>
          <c:val>
            <c:numRef>
              <c:f>Costs!$D$2</c:f>
              <c:numCache>
                <c:formatCode>General</c:formatCode>
                <c:ptCount val="1"/>
                <c:pt idx="0">
                  <c:v>13000</c:v>
                </c:pt>
              </c:numCache>
            </c:numRef>
          </c:val>
        </c:ser>
        <c:ser>
          <c:idx val="3"/>
          <c:order val="3"/>
          <c:tx>
            <c:v>Octopus</c:v>
          </c:tx>
          <c:invertIfNegative val="0"/>
          <c:val>
            <c:numRef>
              <c:f>Costs!$E$2</c:f>
              <c:numCache>
                <c:formatCode>General</c:formatCode>
                <c:ptCount val="1"/>
                <c:pt idx="0">
                  <c:v>26000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93216"/>
        <c:axId val="64803584"/>
      </c:barChart>
      <c:catAx>
        <c:axId val="6479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Type of Visual</a:t>
                </a:r>
                <a:r>
                  <a:rPr lang="en-US" baseline="0"/>
                  <a:t> Field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148591491659028"/>
              <c:y val="0.8963239807915297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crossAx val="64803584"/>
        <c:crosses val="autoZero"/>
        <c:auto val="1"/>
        <c:lblAlgn val="ctr"/>
        <c:lblOffset val="200"/>
        <c:noMultiLvlLbl val="0"/>
      </c:catAx>
      <c:valAx>
        <c:axId val="648035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 (Thousands</a:t>
                </a:r>
                <a:r>
                  <a:rPr lang="en-US" baseline="0"/>
                  <a:t> of </a:t>
                </a:r>
                <a:r>
                  <a:rPr lang="en-US"/>
                  <a:t>Dollars)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4793216"/>
        <c:crossesAt val="1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106588</xdr:colOff>
      <xdr:row>38</xdr:row>
      <xdr:rowOff>22678</xdr:rowOff>
    </xdr:from>
    <xdr:to>
      <xdr:col>34</xdr:col>
      <xdr:colOff>589642</xdr:colOff>
      <xdr:row>54</xdr:row>
      <xdr:rowOff>10884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529317</xdr:colOff>
      <xdr:row>3</xdr:row>
      <xdr:rowOff>159205</xdr:rowOff>
    </xdr:from>
    <xdr:to>
      <xdr:col>35</xdr:col>
      <xdr:colOff>205467</xdr:colOff>
      <xdr:row>18</xdr:row>
      <xdr:rowOff>10888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555626</xdr:colOff>
      <xdr:row>22</xdr:row>
      <xdr:rowOff>45357</xdr:rowOff>
    </xdr:from>
    <xdr:to>
      <xdr:col>35</xdr:col>
      <xdr:colOff>229054</xdr:colOff>
      <xdr:row>36</xdr:row>
      <xdr:rowOff>89807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47625</xdr:colOff>
      <xdr:row>56</xdr:row>
      <xdr:rowOff>9525</xdr:rowOff>
    </xdr:from>
    <xdr:to>
      <xdr:col>35</xdr:col>
      <xdr:colOff>352425</xdr:colOff>
      <xdr:row>70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29</xdr:col>
      <xdr:colOff>371475</xdr:colOff>
      <xdr:row>58</xdr:row>
      <xdr:rowOff>142875</xdr:rowOff>
    </xdr:from>
    <xdr:ext cx="617926" cy="264560"/>
    <xdr:sp macro="" textlink="">
      <xdr:nvSpPr>
        <xdr:cNvPr id="6" name="TextBox 5"/>
        <xdr:cNvSpPr txBox="1"/>
      </xdr:nvSpPr>
      <xdr:spPr>
        <a:xfrm>
          <a:off x="26231850" y="11191875"/>
          <a:ext cx="61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r</a:t>
          </a:r>
          <a:r>
            <a:rPr lang="en-US" sz="1100" baseline="0"/>
            <a:t> = 0.87</a:t>
          </a:r>
          <a:endParaRPr lang="en-US" sz="1100"/>
        </a:p>
      </xdr:txBody>
    </xdr:sp>
    <xdr:clientData/>
  </xdr:oneCellAnchor>
  <xdr:twoCellAnchor>
    <xdr:from>
      <xdr:col>28</xdr:col>
      <xdr:colOff>28575</xdr:colOff>
      <xdr:row>72</xdr:row>
      <xdr:rowOff>85725</xdr:rowOff>
    </xdr:from>
    <xdr:to>
      <xdr:col>35</xdr:col>
      <xdr:colOff>333375</xdr:colOff>
      <xdr:row>86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46</xdr:col>
      <xdr:colOff>161924</xdr:colOff>
      <xdr:row>67</xdr:row>
      <xdr:rowOff>171450</xdr:rowOff>
    </xdr:from>
    <xdr:to>
      <xdr:col>55</xdr:col>
      <xdr:colOff>57149</xdr:colOff>
      <xdr:row>90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55</xdr:col>
      <xdr:colOff>285750</xdr:colOff>
      <xdr:row>68</xdr:row>
      <xdr:rowOff>38100</xdr:rowOff>
    </xdr:from>
    <xdr:to>
      <xdr:col>64</xdr:col>
      <xdr:colOff>180975</xdr:colOff>
      <xdr:row>90</xdr:row>
      <xdr:rowOff>57150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0.17634</cdr:x>
      <cdr:y>0.14909</cdr:y>
    </cdr:from>
    <cdr:to>
      <cdr:x>0.4814</cdr:x>
      <cdr:y>0.24416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3031" y="458070"/>
          <a:ext cx="1268127" cy="292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r=0.92 (CI=0.87-0.95)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0.51909</cdr:x>
      <cdr:y>0.60948</cdr:y>
    </cdr:from>
    <cdr:to>
      <cdr:x>0.72088</cdr:x>
      <cdr:y>0.82619</cdr:y>
    </cdr:to>
    <cdr:grpSp>
      <cdr:nvGrpSpPr>
        <cdr:cNvPr id="20" name="Group 19"/>
        <cdr:cNvGrpSpPr/>
      </cdr:nvGrpSpPr>
      <cdr:grpSpPr>
        <a:xfrm xmlns:a="http://schemas.openxmlformats.org/drawingml/2006/main">
          <a:off x="2793548" y="2571747"/>
          <a:ext cx="1085958" cy="914424"/>
          <a:chOff x="3105150" y="2124075"/>
          <a:chExt cx="1076325" cy="914400"/>
        </a:xfrm>
      </cdr:grpSpPr>
      <cdr:cxnSp macro="">
        <cdr:nvCxnSpPr>
          <cdr:cNvPr id="4" name="Straight Connector 3"/>
          <cdr:cNvCxnSpPr/>
        </cdr:nvCxnSpPr>
        <cdr:spPr>
          <a:xfrm xmlns:a="http://schemas.openxmlformats.org/drawingml/2006/main">
            <a:off x="3724275" y="2286000"/>
            <a:ext cx="457200" cy="0"/>
          </a:xfrm>
          <a:prstGeom xmlns:a="http://schemas.openxmlformats.org/drawingml/2006/main" prst="line">
            <a:avLst/>
          </a:prstGeom>
          <a:ln xmlns:a="http://schemas.openxmlformats.org/drawingml/2006/main" w="19050"/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Straight Connector 7"/>
          <cdr:cNvCxnSpPr/>
        </cdr:nvCxnSpPr>
        <cdr:spPr>
          <a:xfrm xmlns:a="http://schemas.openxmlformats.org/drawingml/2006/main" flipV="1">
            <a:off x="3724275" y="2514600"/>
            <a:ext cx="457200" cy="1"/>
          </a:xfrm>
          <a:prstGeom xmlns:a="http://schemas.openxmlformats.org/drawingml/2006/main" prst="line">
            <a:avLst/>
          </a:prstGeom>
          <a:ln xmlns:a="http://schemas.openxmlformats.org/drawingml/2006/main" w="25400">
            <a:solidFill>
              <a:schemeClr val="tx1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6" name="Straight Connector 15"/>
          <cdr:cNvCxnSpPr/>
        </cdr:nvCxnSpPr>
        <cdr:spPr>
          <a:xfrm xmlns:a="http://schemas.openxmlformats.org/drawingml/2006/main">
            <a:off x="3724275" y="2733675"/>
            <a:ext cx="457200" cy="0"/>
          </a:xfrm>
          <a:prstGeom xmlns:a="http://schemas.openxmlformats.org/drawingml/2006/main" prst="line">
            <a:avLst/>
          </a:prstGeom>
          <a:ln xmlns:a="http://schemas.openxmlformats.org/drawingml/2006/main" w="25400" cmpd="sng">
            <a:solidFill>
              <a:schemeClr val="tx1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9" name="TextBox 18"/>
          <cdr:cNvSpPr txBox="1"/>
        </cdr:nvSpPr>
        <cdr:spPr>
          <a:xfrm xmlns:a="http://schemas.openxmlformats.org/drawingml/2006/main">
            <a:off x="3105150" y="2124075"/>
            <a:ext cx="914400" cy="9144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r>
              <a:rPr lang="en-US" sz="1100"/>
              <a:t>r</a:t>
            </a:r>
            <a:r>
              <a:rPr lang="en-US" sz="1100" baseline="0"/>
              <a:t> = -0.13</a:t>
            </a:r>
          </a:p>
          <a:p xmlns:a="http://schemas.openxmlformats.org/drawingml/2006/main">
            <a:endParaRPr lang="en-US" sz="400" baseline="0"/>
          </a:p>
          <a:p xmlns:a="http://schemas.openxmlformats.org/drawingml/2006/main">
            <a:r>
              <a:rPr lang="en-US" sz="1100" baseline="0"/>
              <a:t>r =  0.73</a:t>
            </a:r>
          </a:p>
          <a:p xmlns:a="http://schemas.openxmlformats.org/drawingml/2006/main">
            <a:endParaRPr lang="en-US" sz="400" baseline="0"/>
          </a:p>
          <a:p xmlns:a="http://schemas.openxmlformats.org/drawingml/2006/main">
            <a:r>
              <a:rPr lang="en-US" sz="1100" baseline="0"/>
              <a:t>r =  0.74</a:t>
            </a:r>
            <a:endParaRPr lang="en-US" sz="1100"/>
          </a:p>
        </cdr:txBody>
      </cdr:sp>
    </cdr:grpSp>
  </cdr:relSizeAnchor>
  <cdr:relSizeAnchor xmlns:cdr="http://schemas.openxmlformats.org/drawingml/2006/chartDrawing">
    <cdr:from>
      <cdr:x>0.52035</cdr:x>
      <cdr:y>0.61625</cdr:y>
    </cdr:from>
    <cdr:to>
      <cdr:x>0.9115</cdr:x>
      <cdr:y>0.78104</cdr:y>
    </cdr:to>
    <cdr:sp macro="" textlink="">
      <cdr:nvSpPr>
        <cdr:cNvPr id="21" name="Rectangle 20"/>
        <cdr:cNvSpPr/>
      </cdr:nvSpPr>
      <cdr:spPr>
        <a:xfrm xmlns:a="http://schemas.openxmlformats.org/drawingml/2006/main">
          <a:off x="2800351" y="2600325"/>
          <a:ext cx="2105025" cy="695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0.52086</cdr:x>
      <cdr:y>0.70203</cdr:y>
    </cdr:from>
    <cdr:to>
      <cdr:x>0.72265</cdr:x>
      <cdr:y>0.91874</cdr:y>
    </cdr:to>
    <cdr:grpSp>
      <cdr:nvGrpSpPr>
        <cdr:cNvPr id="20" name="Group 19"/>
        <cdr:cNvGrpSpPr/>
      </cdr:nvGrpSpPr>
      <cdr:grpSpPr>
        <a:xfrm xmlns:a="http://schemas.openxmlformats.org/drawingml/2006/main">
          <a:off x="2803073" y="2962268"/>
          <a:ext cx="1085958" cy="914424"/>
          <a:chOff x="3105150" y="2124075"/>
          <a:chExt cx="1076325" cy="914400"/>
        </a:xfrm>
      </cdr:grpSpPr>
      <cdr:cxnSp macro="">
        <cdr:nvCxnSpPr>
          <cdr:cNvPr id="4" name="Straight Connector 3"/>
          <cdr:cNvCxnSpPr/>
        </cdr:nvCxnSpPr>
        <cdr:spPr>
          <a:xfrm xmlns:a="http://schemas.openxmlformats.org/drawingml/2006/main">
            <a:off x="3724275" y="2286000"/>
            <a:ext cx="457200" cy="0"/>
          </a:xfrm>
          <a:prstGeom xmlns:a="http://schemas.openxmlformats.org/drawingml/2006/main" prst="line">
            <a:avLst/>
          </a:prstGeom>
          <a:ln xmlns:a="http://schemas.openxmlformats.org/drawingml/2006/main" w="19050"/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Straight Connector 7"/>
          <cdr:cNvCxnSpPr/>
        </cdr:nvCxnSpPr>
        <cdr:spPr>
          <a:xfrm xmlns:a="http://schemas.openxmlformats.org/drawingml/2006/main" flipV="1">
            <a:off x="3724275" y="2514600"/>
            <a:ext cx="457200" cy="1"/>
          </a:xfrm>
          <a:prstGeom xmlns:a="http://schemas.openxmlformats.org/drawingml/2006/main" prst="line">
            <a:avLst/>
          </a:prstGeom>
          <a:ln xmlns:a="http://schemas.openxmlformats.org/drawingml/2006/main" w="25400">
            <a:solidFill>
              <a:schemeClr val="tx1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6" name="Straight Connector 15"/>
          <cdr:cNvCxnSpPr/>
        </cdr:nvCxnSpPr>
        <cdr:spPr>
          <a:xfrm xmlns:a="http://schemas.openxmlformats.org/drawingml/2006/main">
            <a:off x="3724275" y="2733675"/>
            <a:ext cx="457200" cy="0"/>
          </a:xfrm>
          <a:prstGeom xmlns:a="http://schemas.openxmlformats.org/drawingml/2006/main" prst="line">
            <a:avLst/>
          </a:prstGeom>
          <a:ln xmlns:a="http://schemas.openxmlformats.org/drawingml/2006/main" w="25400" cmpd="sng">
            <a:solidFill>
              <a:schemeClr val="tx1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9" name="TextBox 18"/>
          <cdr:cNvSpPr txBox="1"/>
        </cdr:nvSpPr>
        <cdr:spPr>
          <a:xfrm xmlns:a="http://schemas.openxmlformats.org/drawingml/2006/main">
            <a:off x="3105150" y="2124075"/>
            <a:ext cx="914400" cy="9144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r>
              <a:rPr lang="en-US" sz="1100"/>
              <a:t>r</a:t>
            </a:r>
            <a:r>
              <a:rPr lang="en-US" sz="1100" baseline="0"/>
              <a:t> = -0.03</a:t>
            </a:r>
          </a:p>
          <a:p xmlns:a="http://schemas.openxmlformats.org/drawingml/2006/main">
            <a:endParaRPr lang="en-US" sz="400" baseline="0"/>
          </a:p>
          <a:p xmlns:a="http://schemas.openxmlformats.org/drawingml/2006/main">
            <a:r>
              <a:rPr lang="en-US" sz="1100" baseline="0"/>
              <a:t>r =  0.62</a:t>
            </a:r>
          </a:p>
          <a:p xmlns:a="http://schemas.openxmlformats.org/drawingml/2006/main">
            <a:endParaRPr lang="en-US" sz="400" baseline="0"/>
          </a:p>
          <a:p xmlns:a="http://schemas.openxmlformats.org/drawingml/2006/main">
            <a:r>
              <a:rPr lang="en-US" sz="1100" baseline="0"/>
              <a:t>r =  0.6</a:t>
            </a:r>
            <a:endParaRPr lang="en-US" sz="1100"/>
          </a:p>
        </cdr:txBody>
      </cdr:sp>
    </cdr:grpSp>
  </cdr:relSizeAnchor>
  <cdr:relSizeAnchor xmlns:cdr="http://schemas.openxmlformats.org/drawingml/2006/chartDrawing">
    <cdr:from>
      <cdr:x>0.52212</cdr:x>
      <cdr:y>0.7088</cdr:y>
    </cdr:from>
    <cdr:to>
      <cdr:x>0.91327</cdr:x>
      <cdr:y>0.87359</cdr:y>
    </cdr:to>
    <cdr:sp macro="" textlink="">
      <cdr:nvSpPr>
        <cdr:cNvPr id="21" name="Rectangle 20"/>
        <cdr:cNvSpPr/>
      </cdr:nvSpPr>
      <cdr:spPr>
        <a:xfrm xmlns:a="http://schemas.openxmlformats.org/drawingml/2006/main">
          <a:off x="2809854" y="2990838"/>
          <a:ext cx="2105022" cy="6953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13</xdr:row>
      <xdr:rowOff>114300</xdr:rowOff>
    </xdr:from>
    <xdr:to>
      <xdr:col>17</xdr:col>
      <xdr:colOff>438150</xdr:colOff>
      <xdr:row>51</xdr:row>
      <xdr:rowOff>126216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0.55004</cdr:x>
      <cdr:y>0.86842</cdr:y>
    </cdr:from>
    <cdr:to>
      <cdr:x>0.57933</cdr:x>
      <cdr:y>0.89406</cdr:y>
    </cdr:to>
    <cdr:sp macro="" textlink="">
      <cdr:nvSpPr>
        <cdr:cNvPr id="2" name="Rectangle 1"/>
        <cdr:cNvSpPr/>
      </cdr:nvSpPr>
      <cdr:spPr bwMode="auto">
        <a:xfrm xmlns:a="http://schemas.openxmlformats.org/drawingml/2006/main">
          <a:off x="4358986" y="5161547"/>
          <a:ext cx="232064" cy="1524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vert="horz" wrap="square" lIns="91440" tIns="45720" rIns="91440" bIns="45720" numCol="1" anchor="t" anchorCtr="0" compatLnSpc="1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0.31731</cdr:x>
      <cdr:y>0.86526</cdr:y>
    </cdr:from>
    <cdr:to>
      <cdr:x>0.83415</cdr:x>
      <cdr:y>0.93102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30" y="5334385"/>
          <a:ext cx="4095865" cy="40543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2000" dirty="0" smtClean="0"/>
            <a:t>Tangent        Goldmann       Humphrey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522125</xdr:colOff>
      <xdr:row>8</xdr:row>
      <xdr:rowOff>18661</xdr:rowOff>
    </xdr:from>
    <xdr:to>
      <xdr:col>8</xdr:col>
      <xdr:colOff>338428</xdr:colOff>
      <xdr:row>28</xdr:row>
      <xdr:rowOff>56761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0.52961</cdr:x>
      <cdr:y>0.84636</cdr:y>
    </cdr:from>
    <cdr:to>
      <cdr:x>0.55515</cdr:x>
      <cdr:y>0.8987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821344" y="2829119"/>
          <a:ext cx="136072" cy="1749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0.141</cdr:x>
      <cdr:y>0.8224</cdr:y>
    </cdr:from>
    <cdr:to>
      <cdr:x>0.82153</cdr:x>
      <cdr:y>0.90742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1113" y="2749032"/>
          <a:ext cx="3625333" cy="284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0.17201</cdr:x>
      <cdr:y>0.72645</cdr:y>
    </cdr:from>
    <cdr:to>
      <cdr:x>0.94195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16344" y="2428292"/>
          <a:ext cx="410158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0.25411</cdr:x>
      <cdr:y>0.81438</cdr:y>
    </cdr:from>
    <cdr:to>
      <cdr:x>0.84525</cdr:x>
      <cdr:y>0.89288</cdr:y>
    </cdr:to>
    <cdr:sp macro="" textlink="">
      <cdr:nvSpPr>
        <cdr:cNvPr id="5" name="TextBox 4"/>
        <cdr:cNvSpPr txBox="1"/>
      </cdr:nvSpPr>
      <cdr:spPr>
        <a:xfrm xmlns:a="http://schemas.openxmlformats.org/drawingml/2006/main" rot="10800000" flipV="1">
          <a:off x="1353711" y="2722207"/>
          <a:ext cx="3149085" cy="262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Tangent         Goldmann        Humphrey        Octopus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328612</xdr:colOff>
      <xdr:row>19</xdr:row>
      <xdr:rowOff>123825</xdr:rowOff>
    </xdr:from>
    <xdr:to>
      <xdr:col>24</xdr:col>
      <xdr:colOff>519112</xdr:colOff>
      <xdr:row>36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M3:S7" totalsRowShown="0" headerRowDxfId="8" dataDxfId="7">
  <tableColumns count="7">
    <tableColumn id="1" name="Surgery group" dataDxfId="6"/>
    <tableColumn id="2" name="Blepharoplasty" dataDxfId="5"/>
    <tableColumn id="3" name="Column1" dataDxfId="4"/>
    <tableColumn id="4" name="Ptosis Repair" dataDxfId="3"/>
    <tableColumn id="5" name="Column2" dataDxfId="2"/>
    <tableColumn id="6" name="Both" dataDxfId="1"/>
    <tableColumn id="7" name="Column3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33" workbookViewId="0">
      <selection activeCell="F59" sqref="F59"/>
    </sheetView>
  </sheetViews>
  <sheetFormatPr defaultRowHeight="12.75" x14ac:dyDescent="0.2"/>
  <cols>
    <col min="4" max="4" width="9.140625" style="26"/>
  </cols>
  <sheetData>
    <row r="1" spans="1:12" s="95" customFormat="1" ht="26.25" customHeight="1" x14ac:dyDescent="0.2">
      <c r="A1" s="95" t="s">
        <v>0</v>
      </c>
      <c r="B1" s="95" t="s">
        <v>253</v>
      </c>
      <c r="C1" s="95" t="s">
        <v>254</v>
      </c>
      <c r="D1" s="95" t="s">
        <v>263</v>
      </c>
      <c r="E1" s="95" t="s">
        <v>255</v>
      </c>
      <c r="F1" s="95" t="s">
        <v>256</v>
      </c>
      <c r="G1" s="96" t="s">
        <v>257</v>
      </c>
      <c r="H1" s="96" t="s">
        <v>258</v>
      </c>
      <c r="I1" s="97" t="s">
        <v>259</v>
      </c>
      <c r="J1" s="97" t="s">
        <v>260</v>
      </c>
      <c r="K1" s="98" t="s">
        <v>261</v>
      </c>
      <c r="L1" s="98" t="s">
        <v>262</v>
      </c>
    </row>
    <row r="2" spans="1:12" ht="24" customHeight="1" x14ac:dyDescent="0.2">
      <c r="A2">
        <v>1</v>
      </c>
      <c r="B2" t="s">
        <v>124</v>
      </c>
      <c r="C2" t="s">
        <v>125</v>
      </c>
      <c r="D2" s="27">
        <v>1</v>
      </c>
      <c r="E2" t="s">
        <v>126</v>
      </c>
      <c r="F2" s="6" t="s">
        <v>127</v>
      </c>
      <c r="G2" s="25">
        <v>20</v>
      </c>
      <c r="H2" s="25">
        <v>20</v>
      </c>
      <c r="I2" s="26">
        <v>3</v>
      </c>
      <c r="J2" s="26">
        <v>3</v>
      </c>
      <c r="K2">
        <v>4</v>
      </c>
      <c r="L2">
        <v>4</v>
      </c>
    </row>
    <row r="3" spans="1:12" x14ac:dyDescent="0.2">
      <c r="A3">
        <v>3</v>
      </c>
      <c r="B3" t="s">
        <v>124</v>
      </c>
      <c r="C3" t="s">
        <v>125</v>
      </c>
      <c r="D3" s="27">
        <v>1</v>
      </c>
      <c r="E3" t="s">
        <v>128</v>
      </c>
      <c r="F3" t="s">
        <v>127</v>
      </c>
      <c r="G3" s="25">
        <v>20</v>
      </c>
      <c r="H3" s="25">
        <v>20</v>
      </c>
      <c r="I3" s="26">
        <v>1</v>
      </c>
      <c r="J3" s="26">
        <v>1</v>
      </c>
      <c r="K3">
        <v>2</v>
      </c>
      <c r="L3" t="s">
        <v>129</v>
      </c>
    </row>
    <row r="4" spans="1:12" ht="20.25" customHeight="1" x14ac:dyDescent="0.2">
      <c r="A4">
        <v>6</v>
      </c>
      <c r="B4" t="s">
        <v>124</v>
      </c>
      <c r="C4" t="s">
        <v>125</v>
      </c>
      <c r="D4" s="27">
        <v>1</v>
      </c>
      <c r="E4" t="s">
        <v>126</v>
      </c>
      <c r="F4" t="s">
        <v>127</v>
      </c>
      <c r="G4" s="25">
        <v>20</v>
      </c>
      <c r="H4" s="25">
        <v>20</v>
      </c>
      <c r="I4" s="26">
        <v>4</v>
      </c>
      <c r="J4" s="26">
        <v>3.5</v>
      </c>
    </row>
    <row r="5" spans="1:12" x14ac:dyDescent="0.2">
      <c r="A5">
        <v>7</v>
      </c>
      <c r="B5" t="s">
        <v>124</v>
      </c>
      <c r="C5" t="s">
        <v>125</v>
      </c>
      <c r="D5" s="27">
        <v>1</v>
      </c>
      <c r="E5" t="s">
        <v>126</v>
      </c>
      <c r="F5" s="6" t="s">
        <v>127</v>
      </c>
      <c r="G5" s="25">
        <v>20</v>
      </c>
      <c r="H5" s="25">
        <v>20</v>
      </c>
      <c r="I5" s="26">
        <v>3.5</v>
      </c>
      <c r="J5" s="26">
        <v>3.5</v>
      </c>
      <c r="K5">
        <v>5</v>
      </c>
      <c r="L5">
        <v>5</v>
      </c>
    </row>
    <row r="6" spans="1:12" x14ac:dyDescent="0.2">
      <c r="A6">
        <v>9</v>
      </c>
      <c r="B6" t="s">
        <v>124</v>
      </c>
      <c r="C6" t="s">
        <v>125</v>
      </c>
      <c r="D6" s="27">
        <v>1</v>
      </c>
      <c r="E6" t="s">
        <v>126</v>
      </c>
      <c r="F6" s="6" t="s">
        <v>127</v>
      </c>
      <c r="G6" s="25">
        <v>20</v>
      </c>
      <c r="H6" s="25">
        <v>20</v>
      </c>
      <c r="I6" s="26" t="s">
        <v>130</v>
      </c>
      <c r="J6" s="26" t="s">
        <v>131</v>
      </c>
      <c r="K6">
        <v>4</v>
      </c>
      <c r="L6">
        <v>4</v>
      </c>
    </row>
    <row r="7" spans="1:12" x14ac:dyDescent="0.2">
      <c r="A7">
        <v>11</v>
      </c>
      <c r="B7" t="s">
        <v>109</v>
      </c>
      <c r="C7" t="s">
        <v>125</v>
      </c>
      <c r="D7" s="27">
        <v>2</v>
      </c>
      <c r="E7" t="s">
        <v>132</v>
      </c>
      <c r="F7" s="6" t="s">
        <v>127</v>
      </c>
      <c r="G7" s="25">
        <v>20</v>
      </c>
      <c r="H7" s="25">
        <v>20</v>
      </c>
      <c r="I7" s="26" t="s">
        <v>133</v>
      </c>
      <c r="J7" s="26" t="s">
        <v>133</v>
      </c>
      <c r="K7">
        <v>4</v>
      </c>
      <c r="L7">
        <v>4.5</v>
      </c>
    </row>
    <row r="8" spans="1:12" x14ac:dyDescent="0.2">
      <c r="A8">
        <v>12</v>
      </c>
      <c r="B8" t="s">
        <v>134</v>
      </c>
      <c r="C8" t="s">
        <v>135</v>
      </c>
      <c r="D8" s="27" t="s">
        <v>181</v>
      </c>
      <c r="E8" t="s">
        <v>136</v>
      </c>
      <c r="F8" t="s">
        <v>127</v>
      </c>
      <c r="G8" s="25" t="s">
        <v>137</v>
      </c>
      <c r="H8" s="25">
        <v>20</v>
      </c>
      <c r="I8" s="26" t="s">
        <v>138</v>
      </c>
      <c r="J8" s="26" t="s">
        <v>139</v>
      </c>
      <c r="K8">
        <v>3</v>
      </c>
      <c r="L8">
        <v>2</v>
      </c>
    </row>
    <row r="9" spans="1:12" x14ac:dyDescent="0.2">
      <c r="A9">
        <v>13</v>
      </c>
      <c r="B9" t="s">
        <v>124</v>
      </c>
      <c r="C9" t="s">
        <v>125</v>
      </c>
      <c r="D9" s="27">
        <v>1</v>
      </c>
      <c r="E9" t="s">
        <v>126</v>
      </c>
      <c r="F9" s="6" t="s">
        <v>127</v>
      </c>
      <c r="G9" s="25">
        <v>20</v>
      </c>
      <c r="H9" s="25">
        <v>40</v>
      </c>
      <c r="I9" s="26" t="s">
        <v>140</v>
      </c>
      <c r="J9" s="26" t="s">
        <v>131</v>
      </c>
      <c r="K9">
        <v>2</v>
      </c>
      <c r="L9">
        <v>1</v>
      </c>
    </row>
    <row r="10" spans="1:12" x14ac:dyDescent="0.2">
      <c r="A10">
        <v>14</v>
      </c>
      <c r="B10" t="s">
        <v>124</v>
      </c>
      <c r="C10" t="s">
        <v>125</v>
      </c>
      <c r="D10" s="27">
        <v>1</v>
      </c>
      <c r="E10" t="s">
        <v>126</v>
      </c>
      <c r="F10" s="6" t="s">
        <v>127</v>
      </c>
      <c r="G10" s="25">
        <v>30</v>
      </c>
      <c r="H10" s="25">
        <v>25</v>
      </c>
      <c r="I10" s="26" t="s">
        <v>141</v>
      </c>
      <c r="J10" s="26" t="s">
        <v>141</v>
      </c>
      <c r="K10">
        <v>3.5</v>
      </c>
      <c r="L10">
        <v>3</v>
      </c>
    </row>
    <row r="11" spans="1:12" x14ac:dyDescent="0.2">
      <c r="A11">
        <v>15</v>
      </c>
      <c r="B11" t="s">
        <v>109</v>
      </c>
      <c r="C11" t="s">
        <v>2</v>
      </c>
      <c r="D11" s="27">
        <v>2</v>
      </c>
      <c r="E11" t="s">
        <v>142</v>
      </c>
      <c r="F11" t="s">
        <v>127</v>
      </c>
      <c r="G11" s="25">
        <v>25</v>
      </c>
      <c r="H11" s="25">
        <v>20</v>
      </c>
      <c r="I11" s="26" t="s">
        <v>143</v>
      </c>
      <c r="J11" s="26" t="s">
        <v>130</v>
      </c>
      <c r="K11">
        <v>3</v>
      </c>
      <c r="L11">
        <v>3</v>
      </c>
    </row>
    <row r="12" spans="1:12" x14ac:dyDescent="0.2">
      <c r="A12">
        <v>16</v>
      </c>
      <c r="B12" t="s">
        <v>124</v>
      </c>
      <c r="C12" t="s">
        <v>125</v>
      </c>
      <c r="D12" s="27">
        <v>1</v>
      </c>
      <c r="E12" t="s">
        <v>126</v>
      </c>
      <c r="F12" t="s">
        <v>127</v>
      </c>
      <c r="G12" s="25">
        <v>20</v>
      </c>
      <c r="H12" s="25">
        <v>20</v>
      </c>
      <c r="I12" s="26" t="s">
        <v>140</v>
      </c>
      <c r="J12" s="26" t="s">
        <v>131</v>
      </c>
      <c r="K12">
        <v>5</v>
      </c>
      <c r="L12">
        <v>4.5</v>
      </c>
    </row>
    <row r="13" spans="1:12" x14ac:dyDescent="0.2">
      <c r="A13">
        <v>17</v>
      </c>
      <c r="B13" t="s">
        <v>124</v>
      </c>
      <c r="C13" t="s">
        <v>125</v>
      </c>
      <c r="D13" s="27">
        <v>1</v>
      </c>
      <c r="E13" t="s">
        <v>144</v>
      </c>
      <c r="F13" t="s">
        <v>127</v>
      </c>
      <c r="G13" s="25">
        <v>20</v>
      </c>
      <c r="H13" s="25">
        <v>40</v>
      </c>
      <c r="I13" s="26" t="s">
        <v>141</v>
      </c>
      <c r="J13" s="26" t="s">
        <v>138</v>
      </c>
      <c r="K13">
        <v>3</v>
      </c>
      <c r="L13">
        <v>3</v>
      </c>
    </row>
    <row r="14" spans="1:12" x14ac:dyDescent="0.2">
      <c r="A14">
        <v>18</v>
      </c>
      <c r="B14" t="s">
        <v>134</v>
      </c>
      <c r="C14" t="s">
        <v>125</v>
      </c>
      <c r="D14" s="27">
        <v>3</v>
      </c>
      <c r="E14" t="s">
        <v>145</v>
      </c>
      <c r="F14" t="s">
        <v>127</v>
      </c>
      <c r="G14" s="25">
        <v>25</v>
      </c>
      <c r="H14" s="25">
        <v>20</v>
      </c>
      <c r="I14" s="26" t="s">
        <v>138</v>
      </c>
      <c r="J14" s="26" t="s">
        <v>138</v>
      </c>
      <c r="K14">
        <v>3.5</v>
      </c>
      <c r="L14">
        <v>3.5</v>
      </c>
    </row>
    <row r="15" spans="1:12" x14ac:dyDescent="0.2">
      <c r="A15">
        <v>19</v>
      </c>
      <c r="B15" t="s">
        <v>134</v>
      </c>
      <c r="C15" t="s">
        <v>125</v>
      </c>
      <c r="D15" s="27">
        <v>3</v>
      </c>
      <c r="E15" t="s">
        <v>145</v>
      </c>
      <c r="F15" t="s">
        <v>127</v>
      </c>
      <c r="G15" s="25">
        <v>20</v>
      </c>
      <c r="H15" s="25">
        <v>20</v>
      </c>
      <c r="I15" s="26" t="s">
        <v>133</v>
      </c>
      <c r="J15" s="26" t="s">
        <v>133</v>
      </c>
      <c r="K15">
        <v>3</v>
      </c>
      <c r="L15">
        <v>3</v>
      </c>
    </row>
    <row r="16" spans="1:12" x14ac:dyDescent="0.2">
      <c r="A16">
        <v>20</v>
      </c>
      <c r="B16" t="s">
        <v>109</v>
      </c>
      <c r="C16" t="s">
        <v>125</v>
      </c>
      <c r="D16" s="27">
        <v>2</v>
      </c>
      <c r="E16" t="s">
        <v>146</v>
      </c>
      <c r="F16" s="6" t="s">
        <v>127</v>
      </c>
      <c r="G16" s="25">
        <v>75</v>
      </c>
      <c r="H16" s="25">
        <v>30</v>
      </c>
      <c r="I16" s="26" t="s">
        <v>143</v>
      </c>
      <c r="J16" s="26" t="s">
        <v>147</v>
      </c>
      <c r="K16">
        <v>4</v>
      </c>
      <c r="L16">
        <v>4</v>
      </c>
    </row>
    <row r="17" spans="1:12" x14ac:dyDescent="0.2">
      <c r="A17">
        <v>22</v>
      </c>
      <c r="B17" t="s">
        <v>124</v>
      </c>
      <c r="C17" t="s">
        <v>125</v>
      </c>
      <c r="D17" s="27">
        <v>1</v>
      </c>
      <c r="E17" t="s">
        <v>126</v>
      </c>
      <c r="F17" s="6" t="s">
        <v>127</v>
      </c>
      <c r="G17" s="25">
        <v>25</v>
      </c>
      <c r="H17" s="25">
        <v>25</v>
      </c>
      <c r="I17" s="26" t="s">
        <v>130</v>
      </c>
      <c r="J17" s="26" t="s">
        <v>130</v>
      </c>
      <c r="K17">
        <v>4</v>
      </c>
      <c r="L17">
        <v>4</v>
      </c>
    </row>
    <row r="18" spans="1:12" x14ac:dyDescent="0.2">
      <c r="A18">
        <v>25</v>
      </c>
      <c r="B18" t="s">
        <v>124</v>
      </c>
      <c r="C18" t="s">
        <v>125</v>
      </c>
      <c r="D18" s="27">
        <v>1</v>
      </c>
      <c r="E18" t="s">
        <v>126</v>
      </c>
      <c r="F18" t="s">
        <v>127</v>
      </c>
      <c r="G18" s="25">
        <v>20</v>
      </c>
      <c r="H18" s="25">
        <v>20</v>
      </c>
      <c r="I18" s="26" t="s">
        <v>130</v>
      </c>
      <c r="J18" s="26" t="s">
        <v>140</v>
      </c>
      <c r="K18">
        <v>3.5</v>
      </c>
      <c r="L18">
        <v>3.5</v>
      </c>
    </row>
    <row r="19" spans="1:12" x14ac:dyDescent="0.2">
      <c r="A19">
        <v>27</v>
      </c>
      <c r="B19" t="s">
        <v>124</v>
      </c>
      <c r="C19" t="s">
        <v>125</v>
      </c>
      <c r="D19" s="27">
        <v>1</v>
      </c>
      <c r="E19" t="s">
        <v>126</v>
      </c>
      <c r="F19" t="s">
        <v>127</v>
      </c>
      <c r="G19" s="25">
        <v>40</v>
      </c>
      <c r="H19" s="25">
        <v>20</v>
      </c>
      <c r="I19" s="26" t="s">
        <v>141</v>
      </c>
      <c r="J19" s="26" t="s">
        <v>138</v>
      </c>
    </row>
    <row r="20" spans="1:12" x14ac:dyDescent="0.2">
      <c r="A20">
        <v>28</v>
      </c>
      <c r="B20" t="s">
        <v>109</v>
      </c>
      <c r="C20" t="s">
        <v>125</v>
      </c>
      <c r="D20" s="27">
        <v>2</v>
      </c>
      <c r="E20" t="s">
        <v>126</v>
      </c>
      <c r="F20" t="s">
        <v>127</v>
      </c>
      <c r="G20" s="25">
        <v>30</v>
      </c>
      <c r="H20" s="25">
        <v>20</v>
      </c>
      <c r="I20" s="26" t="s">
        <v>133</v>
      </c>
      <c r="J20" s="26" t="s">
        <v>148</v>
      </c>
      <c r="K20">
        <v>3</v>
      </c>
      <c r="L20">
        <v>3</v>
      </c>
    </row>
    <row r="21" spans="1:12" x14ac:dyDescent="0.2">
      <c r="A21">
        <v>29</v>
      </c>
      <c r="B21" t="s">
        <v>149</v>
      </c>
      <c r="C21" t="s">
        <v>2</v>
      </c>
      <c r="D21" s="27">
        <v>2</v>
      </c>
      <c r="E21" t="s">
        <v>150</v>
      </c>
      <c r="F21" t="s">
        <v>127</v>
      </c>
      <c r="G21" s="25">
        <v>20</v>
      </c>
      <c r="H21" s="25">
        <v>20</v>
      </c>
      <c r="I21" s="26" t="s">
        <v>133</v>
      </c>
      <c r="J21" s="26" t="s">
        <v>140</v>
      </c>
      <c r="K21">
        <v>4</v>
      </c>
      <c r="L21">
        <v>4.5</v>
      </c>
    </row>
    <row r="22" spans="1:12" x14ac:dyDescent="0.2">
      <c r="A22">
        <v>30</v>
      </c>
      <c r="B22" t="s">
        <v>124</v>
      </c>
      <c r="C22" t="s">
        <v>125</v>
      </c>
      <c r="D22" s="27">
        <v>1</v>
      </c>
      <c r="E22" t="s">
        <v>126</v>
      </c>
      <c r="F22" s="6" t="s">
        <v>127</v>
      </c>
      <c r="G22" s="25">
        <v>40</v>
      </c>
      <c r="H22" s="25">
        <v>30</v>
      </c>
      <c r="I22" s="26" t="s">
        <v>140</v>
      </c>
      <c r="J22" s="26" t="s">
        <v>141</v>
      </c>
    </row>
    <row r="23" spans="1:12" x14ac:dyDescent="0.2">
      <c r="A23">
        <v>31</v>
      </c>
      <c r="B23" t="s">
        <v>109</v>
      </c>
      <c r="C23" t="s">
        <v>2</v>
      </c>
      <c r="D23" s="27">
        <v>2</v>
      </c>
      <c r="E23" t="s">
        <v>126</v>
      </c>
      <c r="F23" t="s">
        <v>127</v>
      </c>
      <c r="G23" s="25">
        <v>30</v>
      </c>
      <c r="H23" s="25">
        <v>25</v>
      </c>
      <c r="I23" s="26" t="s">
        <v>147</v>
      </c>
      <c r="J23" s="26" t="s">
        <v>141</v>
      </c>
      <c r="K23">
        <v>2</v>
      </c>
      <c r="L23">
        <v>2</v>
      </c>
    </row>
    <row r="24" spans="1:12" x14ac:dyDescent="0.2">
      <c r="A24">
        <v>33</v>
      </c>
      <c r="B24" t="s">
        <v>124</v>
      </c>
      <c r="C24" t="s">
        <v>125</v>
      </c>
      <c r="D24" s="27">
        <v>1</v>
      </c>
      <c r="E24" t="s">
        <v>126</v>
      </c>
      <c r="F24" t="s">
        <v>127</v>
      </c>
      <c r="G24" s="25" t="s">
        <v>151</v>
      </c>
      <c r="H24" s="25" t="s">
        <v>152</v>
      </c>
      <c r="I24" s="26" t="s">
        <v>141</v>
      </c>
      <c r="J24" s="26" t="s">
        <v>141</v>
      </c>
      <c r="K24">
        <v>2</v>
      </c>
      <c r="L24">
        <v>2</v>
      </c>
    </row>
    <row r="25" spans="1:12" x14ac:dyDescent="0.2">
      <c r="A25">
        <v>34</v>
      </c>
      <c r="B25" t="s">
        <v>153</v>
      </c>
      <c r="C25" t="s">
        <v>125</v>
      </c>
      <c r="D25" s="27">
        <v>2</v>
      </c>
      <c r="E25" t="s">
        <v>126</v>
      </c>
      <c r="F25" s="6" t="s">
        <v>127</v>
      </c>
      <c r="G25" s="25">
        <v>20</v>
      </c>
      <c r="H25" s="25">
        <v>20</v>
      </c>
      <c r="I25" s="26" t="s">
        <v>147</v>
      </c>
      <c r="J25" s="26" t="s">
        <v>133</v>
      </c>
      <c r="K25">
        <v>2.5</v>
      </c>
      <c r="L25">
        <v>3</v>
      </c>
    </row>
    <row r="26" spans="1:12" x14ac:dyDescent="0.2">
      <c r="A26">
        <v>36</v>
      </c>
      <c r="B26" t="s">
        <v>124</v>
      </c>
      <c r="C26" t="s">
        <v>125</v>
      </c>
      <c r="D26" s="27">
        <v>1</v>
      </c>
      <c r="E26" t="s">
        <v>126</v>
      </c>
      <c r="F26" t="s">
        <v>127</v>
      </c>
      <c r="G26" s="25">
        <v>20</v>
      </c>
      <c r="H26" s="25">
        <v>25</v>
      </c>
      <c r="I26" s="26" t="s">
        <v>154</v>
      </c>
      <c r="J26" s="26" t="s">
        <v>154</v>
      </c>
      <c r="K26">
        <v>4</v>
      </c>
      <c r="L26">
        <v>4</v>
      </c>
    </row>
    <row r="27" spans="1:12" x14ac:dyDescent="0.2">
      <c r="A27">
        <v>38</v>
      </c>
      <c r="B27" t="s">
        <v>124</v>
      </c>
      <c r="C27" t="s">
        <v>125</v>
      </c>
      <c r="D27" s="27">
        <v>1</v>
      </c>
      <c r="E27" t="s">
        <v>155</v>
      </c>
      <c r="F27" s="6" t="s">
        <v>127</v>
      </c>
      <c r="G27" s="25">
        <v>20</v>
      </c>
      <c r="H27" s="25">
        <v>25</v>
      </c>
      <c r="I27" s="26" t="s">
        <v>133</v>
      </c>
      <c r="J27" s="26" t="s">
        <v>138</v>
      </c>
    </row>
    <row r="28" spans="1:12" x14ac:dyDescent="0.2">
      <c r="A28">
        <v>39</v>
      </c>
      <c r="B28" t="s">
        <v>109</v>
      </c>
      <c r="C28" t="s">
        <v>125</v>
      </c>
      <c r="D28" s="27">
        <v>2</v>
      </c>
      <c r="E28" t="s">
        <v>156</v>
      </c>
      <c r="F28" t="s">
        <v>127</v>
      </c>
      <c r="G28" s="25">
        <v>20</v>
      </c>
      <c r="H28" s="25">
        <v>20</v>
      </c>
      <c r="I28" s="26" t="s">
        <v>141</v>
      </c>
      <c r="J28" s="26" t="s">
        <v>147</v>
      </c>
      <c r="K28">
        <v>2</v>
      </c>
      <c r="L28">
        <v>1.5</v>
      </c>
    </row>
    <row r="29" spans="1:12" x14ac:dyDescent="0.2">
      <c r="A29">
        <v>40</v>
      </c>
      <c r="B29" t="s">
        <v>109</v>
      </c>
      <c r="C29" t="s">
        <v>125</v>
      </c>
      <c r="D29" s="27">
        <v>2</v>
      </c>
      <c r="E29" t="s">
        <v>157</v>
      </c>
      <c r="F29" t="s">
        <v>127</v>
      </c>
      <c r="G29" s="25" t="s">
        <v>158</v>
      </c>
      <c r="H29" s="25">
        <v>20</v>
      </c>
      <c r="I29" s="26" t="s">
        <v>159</v>
      </c>
      <c r="J29" s="26" t="s">
        <v>160</v>
      </c>
      <c r="K29">
        <v>3</v>
      </c>
      <c r="L29">
        <v>3</v>
      </c>
    </row>
    <row r="30" spans="1:12" x14ac:dyDescent="0.2">
      <c r="A30">
        <v>41</v>
      </c>
      <c r="B30" t="s">
        <v>124</v>
      </c>
      <c r="C30" t="s">
        <v>125</v>
      </c>
      <c r="D30" s="27">
        <v>1</v>
      </c>
      <c r="E30" t="s">
        <v>126</v>
      </c>
      <c r="F30" t="s">
        <v>127</v>
      </c>
      <c r="G30" s="25">
        <v>20</v>
      </c>
      <c r="H30" s="25">
        <v>20</v>
      </c>
      <c r="I30" s="26" t="s">
        <v>130</v>
      </c>
      <c r="J30" s="26" t="s">
        <v>130</v>
      </c>
      <c r="K30">
        <v>3</v>
      </c>
      <c r="L30">
        <v>3</v>
      </c>
    </row>
    <row r="31" spans="1:12" x14ac:dyDescent="0.2">
      <c r="A31">
        <v>42</v>
      </c>
      <c r="B31" t="s">
        <v>109</v>
      </c>
      <c r="C31" t="s">
        <v>125</v>
      </c>
      <c r="D31" s="27">
        <v>2</v>
      </c>
      <c r="E31" t="s">
        <v>126</v>
      </c>
      <c r="F31" t="s">
        <v>127</v>
      </c>
      <c r="G31" s="25">
        <v>70</v>
      </c>
      <c r="H31" s="25">
        <v>20</v>
      </c>
      <c r="I31" s="26" t="s">
        <v>148</v>
      </c>
      <c r="J31" s="26" t="s">
        <v>148</v>
      </c>
      <c r="K31">
        <v>3</v>
      </c>
      <c r="L31">
        <v>3</v>
      </c>
    </row>
    <row r="32" spans="1:12" x14ac:dyDescent="0.2">
      <c r="A32">
        <v>43</v>
      </c>
      <c r="B32" t="s">
        <v>161</v>
      </c>
      <c r="C32" t="s">
        <v>125</v>
      </c>
      <c r="D32" s="27">
        <v>3</v>
      </c>
      <c r="E32" t="s">
        <v>162</v>
      </c>
      <c r="F32" s="6" t="s">
        <v>127</v>
      </c>
      <c r="G32" s="25">
        <v>20</v>
      </c>
      <c r="H32" s="25">
        <v>20</v>
      </c>
      <c r="I32" s="26" t="s">
        <v>141</v>
      </c>
      <c r="J32" s="26" t="s">
        <v>147</v>
      </c>
      <c r="K32">
        <v>4</v>
      </c>
      <c r="L32">
        <v>4.5</v>
      </c>
    </row>
    <row r="33" spans="1:12" x14ac:dyDescent="0.2">
      <c r="A33">
        <v>48</v>
      </c>
      <c r="B33" t="s">
        <v>124</v>
      </c>
      <c r="C33" t="s">
        <v>125</v>
      </c>
      <c r="D33" s="27">
        <v>1</v>
      </c>
      <c r="E33" t="s">
        <v>126</v>
      </c>
      <c r="F33" t="s">
        <v>127</v>
      </c>
      <c r="G33" s="25">
        <v>25</v>
      </c>
      <c r="H33" s="25">
        <v>30</v>
      </c>
      <c r="I33" s="26" t="s">
        <v>163</v>
      </c>
      <c r="J33" s="26" t="s">
        <v>138</v>
      </c>
      <c r="K33">
        <v>2</v>
      </c>
      <c r="L33">
        <v>3</v>
      </c>
    </row>
    <row r="34" spans="1:12" x14ac:dyDescent="0.2">
      <c r="A34">
        <v>52</v>
      </c>
      <c r="B34" t="s">
        <v>124</v>
      </c>
      <c r="C34" t="s">
        <v>125</v>
      </c>
      <c r="D34" s="27">
        <v>1</v>
      </c>
      <c r="E34" t="s">
        <v>164</v>
      </c>
      <c r="F34" t="s">
        <v>127</v>
      </c>
      <c r="G34" s="25">
        <v>25</v>
      </c>
      <c r="H34" s="25">
        <v>20</v>
      </c>
      <c r="I34" s="26" t="s">
        <v>140</v>
      </c>
      <c r="J34" s="26" t="s">
        <v>140</v>
      </c>
      <c r="K34">
        <v>3</v>
      </c>
      <c r="L34">
        <v>2.75</v>
      </c>
    </row>
    <row r="35" spans="1:12" x14ac:dyDescent="0.2">
      <c r="A35">
        <v>71</v>
      </c>
      <c r="B35" t="s">
        <v>124</v>
      </c>
      <c r="C35" t="s">
        <v>125</v>
      </c>
      <c r="D35" s="27">
        <v>1</v>
      </c>
      <c r="E35" t="s">
        <v>126</v>
      </c>
      <c r="F35" t="s">
        <v>127</v>
      </c>
      <c r="G35" s="25">
        <v>30</v>
      </c>
      <c r="H35" s="25">
        <v>25</v>
      </c>
      <c r="I35" s="26" t="s">
        <v>133</v>
      </c>
      <c r="J35" s="26" t="s">
        <v>147</v>
      </c>
    </row>
    <row r="36" spans="1:12" x14ac:dyDescent="0.2">
      <c r="A36">
        <v>92</v>
      </c>
      <c r="B36" t="s">
        <v>124</v>
      </c>
      <c r="C36" t="s">
        <v>125</v>
      </c>
      <c r="D36" s="27">
        <v>1</v>
      </c>
      <c r="E36" t="s">
        <v>126</v>
      </c>
      <c r="F36" t="s">
        <v>127</v>
      </c>
      <c r="G36" s="25">
        <v>30</v>
      </c>
      <c r="H36" s="25">
        <v>50</v>
      </c>
      <c r="I36" s="26" t="s">
        <v>154</v>
      </c>
      <c r="J36" s="26" t="s">
        <v>154</v>
      </c>
      <c r="K36">
        <v>4</v>
      </c>
      <c r="L36">
        <v>4</v>
      </c>
    </row>
    <row r="37" spans="1:12" x14ac:dyDescent="0.2">
      <c r="A37">
        <v>99</v>
      </c>
      <c r="B37" t="s">
        <v>109</v>
      </c>
      <c r="C37" t="s">
        <v>125</v>
      </c>
      <c r="D37" s="27">
        <v>2</v>
      </c>
      <c r="E37" t="s">
        <v>165</v>
      </c>
      <c r="F37" t="s">
        <v>127</v>
      </c>
      <c r="G37" s="25">
        <v>30</v>
      </c>
      <c r="H37" s="25">
        <v>20</v>
      </c>
      <c r="I37" s="26" t="s">
        <v>166</v>
      </c>
      <c r="J37" s="26" t="s">
        <v>167</v>
      </c>
      <c r="K37">
        <v>2.5</v>
      </c>
      <c r="L37">
        <v>2.5</v>
      </c>
    </row>
    <row r="38" spans="1:12" ht="19.5" customHeight="1" x14ac:dyDescent="0.2">
      <c r="A38">
        <v>100</v>
      </c>
      <c r="B38" t="s">
        <v>134</v>
      </c>
      <c r="C38" t="s">
        <v>125</v>
      </c>
      <c r="D38" s="27">
        <v>3</v>
      </c>
      <c r="E38" t="s">
        <v>168</v>
      </c>
      <c r="F38" t="s">
        <v>127</v>
      </c>
      <c r="G38" s="25">
        <v>20</v>
      </c>
      <c r="H38" s="25">
        <v>20</v>
      </c>
      <c r="I38" s="26" t="s">
        <v>133</v>
      </c>
      <c r="J38" s="26" t="s">
        <v>133</v>
      </c>
      <c r="K38">
        <v>3</v>
      </c>
      <c r="L38">
        <v>3</v>
      </c>
    </row>
    <row r="39" spans="1:12" x14ac:dyDescent="0.2">
      <c r="A39">
        <v>113</v>
      </c>
      <c r="B39" t="s">
        <v>109</v>
      </c>
      <c r="C39" t="s">
        <v>125</v>
      </c>
      <c r="D39" s="27">
        <v>2</v>
      </c>
      <c r="E39" t="s">
        <v>169</v>
      </c>
      <c r="F39" t="s">
        <v>127</v>
      </c>
      <c r="G39" s="25">
        <v>20</v>
      </c>
      <c r="H39" s="25">
        <v>25</v>
      </c>
      <c r="I39" s="26" t="s">
        <v>133</v>
      </c>
      <c r="J39" s="26" t="s">
        <v>138</v>
      </c>
      <c r="K39">
        <v>2.5</v>
      </c>
      <c r="L39">
        <v>2.5</v>
      </c>
    </row>
    <row r="40" spans="1:12" x14ac:dyDescent="0.2">
      <c r="A40">
        <v>117</v>
      </c>
      <c r="B40" t="s">
        <v>124</v>
      </c>
      <c r="C40" t="s">
        <v>125</v>
      </c>
      <c r="D40" s="27">
        <v>1</v>
      </c>
      <c r="E40" t="s">
        <v>126</v>
      </c>
      <c r="F40" t="s">
        <v>127</v>
      </c>
      <c r="G40" s="25">
        <v>20</v>
      </c>
      <c r="H40" s="25">
        <v>20</v>
      </c>
      <c r="I40" s="26" t="s">
        <v>141</v>
      </c>
      <c r="J40" s="26" t="s">
        <v>130</v>
      </c>
      <c r="K40">
        <v>3.5</v>
      </c>
      <c r="L40">
        <v>3.5</v>
      </c>
    </row>
    <row r="41" spans="1:12" x14ac:dyDescent="0.2">
      <c r="A41">
        <v>120</v>
      </c>
      <c r="B41" t="s">
        <v>109</v>
      </c>
      <c r="C41" t="s">
        <v>2</v>
      </c>
      <c r="D41" s="27">
        <v>2</v>
      </c>
      <c r="E41" t="s">
        <v>170</v>
      </c>
      <c r="F41" t="s">
        <v>127</v>
      </c>
      <c r="G41" s="25">
        <v>25</v>
      </c>
      <c r="H41" s="25">
        <v>60</v>
      </c>
      <c r="I41" s="26" t="s">
        <v>138</v>
      </c>
      <c r="J41" s="26" t="s">
        <v>130</v>
      </c>
      <c r="K41">
        <v>3.5</v>
      </c>
      <c r="L41">
        <v>2.75</v>
      </c>
    </row>
    <row r="42" spans="1:12" x14ac:dyDescent="0.2">
      <c r="A42">
        <v>121</v>
      </c>
      <c r="B42" t="s">
        <v>134</v>
      </c>
      <c r="C42" t="s">
        <v>125</v>
      </c>
      <c r="D42" s="27">
        <v>3</v>
      </c>
      <c r="E42" t="s">
        <v>171</v>
      </c>
      <c r="F42" t="s">
        <v>127</v>
      </c>
      <c r="G42" s="25">
        <v>20</v>
      </c>
      <c r="H42" s="25">
        <v>20</v>
      </c>
      <c r="I42" s="26" t="s">
        <v>138</v>
      </c>
      <c r="J42" s="26" t="s">
        <v>138</v>
      </c>
      <c r="K42">
        <v>2</v>
      </c>
      <c r="L42">
        <v>2</v>
      </c>
    </row>
    <row r="43" spans="1:12" x14ac:dyDescent="0.2">
      <c r="A43">
        <v>123</v>
      </c>
      <c r="B43" t="s">
        <v>124</v>
      </c>
      <c r="C43" t="s">
        <v>125</v>
      </c>
      <c r="D43" s="28">
        <v>1</v>
      </c>
      <c r="E43" t="s">
        <v>126</v>
      </c>
      <c r="F43" t="s">
        <v>127</v>
      </c>
      <c r="G43" s="25">
        <v>25</v>
      </c>
      <c r="H43" s="25">
        <v>20</v>
      </c>
      <c r="I43" s="26" t="s">
        <v>140</v>
      </c>
      <c r="J43" s="26" t="s">
        <v>140</v>
      </c>
    </row>
    <row r="44" spans="1:12" x14ac:dyDescent="0.2">
      <c r="A44">
        <v>126</v>
      </c>
      <c r="B44" t="s">
        <v>124</v>
      </c>
      <c r="C44" t="s">
        <v>125</v>
      </c>
      <c r="D44" s="28">
        <v>1</v>
      </c>
      <c r="E44" t="s">
        <v>126</v>
      </c>
      <c r="F44" t="s">
        <v>127</v>
      </c>
      <c r="G44" s="25">
        <v>25</v>
      </c>
      <c r="H44" s="25">
        <v>20</v>
      </c>
      <c r="I44" s="26" t="s">
        <v>140</v>
      </c>
      <c r="J44" s="26" t="s">
        <v>140</v>
      </c>
    </row>
    <row r="45" spans="1:12" x14ac:dyDescent="0.2">
      <c r="A45">
        <v>127</v>
      </c>
      <c r="B45" t="s">
        <v>124</v>
      </c>
      <c r="C45" t="s">
        <v>125</v>
      </c>
      <c r="D45" s="29">
        <v>1</v>
      </c>
      <c r="E45" t="s">
        <v>172</v>
      </c>
      <c r="F45" t="s">
        <v>127</v>
      </c>
      <c r="G45" s="25">
        <v>20</v>
      </c>
      <c r="H45" s="25">
        <v>20</v>
      </c>
      <c r="I45" s="26" t="s">
        <v>130</v>
      </c>
      <c r="J45" s="26" t="s">
        <v>163</v>
      </c>
      <c r="K45">
        <v>3</v>
      </c>
      <c r="L45">
        <v>2</v>
      </c>
    </row>
    <row r="46" spans="1:12" x14ac:dyDescent="0.2">
      <c r="A46">
        <v>132</v>
      </c>
      <c r="B46" t="s">
        <v>124</v>
      </c>
      <c r="C46" t="s">
        <v>125</v>
      </c>
      <c r="D46" s="29">
        <v>1</v>
      </c>
      <c r="E46" t="s">
        <v>126</v>
      </c>
      <c r="F46" t="s">
        <v>127</v>
      </c>
      <c r="G46" s="25">
        <v>25</v>
      </c>
      <c r="H46" s="25">
        <v>25</v>
      </c>
      <c r="I46" s="26" t="s">
        <v>147</v>
      </c>
      <c r="J46" s="26" t="s">
        <v>147</v>
      </c>
    </row>
    <row r="47" spans="1:12" x14ac:dyDescent="0.2">
      <c r="A47">
        <v>133</v>
      </c>
      <c r="B47" t="s">
        <v>124</v>
      </c>
      <c r="C47" t="s">
        <v>125</v>
      </c>
      <c r="D47" s="28">
        <v>1</v>
      </c>
      <c r="E47" t="s">
        <v>173</v>
      </c>
      <c r="F47" t="s">
        <v>127</v>
      </c>
      <c r="G47" s="25">
        <v>20</v>
      </c>
      <c r="H47" s="25">
        <v>25</v>
      </c>
      <c r="I47" s="26" t="s">
        <v>140</v>
      </c>
      <c r="J47" s="26" t="s">
        <v>174</v>
      </c>
      <c r="K47">
        <v>4</v>
      </c>
      <c r="L47">
        <v>4</v>
      </c>
    </row>
    <row r="48" spans="1:12" x14ac:dyDescent="0.2">
      <c r="A48">
        <v>134</v>
      </c>
      <c r="B48" t="s">
        <v>109</v>
      </c>
      <c r="C48" t="s">
        <v>3</v>
      </c>
      <c r="D48" s="28">
        <v>2</v>
      </c>
      <c r="E48" t="s">
        <v>175</v>
      </c>
      <c r="F48" t="s">
        <v>127</v>
      </c>
      <c r="G48" s="25">
        <v>20</v>
      </c>
      <c r="H48" s="25">
        <v>20</v>
      </c>
      <c r="I48" s="26" t="s">
        <v>159</v>
      </c>
      <c r="J48" s="26" t="s">
        <v>141</v>
      </c>
      <c r="K48">
        <v>3</v>
      </c>
      <c r="L48">
        <v>3</v>
      </c>
    </row>
    <row r="49" spans="1:12" x14ac:dyDescent="0.2">
      <c r="A49">
        <v>138</v>
      </c>
      <c r="B49" t="s">
        <v>124</v>
      </c>
      <c r="C49" t="s">
        <v>125</v>
      </c>
      <c r="D49" s="28">
        <v>1</v>
      </c>
      <c r="E49" t="s">
        <v>126</v>
      </c>
      <c r="F49" t="s">
        <v>127</v>
      </c>
      <c r="G49" s="25">
        <v>20</v>
      </c>
      <c r="H49" s="25">
        <v>40</v>
      </c>
      <c r="I49" s="26" t="s">
        <v>140</v>
      </c>
      <c r="J49" s="26" t="s">
        <v>130</v>
      </c>
      <c r="K49">
        <v>4</v>
      </c>
      <c r="L49">
        <v>4</v>
      </c>
    </row>
    <row r="50" spans="1:12" x14ac:dyDescent="0.2">
      <c r="A50">
        <v>140</v>
      </c>
      <c r="B50" t="s">
        <v>124</v>
      </c>
      <c r="C50" t="s">
        <v>125</v>
      </c>
      <c r="D50" s="28">
        <v>1</v>
      </c>
      <c r="E50" t="s">
        <v>126</v>
      </c>
      <c r="F50" t="s">
        <v>127</v>
      </c>
      <c r="G50" s="25">
        <v>40</v>
      </c>
      <c r="H50" s="25">
        <v>25</v>
      </c>
      <c r="I50" s="26" t="s">
        <v>159</v>
      </c>
      <c r="J50" s="26" t="s">
        <v>159</v>
      </c>
      <c r="K50">
        <v>4</v>
      </c>
      <c r="L50">
        <v>4</v>
      </c>
    </row>
    <row r="51" spans="1:12" x14ac:dyDescent="0.2">
      <c r="A51">
        <v>143</v>
      </c>
      <c r="B51" t="s">
        <v>124</v>
      </c>
      <c r="C51" t="s">
        <v>125</v>
      </c>
      <c r="D51" s="28">
        <v>1</v>
      </c>
      <c r="E51" t="s">
        <v>176</v>
      </c>
      <c r="F51" t="s">
        <v>127</v>
      </c>
      <c r="G51" s="25">
        <v>20</v>
      </c>
      <c r="H51" s="25">
        <v>30</v>
      </c>
      <c r="I51" s="26" t="s">
        <v>141</v>
      </c>
      <c r="J51" s="26" t="s">
        <v>141</v>
      </c>
    </row>
    <row r="52" spans="1:12" x14ac:dyDescent="0.2">
      <c r="A52">
        <v>146</v>
      </c>
      <c r="B52" t="s">
        <v>109</v>
      </c>
      <c r="C52" t="s">
        <v>125</v>
      </c>
      <c r="D52" s="28">
        <v>2</v>
      </c>
      <c r="E52" t="s">
        <v>126</v>
      </c>
      <c r="F52" t="s">
        <v>127</v>
      </c>
      <c r="G52" s="25">
        <v>20</v>
      </c>
      <c r="H52" s="25">
        <v>30</v>
      </c>
      <c r="I52" s="26" t="s">
        <v>166</v>
      </c>
      <c r="J52" s="26" t="s">
        <v>166</v>
      </c>
      <c r="K52">
        <v>2</v>
      </c>
      <c r="L52">
        <v>2.25</v>
      </c>
    </row>
    <row r="53" spans="1:12" x14ac:dyDescent="0.2">
      <c r="A53">
        <v>152</v>
      </c>
      <c r="B53" t="s">
        <v>134</v>
      </c>
      <c r="C53" t="s">
        <v>125</v>
      </c>
      <c r="D53" s="29">
        <v>3</v>
      </c>
      <c r="E53" t="s">
        <v>171</v>
      </c>
      <c r="F53" t="s">
        <v>127</v>
      </c>
      <c r="G53" s="25">
        <v>20</v>
      </c>
      <c r="H53" s="25" t="s">
        <v>177</v>
      </c>
      <c r="I53" s="26" t="s">
        <v>133</v>
      </c>
      <c r="J53" s="26" t="s">
        <v>147</v>
      </c>
      <c r="K53">
        <v>4</v>
      </c>
      <c r="L53">
        <v>3</v>
      </c>
    </row>
    <row r="54" spans="1:12" x14ac:dyDescent="0.2">
      <c r="D54" s="26" t="s">
        <v>182</v>
      </c>
      <c r="E54" t="s">
        <v>180</v>
      </c>
      <c r="F54" t="s">
        <v>265</v>
      </c>
    </row>
    <row r="55" spans="1:12" x14ac:dyDescent="0.2">
      <c r="D55" s="29">
        <v>1</v>
      </c>
      <c r="E55">
        <f>COUNTIF(D2:D53,"1")</f>
        <v>30</v>
      </c>
      <c r="F55">
        <v>31</v>
      </c>
    </row>
    <row r="56" spans="1:12" x14ac:dyDescent="0.2">
      <c r="D56" s="29">
        <v>2</v>
      </c>
      <c r="E56">
        <f>COUNTIF(D2:D53,"2")</f>
        <v>15</v>
      </c>
      <c r="F56">
        <v>15</v>
      </c>
    </row>
    <row r="57" spans="1:12" x14ac:dyDescent="0.2">
      <c r="D57" s="29">
        <v>3</v>
      </c>
      <c r="E57">
        <f>COUNTIF(D2:D53,"3")</f>
        <v>6</v>
      </c>
      <c r="F57">
        <v>7</v>
      </c>
    </row>
    <row r="58" spans="1:12" x14ac:dyDescent="0.2">
      <c r="E58">
        <f>SUM(E55:E57)</f>
        <v>51</v>
      </c>
      <c r="F58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3"/>
  <sheetViews>
    <sheetView zoomScaleNormal="100" workbookViewId="0">
      <pane xSplit="1" topLeftCell="B1" activePane="topRight" state="frozen"/>
      <selection pane="topRight" activeCell="A80" sqref="A1:A1048576"/>
    </sheetView>
  </sheetViews>
  <sheetFormatPr defaultRowHeight="15" x14ac:dyDescent="0.2"/>
  <cols>
    <col min="1" max="1" width="16.85546875" style="85" customWidth="1"/>
    <col min="2" max="2" width="8.28515625" style="4" customWidth="1"/>
    <col min="3" max="3" width="8.28515625" style="9" customWidth="1"/>
    <col min="4" max="4" width="8.28515625" style="40" customWidth="1"/>
    <col min="5" max="5" width="10.140625" style="3" customWidth="1"/>
    <col min="6" max="6" width="11.28515625" style="3" customWidth="1"/>
    <col min="7" max="7" width="11.5703125" style="3" customWidth="1"/>
    <col min="8" max="8" width="10.7109375" style="3" customWidth="1"/>
    <col min="9" max="9" width="11.140625" style="3" customWidth="1"/>
    <col min="10" max="10" width="11.28515625" style="3" customWidth="1"/>
    <col min="11" max="12" width="9.140625" style="3"/>
    <col min="13" max="13" width="11.5703125" style="17" customWidth="1"/>
    <col min="14" max="14" width="17" style="84" customWidth="1"/>
    <col min="15" max="15" width="16.7109375" style="57" customWidth="1"/>
    <col min="16" max="16" width="15.85546875" style="3" customWidth="1"/>
    <col min="17" max="17" width="15.85546875" style="57" customWidth="1"/>
    <col min="18" max="18" width="15.85546875" style="84" customWidth="1"/>
    <col min="19" max="19" width="16.5703125" style="57" customWidth="1"/>
    <col min="20" max="20" width="22.28515625" style="3" customWidth="1"/>
    <col min="21" max="23" width="13.7109375" style="57" customWidth="1"/>
    <col min="24" max="25" width="20.140625" style="58" customWidth="1"/>
    <col min="26" max="26" width="22.5703125" style="59" customWidth="1"/>
    <col min="27" max="36" width="9.140625" style="3"/>
    <col min="37" max="37" width="16.140625" style="3" customWidth="1"/>
    <col min="38" max="40" width="9.140625" style="3"/>
    <col min="41" max="41" width="13" style="3" customWidth="1"/>
    <col min="42" max="16384" width="9.140625" style="3"/>
  </cols>
  <sheetData>
    <row r="1" spans="1:46" s="47" customFormat="1" x14ac:dyDescent="0.2">
      <c r="A1" s="85" t="s">
        <v>0</v>
      </c>
      <c r="B1" s="44" t="s">
        <v>1</v>
      </c>
      <c r="C1" s="45" t="s">
        <v>59</v>
      </c>
      <c r="D1" s="46" t="s">
        <v>60</v>
      </c>
      <c r="E1" s="47" t="s">
        <v>61</v>
      </c>
      <c r="F1" s="47" t="s">
        <v>62</v>
      </c>
      <c r="G1" s="47" t="s">
        <v>63</v>
      </c>
      <c r="H1" s="47" t="s">
        <v>64</v>
      </c>
      <c r="I1" s="47" t="s">
        <v>65</v>
      </c>
      <c r="J1" s="47" t="s">
        <v>66</v>
      </c>
      <c r="K1" s="47" t="s">
        <v>4</v>
      </c>
      <c r="L1" s="47" t="s">
        <v>24</v>
      </c>
      <c r="M1" s="48" t="s">
        <v>44</v>
      </c>
      <c r="N1" s="49" t="s">
        <v>67</v>
      </c>
      <c r="O1" s="50" t="s">
        <v>68</v>
      </c>
      <c r="P1" s="47" t="s">
        <v>69</v>
      </c>
      <c r="Q1" s="50" t="s">
        <v>70</v>
      </c>
      <c r="R1" s="49" t="s">
        <v>71</v>
      </c>
      <c r="S1" s="50" t="s">
        <v>72</v>
      </c>
      <c r="T1" s="50" t="s">
        <v>73</v>
      </c>
      <c r="U1" s="50" t="s">
        <v>74</v>
      </c>
      <c r="V1" s="50" t="s">
        <v>75</v>
      </c>
      <c r="W1" s="50" t="s">
        <v>31</v>
      </c>
      <c r="X1" s="51" t="s">
        <v>53</v>
      </c>
      <c r="Y1" s="52"/>
      <c r="Z1" s="53" t="s">
        <v>54</v>
      </c>
    </row>
    <row r="2" spans="1:46" x14ac:dyDescent="0.2">
      <c r="A2" s="87">
        <v>1</v>
      </c>
      <c r="B2" s="4" t="s">
        <v>2</v>
      </c>
      <c r="C2" s="9">
        <v>3</v>
      </c>
      <c r="D2" s="40">
        <v>4</v>
      </c>
      <c r="E2" s="3">
        <v>17.100000000000001</v>
      </c>
      <c r="F2" s="3">
        <v>385</v>
      </c>
      <c r="G2" s="3">
        <v>28.9</v>
      </c>
      <c r="H2" s="3">
        <v>1210</v>
      </c>
      <c r="I2" s="3">
        <v>25.2</v>
      </c>
      <c r="J2" s="3">
        <v>1044</v>
      </c>
      <c r="L2" s="3">
        <v>1</v>
      </c>
      <c r="M2" s="17">
        <f>D2-C2</f>
        <v>1</v>
      </c>
      <c r="N2" s="54">
        <f t="shared" ref="N2:N33" si="0">G2-E2</f>
        <v>11.799999999999997</v>
      </c>
      <c r="O2" s="55">
        <f t="shared" ref="O2:O33" si="1">N2/G2*100</f>
        <v>40.830449826989614</v>
      </c>
      <c r="P2" s="56">
        <f t="shared" ref="P2:P33" si="2">H2-F2</f>
        <v>825</v>
      </c>
      <c r="Q2" s="55">
        <f t="shared" ref="Q2:Q33" si="3">P2/H2*100</f>
        <v>68.181818181818173</v>
      </c>
      <c r="R2" s="54">
        <f t="shared" ref="R2:R33" si="4">I2-E2</f>
        <v>8.0999999999999979</v>
      </c>
      <c r="S2" s="57">
        <f t="shared" ref="S2:S33" si="5">R2/E2*100</f>
        <v>47.368421052631568</v>
      </c>
      <c r="T2" s="3">
        <f t="shared" ref="T2:T33" si="6">J2-F2</f>
        <v>659</v>
      </c>
      <c r="U2" s="57">
        <f t="shared" ref="U2:U33" si="7">T2/F2*100</f>
        <v>171.16883116883116</v>
      </c>
      <c r="V2" s="57">
        <f t="shared" ref="V2:V33" si="8">G2-I2</f>
        <v>3.6999999999999993</v>
      </c>
      <c r="W2" s="57">
        <f t="shared" ref="W2:W33" si="9">H2-J2</f>
        <v>166</v>
      </c>
      <c r="X2" s="58" t="s">
        <v>33</v>
      </c>
      <c r="Y2" s="58" t="s">
        <v>34</v>
      </c>
      <c r="Z2" s="59" t="s">
        <v>32</v>
      </c>
      <c r="AB2" s="3" t="s">
        <v>45</v>
      </c>
      <c r="AK2" s="3" t="s">
        <v>61</v>
      </c>
      <c r="AL2" s="3" t="s">
        <v>183</v>
      </c>
      <c r="AM2" s="3">
        <v>7.9696969697000002</v>
      </c>
      <c r="AO2" s="3" t="s">
        <v>63</v>
      </c>
      <c r="AP2" s="3">
        <v>23.412244898000001</v>
      </c>
      <c r="AR2" s="3" t="s">
        <v>81</v>
      </c>
      <c r="AS2" s="3">
        <v>33.105168026999998</v>
      </c>
    </row>
    <row r="3" spans="1:46" x14ac:dyDescent="0.2">
      <c r="A3" s="87">
        <v>1</v>
      </c>
      <c r="B3" s="4" t="s">
        <v>3</v>
      </c>
      <c r="C3" s="9">
        <v>3</v>
      </c>
      <c r="D3" s="40">
        <v>4</v>
      </c>
      <c r="E3" s="3">
        <v>13.9</v>
      </c>
      <c r="F3" s="3">
        <v>353</v>
      </c>
      <c r="G3" s="3">
        <v>27.9</v>
      </c>
      <c r="H3" s="3">
        <v>1141</v>
      </c>
      <c r="I3" s="3">
        <v>25.2</v>
      </c>
      <c r="J3" s="3">
        <v>1094</v>
      </c>
      <c r="L3" s="3">
        <v>1</v>
      </c>
      <c r="M3" s="17">
        <f>D3-C3</f>
        <v>1</v>
      </c>
      <c r="N3" s="54">
        <f t="shared" si="0"/>
        <v>13.999999999999998</v>
      </c>
      <c r="O3" s="55">
        <f t="shared" si="1"/>
        <v>50.179211469534046</v>
      </c>
      <c r="P3" s="56">
        <f t="shared" si="2"/>
        <v>788</v>
      </c>
      <c r="Q3" s="55">
        <f t="shared" si="3"/>
        <v>69.062226117440844</v>
      </c>
      <c r="R3" s="54">
        <f t="shared" si="4"/>
        <v>11.299999999999999</v>
      </c>
      <c r="S3" s="57">
        <f t="shared" si="5"/>
        <v>81.294964028776974</v>
      </c>
      <c r="T3" s="3">
        <f t="shared" si="6"/>
        <v>741</v>
      </c>
      <c r="U3" s="57">
        <f t="shared" si="7"/>
        <v>209.91501416430594</v>
      </c>
      <c r="V3" s="57">
        <f t="shared" si="8"/>
        <v>2.6999999999999993</v>
      </c>
      <c r="W3" s="57">
        <f t="shared" si="9"/>
        <v>47</v>
      </c>
      <c r="X3" s="58">
        <f>AVERAGE(C:C)</f>
        <v>1.4898989898989898</v>
      </c>
      <c r="Y3" s="58">
        <f>AVERAGE(D:D)</f>
        <v>3.2037037037037037</v>
      </c>
      <c r="Z3" s="59">
        <f>TTEST(C:C,D:D,1,1)</f>
        <v>2.0683883839349097E-16</v>
      </c>
      <c r="AB3" s="3">
        <f>AVERAGE(M:M)</f>
        <v>1.7962962962962963</v>
      </c>
      <c r="AK3" s="3" t="s">
        <v>61</v>
      </c>
      <c r="AL3" s="3" t="s">
        <v>184</v>
      </c>
      <c r="AM3" s="3">
        <v>4.7025493422000002</v>
      </c>
      <c r="AO3" s="3" t="s">
        <v>61</v>
      </c>
      <c r="AP3" s="3">
        <v>7.8469387755</v>
      </c>
      <c r="AR3" s="3" t="s">
        <v>82</v>
      </c>
      <c r="AS3" s="3">
        <v>97</v>
      </c>
    </row>
    <row r="4" spans="1:46" x14ac:dyDescent="0.2">
      <c r="A4" s="87">
        <v>3</v>
      </c>
      <c r="B4" s="4" t="s">
        <v>2</v>
      </c>
      <c r="C4" s="9">
        <v>1</v>
      </c>
      <c r="D4" s="40">
        <v>2</v>
      </c>
      <c r="E4" s="2">
        <v>14.6</v>
      </c>
      <c r="F4" s="2">
        <v>322</v>
      </c>
      <c r="G4" s="2">
        <v>25</v>
      </c>
      <c r="H4" s="2">
        <v>898</v>
      </c>
      <c r="I4" s="2">
        <v>13.6</v>
      </c>
      <c r="J4" s="3">
        <v>450</v>
      </c>
      <c r="K4" s="3" t="s">
        <v>25</v>
      </c>
      <c r="L4" s="3">
        <v>1</v>
      </c>
      <c r="M4" s="17">
        <f>D4-C4</f>
        <v>1</v>
      </c>
      <c r="N4" s="54">
        <f t="shared" si="0"/>
        <v>10.4</v>
      </c>
      <c r="O4" s="55">
        <f t="shared" si="1"/>
        <v>41.6</v>
      </c>
      <c r="P4" s="56">
        <f t="shared" si="2"/>
        <v>576</v>
      </c>
      <c r="Q4" s="55">
        <f t="shared" si="3"/>
        <v>64.142538975501111</v>
      </c>
      <c r="R4" s="54">
        <f t="shared" si="4"/>
        <v>-1</v>
      </c>
      <c r="S4" s="57">
        <f t="shared" si="5"/>
        <v>-6.8493150684931505</v>
      </c>
      <c r="T4" s="3">
        <f t="shared" si="6"/>
        <v>128</v>
      </c>
      <c r="U4" s="57">
        <f t="shared" si="7"/>
        <v>39.751552795031053</v>
      </c>
      <c r="V4" s="57">
        <f t="shared" si="8"/>
        <v>11.4</v>
      </c>
      <c r="W4" s="57">
        <f t="shared" si="9"/>
        <v>448</v>
      </c>
      <c r="AK4" s="3" t="s">
        <v>61</v>
      </c>
      <c r="AL4" s="3" t="s">
        <v>185</v>
      </c>
      <c r="AM4" s="3">
        <v>0.47262399170000002</v>
      </c>
      <c r="AO4" s="3" t="s">
        <v>83</v>
      </c>
      <c r="AP4" s="3">
        <v>15.565306122000001</v>
      </c>
      <c r="AR4" s="60" t="s">
        <v>84</v>
      </c>
      <c r="AS4" s="60"/>
      <c r="AT4" s="60" t="s">
        <v>85</v>
      </c>
    </row>
    <row r="5" spans="1:46" x14ac:dyDescent="0.2">
      <c r="A5" s="87">
        <v>3</v>
      </c>
      <c r="B5" s="4" t="s">
        <v>3</v>
      </c>
      <c r="C5" s="9">
        <v>1</v>
      </c>
      <c r="D5" s="40">
        <v>2</v>
      </c>
      <c r="E5" s="2">
        <v>13.8</v>
      </c>
      <c r="F5" s="2">
        <v>308</v>
      </c>
      <c r="G5" s="2">
        <v>22.5</v>
      </c>
      <c r="H5" s="2">
        <v>804</v>
      </c>
      <c r="I5" s="2">
        <v>10.5</v>
      </c>
      <c r="J5" s="3">
        <v>353</v>
      </c>
      <c r="K5" s="3" t="s">
        <v>25</v>
      </c>
      <c r="L5" s="3">
        <v>1</v>
      </c>
      <c r="M5" s="17">
        <f>D5-C5</f>
        <v>1</v>
      </c>
      <c r="N5" s="54">
        <f t="shared" si="0"/>
        <v>8.6999999999999993</v>
      </c>
      <c r="O5" s="55">
        <f t="shared" si="1"/>
        <v>38.666666666666664</v>
      </c>
      <c r="P5" s="56">
        <f t="shared" si="2"/>
        <v>496</v>
      </c>
      <c r="Q5" s="55">
        <f t="shared" si="3"/>
        <v>61.691542288557208</v>
      </c>
      <c r="R5" s="54">
        <f t="shared" si="4"/>
        <v>-3.3000000000000007</v>
      </c>
      <c r="S5" s="57">
        <f t="shared" si="5"/>
        <v>-23.913043478260875</v>
      </c>
      <c r="T5" s="3">
        <f t="shared" si="6"/>
        <v>45</v>
      </c>
      <c r="U5" s="57">
        <f t="shared" si="7"/>
        <v>14.61038961038961</v>
      </c>
      <c r="V5" s="57">
        <f t="shared" si="8"/>
        <v>12</v>
      </c>
      <c r="W5" s="57">
        <f t="shared" si="9"/>
        <v>451</v>
      </c>
      <c r="X5" s="61" t="s">
        <v>50</v>
      </c>
      <c r="AK5" s="3" t="s">
        <v>61</v>
      </c>
      <c r="AL5" s="3" t="s">
        <v>186</v>
      </c>
      <c r="AM5" s="3">
        <v>8.9076038993999997</v>
      </c>
      <c r="AO5" s="3" t="s">
        <v>86</v>
      </c>
      <c r="AP5" s="3">
        <v>0.47017752969999999</v>
      </c>
      <c r="AR5" s="3" t="s">
        <v>87</v>
      </c>
      <c r="AT5" s="3" t="s">
        <v>85</v>
      </c>
    </row>
    <row r="6" spans="1:46" x14ac:dyDescent="0.2">
      <c r="A6" s="86">
        <v>6</v>
      </c>
      <c r="B6" s="4" t="s">
        <v>2</v>
      </c>
      <c r="C6" s="9">
        <v>4</v>
      </c>
      <c r="E6" s="3">
        <v>8.5</v>
      </c>
      <c r="F6" s="3">
        <v>233</v>
      </c>
      <c r="G6" s="3">
        <v>25.9</v>
      </c>
      <c r="H6" s="3">
        <v>988</v>
      </c>
      <c r="I6" s="3">
        <v>4.3</v>
      </c>
      <c r="J6" s="3">
        <v>45</v>
      </c>
      <c r="L6" s="3">
        <v>1</v>
      </c>
      <c r="N6" s="54">
        <f t="shared" si="0"/>
        <v>17.399999999999999</v>
      </c>
      <c r="O6" s="55">
        <f t="shared" si="1"/>
        <v>67.181467181467184</v>
      </c>
      <c r="P6" s="56">
        <f t="shared" si="2"/>
        <v>755</v>
      </c>
      <c r="Q6" s="55">
        <f t="shared" si="3"/>
        <v>76.417004048582996</v>
      </c>
      <c r="R6" s="54">
        <f t="shared" si="4"/>
        <v>-4.2</v>
      </c>
      <c r="S6" s="57">
        <f t="shared" si="5"/>
        <v>-49.411764705882355</v>
      </c>
      <c r="T6" s="3">
        <f t="shared" si="6"/>
        <v>-188</v>
      </c>
      <c r="U6" s="57">
        <f t="shared" si="7"/>
        <v>-80.68669527896995</v>
      </c>
      <c r="V6" s="57">
        <f t="shared" si="8"/>
        <v>21.599999999999998</v>
      </c>
      <c r="W6" s="57">
        <f t="shared" si="9"/>
        <v>943</v>
      </c>
      <c r="X6" s="58" t="s">
        <v>35</v>
      </c>
      <c r="Y6" s="58" t="s">
        <v>36</v>
      </c>
      <c r="Z6" s="59" t="s">
        <v>26</v>
      </c>
      <c r="AK6" s="3" t="s">
        <v>61</v>
      </c>
      <c r="AL6" s="3" t="s">
        <v>187</v>
      </c>
      <c r="AM6" s="3">
        <v>7.0317900399999997</v>
      </c>
      <c r="AO6" s="3" t="s">
        <v>88</v>
      </c>
      <c r="AP6" s="3">
        <v>16.498478367000001</v>
      </c>
      <c r="AR6" s="3" t="s">
        <v>89</v>
      </c>
      <c r="AT6" s="3">
        <v>1</v>
      </c>
    </row>
    <row r="7" spans="1:46" x14ac:dyDescent="0.2">
      <c r="A7" s="87">
        <v>6</v>
      </c>
      <c r="B7" s="4" t="s">
        <v>3</v>
      </c>
      <c r="C7" s="9">
        <v>3.5</v>
      </c>
      <c r="E7" s="3">
        <v>11.5</v>
      </c>
      <c r="F7" s="3">
        <v>288</v>
      </c>
      <c r="G7" s="3">
        <v>25.9</v>
      </c>
      <c r="H7" s="3">
        <v>978</v>
      </c>
      <c r="I7" s="3">
        <v>8.3000000000000007</v>
      </c>
      <c r="J7" s="3">
        <v>143</v>
      </c>
      <c r="L7" s="3">
        <v>1</v>
      </c>
      <c r="N7" s="54">
        <f t="shared" si="0"/>
        <v>14.399999999999999</v>
      </c>
      <c r="O7" s="55">
        <f t="shared" si="1"/>
        <v>55.598455598455601</v>
      </c>
      <c r="P7" s="56">
        <f t="shared" si="2"/>
        <v>690</v>
      </c>
      <c r="Q7" s="55">
        <f t="shared" si="3"/>
        <v>70.552147239263803</v>
      </c>
      <c r="R7" s="54">
        <f t="shared" si="4"/>
        <v>-3.1999999999999993</v>
      </c>
      <c r="S7" s="57">
        <f t="shared" si="5"/>
        <v>-27.826086956521735</v>
      </c>
      <c r="T7" s="3">
        <f t="shared" si="6"/>
        <v>-145</v>
      </c>
      <c r="U7" s="57">
        <f t="shared" si="7"/>
        <v>-50.347222222222221</v>
      </c>
      <c r="V7" s="57">
        <f t="shared" si="8"/>
        <v>17.599999999999998</v>
      </c>
      <c r="W7" s="57">
        <f t="shared" si="9"/>
        <v>835</v>
      </c>
      <c r="X7" s="58">
        <f>AVERAGE(E:E)</f>
        <v>7.9696969696969697</v>
      </c>
      <c r="Y7" s="58">
        <f>AVERAGE(I:I)</f>
        <v>21.570707070707059</v>
      </c>
      <c r="Z7" s="59">
        <f>TTEST(E:E,I:I,1,1)</f>
        <v>1.2879008033236222E-35</v>
      </c>
      <c r="AK7" s="3" t="s">
        <v>61</v>
      </c>
      <c r="AL7" s="3" t="s">
        <v>91</v>
      </c>
      <c r="AM7" s="3">
        <v>99</v>
      </c>
      <c r="AO7" s="3" t="s">
        <v>90</v>
      </c>
      <c r="AP7" s="3">
        <v>14.632133877999999</v>
      </c>
    </row>
    <row r="8" spans="1:46" x14ac:dyDescent="0.2">
      <c r="A8" s="87">
        <v>7</v>
      </c>
      <c r="B8" s="4" t="s">
        <v>2</v>
      </c>
      <c r="C8" s="9">
        <v>3.5</v>
      </c>
      <c r="D8" s="40">
        <v>5</v>
      </c>
      <c r="E8" s="2">
        <v>11.8</v>
      </c>
      <c r="F8" s="2">
        <v>456</v>
      </c>
      <c r="G8" s="2">
        <v>24.6</v>
      </c>
      <c r="H8" s="2">
        <v>903</v>
      </c>
      <c r="I8" s="2">
        <v>28.3</v>
      </c>
      <c r="J8" s="2">
        <v>1106</v>
      </c>
      <c r="L8" s="3">
        <v>1</v>
      </c>
      <c r="M8" s="17">
        <f>D8-C8</f>
        <v>1.5</v>
      </c>
      <c r="N8" s="54">
        <f t="shared" si="0"/>
        <v>12.8</v>
      </c>
      <c r="O8" s="55">
        <f t="shared" si="1"/>
        <v>52.032520325203244</v>
      </c>
      <c r="P8" s="56">
        <f t="shared" si="2"/>
        <v>447</v>
      </c>
      <c r="Q8" s="55">
        <f t="shared" si="3"/>
        <v>49.501661129568106</v>
      </c>
      <c r="R8" s="54">
        <f t="shared" si="4"/>
        <v>16.5</v>
      </c>
      <c r="S8" s="57">
        <f t="shared" si="5"/>
        <v>139.83050847457625</v>
      </c>
      <c r="T8" s="3">
        <f t="shared" si="6"/>
        <v>650</v>
      </c>
      <c r="U8" s="57">
        <f t="shared" si="7"/>
        <v>142.54385964912282</v>
      </c>
      <c r="V8" s="57">
        <f t="shared" si="8"/>
        <v>-3.6999999999999993</v>
      </c>
      <c r="W8" s="57">
        <f t="shared" si="9"/>
        <v>-203</v>
      </c>
      <c r="X8" s="58">
        <f>STDEV(E:E)</f>
        <v>4.7025493421546241</v>
      </c>
      <c r="Y8" s="58">
        <f>STDEV(I:I)</f>
        <v>5.3610510035157324</v>
      </c>
      <c r="AK8" s="3" t="s">
        <v>63</v>
      </c>
      <c r="AL8" s="3" t="s">
        <v>183</v>
      </c>
      <c r="AM8" s="3">
        <v>23.412244898000001</v>
      </c>
      <c r="AO8" s="3" t="s">
        <v>91</v>
      </c>
      <c r="AP8" s="3">
        <v>98</v>
      </c>
    </row>
    <row r="9" spans="1:46" x14ac:dyDescent="0.2">
      <c r="A9" s="87">
        <v>7</v>
      </c>
      <c r="B9" s="4" t="s">
        <v>3</v>
      </c>
      <c r="C9" s="9">
        <v>3.5</v>
      </c>
      <c r="D9" s="40">
        <v>5</v>
      </c>
      <c r="E9" s="2">
        <v>13.2</v>
      </c>
      <c r="F9" s="2">
        <v>596</v>
      </c>
      <c r="G9" s="2">
        <v>24.6</v>
      </c>
      <c r="H9" s="2">
        <v>924</v>
      </c>
      <c r="I9" s="2">
        <v>27.5</v>
      </c>
      <c r="J9" s="2">
        <v>1128</v>
      </c>
      <c r="L9" s="3">
        <v>1</v>
      </c>
      <c r="M9" s="17">
        <f>D9-C9</f>
        <v>1.5</v>
      </c>
      <c r="N9" s="54">
        <f t="shared" si="0"/>
        <v>11.400000000000002</v>
      </c>
      <c r="O9" s="55">
        <f t="shared" si="1"/>
        <v>46.341463414634156</v>
      </c>
      <c r="P9" s="56">
        <f t="shared" si="2"/>
        <v>328</v>
      </c>
      <c r="Q9" s="55">
        <f t="shared" si="3"/>
        <v>35.497835497835503</v>
      </c>
      <c r="R9" s="54">
        <f t="shared" si="4"/>
        <v>14.3</v>
      </c>
      <c r="S9" s="57">
        <f t="shared" si="5"/>
        <v>108.33333333333334</v>
      </c>
      <c r="T9" s="3">
        <f t="shared" si="6"/>
        <v>532</v>
      </c>
      <c r="U9" s="57">
        <f t="shared" si="7"/>
        <v>89.261744966442961</v>
      </c>
      <c r="V9" s="57">
        <f t="shared" si="8"/>
        <v>-2.8999999999999986</v>
      </c>
      <c r="W9" s="57">
        <f t="shared" si="9"/>
        <v>-204</v>
      </c>
      <c r="X9" s="58" t="s">
        <v>35</v>
      </c>
      <c r="Y9" s="58" t="s">
        <v>37</v>
      </c>
      <c r="Z9" s="59" t="s">
        <v>30</v>
      </c>
      <c r="AK9" s="3" t="s">
        <v>63</v>
      </c>
      <c r="AL9" s="3" t="s">
        <v>184</v>
      </c>
      <c r="AM9" s="3">
        <v>2.6741706608000002</v>
      </c>
      <c r="AO9" s="3" t="s">
        <v>92</v>
      </c>
      <c r="AP9" s="3">
        <v>0.258937374</v>
      </c>
    </row>
    <row r="10" spans="1:46" x14ac:dyDescent="0.2">
      <c r="A10" s="87">
        <v>9</v>
      </c>
      <c r="B10" s="4" t="s">
        <v>2</v>
      </c>
      <c r="C10" s="9">
        <v>2.5</v>
      </c>
      <c r="D10" s="40">
        <v>4</v>
      </c>
      <c r="E10" s="2">
        <v>3</v>
      </c>
      <c r="F10" s="2">
        <v>66</v>
      </c>
      <c r="G10" s="2">
        <v>26.3</v>
      </c>
      <c r="H10" s="2">
        <v>968</v>
      </c>
      <c r="I10" s="2">
        <v>25.4</v>
      </c>
      <c r="J10" s="2">
        <v>987</v>
      </c>
      <c r="L10" s="3">
        <v>1</v>
      </c>
      <c r="M10" s="17">
        <f>D10-C10</f>
        <v>1.5</v>
      </c>
      <c r="N10" s="54">
        <f t="shared" si="0"/>
        <v>23.3</v>
      </c>
      <c r="O10" s="55">
        <f t="shared" si="1"/>
        <v>88.593155893536121</v>
      </c>
      <c r="P10" s="56">
        <f t="shared" si="2"/>
        <v>902</v>
      </c>
      <c r="Q10" s="55">
        <f t="shared" si="3"/>
        <v>93.181818181818173</v>
      </c>
      <c r="R10" s="54">
        <f t="shared" si="4"/>
        <v>22.4</v>
      </c>
      <c r="S10" s="57">
        <f t="shared" si="5"/>
        <v>746.66666666666663</v>
      </c>
      <c r="T10" s="3">
        <f t="shared" si="6"/>
        <v>921</v>
      </c>
      <c r="U10" s="57">
        <f t="shared" si="7"/>
        <v>1395.4545454545455</v>
      </c>
      <c r="V10" s="57">
        <f t="shared" si="8"/>
        <v>0.90000000000000213</v>
      </c>
      <c r="W10" s="57">
        <f t="shared" si="9"/>
        <v>-19</v>
      </c>
      <c r="X10" s="58">
        <f>AVERAGE(E:E)</f>
        <v>7.9696969696969697</v>
      </c>
      <c r="Y10" s="58">
        <f>AVERAGE(G:G)</f>
        <v>23.412244897959191</v>
      </c>
      <c r="Z10" s="59">
        <f>TTEST(E:E,G:G,1,1)</f>
        <v>5.8431311108874773E-55</v>
      </c>
      <c r="AK10" s="3" t="s">
        <v>63</v>
      </c>
      <c r="AL10" s="3" t="s">
        <v>185</v>
      </c>
      <c r="AM10" s="3">
        <v>0.27013202980000001</v>
      </c>
    </row>
    <row r="11" spans="1:46" x14ac:dyDescent="0.2">
      <c r="A11" s="87">
        <v>9</v>
      </c>
      <c r="B11" s="4" t="s">
        <v>3</v>
      </c>
      <c r="C11" s="9">
        <v>2.75</v>
      </c>
      <c r="D11" s="40">
        <v>4</v>
      </c>
      <c r="E11" s="2">
        <v>2.6</v>
      </c>
      <c r="F11" s="2">
        <v>100</v>
      </c>
      <c r="G11" s="2">
        <v>25.2</v>
      </c>
      <c r="H11" s="2">
        <v>981</v>
      </c>
      <c r="I11" s="2">
        <v>25.4</v>
      </c>
      <c r="J11" s="2">
        <v>995</v>
      </c>
      <c r="L11" s="3">
        <v>1</v>
      </c>
      <c r="M11" s="17">
        <f>D11-C11</f>
        <v>1.25</v>
      </c>
      <c r="N11" s="54">
        <f t="shared" si="0"/>
        <v>22.599999999999998</v>
      </c>
      <c r="O11" s="55">
        <f t="shared" si="1"/>
        <v>89.682539682539669</v>
      </c>
      <c r="P11" s="56">
        <f t="shared" si="2"/>
        <v>881</v>
      </c>
      <c r="Q11" s="55">
        <f t="shared" si="3"/>
        <v>89.806320081549444</v>
      </c>
      <c r="R11" s="54">
        <f t="shared" si="4"/>
        <v>22.799999999999997</v>
      </c>
      <c r="S11" s="57">
        <f t="shared" si="5"/>
        <v>876.92307692307679</v>
      </c>
      <c r="T11" s="3">
        <f t="shared" si="6"/>
        <v>895</v>
      </c>
      <c r="U11" s="57">
        <f t="shared" si="7"/>
        <v>894.99999999999989</v>
      </c>
      <c r="V11" s="57">
        <f t="shared" si="8"/>
        <v>-0.19999999999999929</v>
      </c>
      <c r="W11" s="57">
        <f t="shared" si="9"/>
        <v>-14</v>
      </c>
      <c r="Y11" s="58">
        <f>STDEV(G:G)</f>
        <v>2.6741706607678766</v>
      </c>
      <c r="AK11" s="3" t="s">
        <v>63</v>
      </c>
      <c r="AL11" s="3" t="s">
        <v>186</v>
      </c>
      <c r="AM11" s="3">
        <v>23.948382201000001</v>
      </c>
      <c r="AO11" s="3" t="s">
        <v>65</v>
      </c>
      <c r="AP11" s="3">
        <v>21.474489796</v>
      </c>
      <c r="AR11" s="3" t="s">
        <v>81</v>
      </c>
      <c r="AS11" s="3">
        <v>19.245328268000002</v>
      </c>
    </row>
    <row r="12" spans="1:46" x14ac:dyDescent="0.2">
      <c r="A12" s="87">
        <v>12</v>
      </c>
      <c r="B12" s="4" t="s">
        <v>3</v>
      </c>
      <c r="C12" s="9">
        <v>1</v>
      </c>
      <c r="D12" s="40">
        <v>2</v>
      </c>
      <c r="E12" s="2">
        <v>8.5</v>
      </c>
      <c r="F12" s="2">
        <v>259</v>
      </c>
      <c r="G12" s="2">
        <v>21.5</v>
      </c>
      <c r="H12" s="2">
        <v>864</v>
      </c>
      <c r="I12" s="2">
        <v>5.7</v>
      </c>
      <c r="J12" s="2">
        <v>201</v>
      </c>
      <c r="K12" s="3" t="s">
        <v>5</v>
      </c>
      <c r="L12" s="3">
        <v>1</v>
      </c>
      <c r="M12" s="17">
        <f>D12-C12</f>
        <v>1</v>
      </c>
      <c r="N12" s="54">
        <f t="shared" si="0"/>
        <v>13</v>
      </c>
      <c r="O12" s="55">
        <f t="shared" si="1"/>
        <v>60.465116279069761</v>
      </c>
      <c r="P12" s="56">
        <f t="shared" si="2"/>
        <v>605</v>
      </c>
      <c r="Q12" s="55">
        <f t="shared" si="3"/>
        <v>70.023148148148152</v>
      </c>
      <c r="R12" s="54">
        <f t="shared" si="4"/>
        <v>-2.8</v>
      </c>
      <c r="S12" s="57">
        <f t="shared" si="5"/>
        <v>-32.941176470588232</v>
      </c>
      <c r="T12" s="3">
        <f t="shared" si="6"/>
        <v>-58</v>
      </c>
      <c r="U12" s="57">
        <f t="shared" si="7"/>
        <v>-22.393822393822393</v>
      </c>
      <c r="V12" s="57">
        <f t="shared" si="8"/>
        <v>15.8</v>
      </c>
      <c r="W12" s="57">
        <f t="shared" si="9"/>
        <v>663</v>
      </c>
      <c r="X12" s="58" t="s">
        <v>57</v>
      </c>
      <c r="Y12" s="58" t="s">
        <v>55</v>
      </c>
      <c r="Z12" s="59" t="s">
        <v>29</v>
      </c>
      <c r="AK12" s="3" t="s">
        <v>63</v>
      </c>
      <c r="AL12" s="3" t="s">
        <v>187</v>
      </c>
      <c r="AM12" s="3">
        <v>22.876107595000001</v>
      </c>
      <c r="AO12" s="3" t="s">
        <v>61</v>
      </c>
      <c r="AP12" s="3">
        <v>7.8469387755</v>
      </c>
      <c r="AR12" s="3" t="s">
        <v>82</v>
      </c>
      <c r="AS12" s="3">
        <v>97</v>
      </c>
    </row>
    <row r="13" spans="1:46" x14ac:dyDescent="0.2">
      <c r="A13" s="87">
        <v>13</v>
      </c>
      <c r="B13" s="4" t="s">
        <v>2</v>
      </c>
      <c r="C13" s="9">
        <v>3</v>
      </c>
      <c r="D13" s="40">
        <v>2</v>
      </c>
      <c r="E13" s="2">
        <v>11.1</v>
      </c>
      <c r="F13" s="2">
        <v>350</v>
      </c>
      <c r="G13" s="2">
        <v>20.399999999999999</v>
      </c>
      <c r="H13" s="2">
        <v>813</v>
      </c>
      <c r="I13" s="2">
        <v>24.6</v>
      </c>
      <c r="J13" s="2">
        <v>952</v>
      </c>
      <c r="L13" s="3">
        <v>1</v>
      </c>
      <c r="M13" s="43">
        <v>-1</v>
      </c>
      <c r="N13" s="54">
        <f t="shared" si="0"/>
        <v>9.2999999999999989</v>
      </c>
      <c r="O13" s="55">
        <f t="shared" si="1"/>
        <v>45.588235294117645</v>
      </c>
      <c r="P13" s="56">
        <f t="shared" si="2"/>
        <v>463</v>
      </c>
      <c r="Q13" s="55">
        <f t="shared" si="3"/>
        <v>56.949569495694952</v>
      </c>
      <c r="R13" s="54">
        <f t="shared" si="4"/>
        <v>13.500000000000002</v>
      </c>
      <c r="S13" s="57">
        <f t="shared" si="5"/>
        <v>121.62162162162164</v>
      </c>
      <c r="T13" s="3">
        <f t="shared" si="6"/>
        <v>602</v>
      </c>
      <c r="U13" s="57">
        <f t="shared" si="7"/>
        <v>172</v>
      </c>
      <c r="V13" s="57">
        <f t="shared" si="8"/>
        <v>-4.2000000000000028</v>
      </c>
      <c r="W13" s="57">
        <f t="shared" si="9"/>
        <v>-139</v>
      </c>
      <c r="X13" s="62">
        <f>MAX(V:V)</f>
        <v>21.599999999999998</v>
      </c>
      <c r="Y13" s="62">
        <f>AVERAGE(V:V)</f>
        <v>1.9377551020408152</v>
      </c>
      <c r="Z13" s="59">
        <f>TTEST(G:G,I:I,2,1)</f>
        <v>1.342857189375501E-3</v>
      </c>
      <c r="AK13" s="3" t="s">
        <v>63</v>
      </c>
      <c r="AL13" s="3" t="s">
        <v>91</v>
      </c>
      <c r="AM13" s="3">
        <v>98</v>
      </c>
      <c r="AO13" s="3" t="s">
        <v>83</v>
      </c>
      <c r="AP13" s="3">
        <v>13.62755102</v>
      </c>
      <c r="AR13" s="60" t="s">
        <v>84</v>
      </c>
      <c r="AS13" s="60"/>
      <c r="AT13" s="60" t="s">
        <v>85</v>
      </c>
    </row>
    <row r="14" spans="1:46" x14ac:dyDescent="0.2">
      <c r="A14" s="86">
        <v>13</v>
      </c>
      <c r="B14" s="4" t="s">
        <v>3</v>
      </c>
      <c r="C14" s="9">
        <v>2.75</v>
      </c>
      <c r="D14" s="40">
        <v>1</v>
      </c>
      <c r="E14" s="2">
        <v>9.1999999999999993</v>
      </c>
      <c r="F14" s="2">
        <v>298</v>
      </c>
      <c r="G14" s="2">
        <v>23.5</v>
      </c>
      <c r="H14" s="2">
        <v>910</v>
      </c>
      <c r="I14" s="2">
        <v>24.6</v>
      </c>
      <c r="J14" s="2">
        <v>961</v>
      </c>
      <c r="L14" s="3">
        <v>1</v>
      </c>
      <c r="M14" s="43">
        <v>-1.75</v>
      </c>
      <c r="N14" s="54">
        <f t="shared" si="0"/>
        <v>14.3</v>
      </c>
      <c r="O14" s="55">
        <f t="shared" si="1"/>
        <v>60.851063829787236</v>
      </c>
      <c r="P14" s="56">
        <f t="shared" si="2"/>
        <v>612</v>
      </c>
      <c r="Q14" s="55">
        <f t="shared" si="3"/>
        <v>67.252747252747255</v>
      </c>
      <c r="R14" s="54">
        <f t="shared" si="4"/>
        <v>15.400000000000002</v>
      </c>
      <c r="S14" s="57">
        <f t="shared" si="5"/>
        <v>167.39130434782612</v>
      </c>
      <c r="T14" s="3">
        <f t="shared" si="6"/>
        <v>663</v>
      </c>
      <c r="U14" s="57">
        <f t="shared" si="7"/>
        <v>222.48322147651004</v>
      </c>
      <c r="V14" s="57">
        <f t="shared" si="8"/>
        <v>-1.1000000000000014</v>
      </c>
      <c r="W14" s="57">
        <f t="shared" si="9"/>
        <v>-51</v>
      </c>
      <c r="X14" s="58" t="s">
        <v>56</v>
      </c>
      <c r="Y14" s="62" t="s">
        <v>58</v>
      </c>
      <c r="AK14" s="3" t="s">
        <v>65</v>
      </c>
      <c r="AL14" s="3" t="s">
        <v>183</v>
      </c>
      <c r="AM14" s="3">
        <v>21.570707071000001</v>
      </c>
      <c r="AO14" s="3" t="s">
        <v>86</v>
      </c>
      <c r="AP14" s="3">
        <v>0.70809657439999996</v>
      </c>
      <c r="AR14" s="3" t="s">
        <v>87</v>
      </c>
      <c r="AT14" s="3" t="s">
        <v>85</v>
      </c>
    </row>
    <row r="15" spans="1:46" x14ac:dyDescent="0.2">
      <c r="A15" s="87">
        <v>14</v>
      </c>
      <c r="B15" s="4" t="s">
        <v>2</v>
      </c>
      <c r="C15" s="9">
        <v>2</v>
      </c>
      <c r="D15" s="40">
        <v>3.5</v>
      </c>
      <c r="E15" s="2">
        <v>15.9</v>
      </c>
      <c r="F15" s="2">
        <v>579</v>
      </c>
      <c r="G15" s="2">
        <v>26.7</v>
      </c>
      <c r="H15" s="2">
        <v>1120</v>
      </c>
      <c r="I15" s="2">
        <v>19.600000000000001</v>
      </c>
      <c r="J15" s="2">
        <v>600</v>
      </c>
      <c r="L15" s="3">
        <v>1</v>
      </c>
      <c r="M15" s="17">
        <f t="shared" ref="M15:M24" si="10">D15-C15</f>
        <v>1.5</v>
      </c>
      <c r="N15" s="54">
        <f t="shared" si="0"/>
        <v>10.799999999999999</v>
      </c>
      <c r="O15" s="55">
        <f t="shared" si="1"/>
        <v>40.449438202247187</v>
      </c>
      <c r="P15" s="56">
        <f t="shared" si="2"/>
        <v>541</v>
      </c>
      <c r="Q15" s="55">
        <f t="shared" si="3"/>
        <v>48.303571428571431</v>
      </c>
      <c r="R15" s="54">
        <f t="shared" si="4"/>
        <v>3.7000000000000011</v>
      </c>
      <c r="S15" s="57">
        <f t="shared" si="5"/>
        <v>23.270440251572332</v>
      </c>
      <c r="T15" s="3">
        <f t="shared" si="6"/>
        <v>21</v>
      </c>
      <c r="U15" s="57">
        <f t="shared" si="7"/>
        <v>3.6269430051813467</v>
      </c>
      <c r="V15" s="57">
        <f t="shared" si="8"/>
        <v>7.0999999999999979</v>
      </c>
      <c r="W15" s="57">
        <f t="shared" si="9"/>
        <v>520</v>
      </c>
      <c r="X15" s="63">
        <f>MIN(V:V)</f>
        <v>-9.3000000000000007</v>
      </c>
      <c r="Y15" s="62">
        <f>AVERAGE(R:R)</f>
        <v>13.601010101010097</v>
      </c>
      <c r="AK15" s="3" t="s">
        <v>65</v>
      </c>
      <c r="AL15" s="3" t="s">
        <v>184</v>
      </c>
      <c r="AM15" s="3">
        <v>5.3610510035000001</v>
      </c>
      <c r="AO15" s="3" t="s">
        <v>88</v>
      </c>
      <c r="AP15" s="3">
        <v>15.03292671</v>
      </c>
      <c r="AR15" s="3" t="s">
        <v>89</v>
      </c>
      <c r="AT15" s="3">
        <v>1</v>
      </c>
    </row>
    <row r="16" spans="1:46" x14ac:dyDescent="0.2">
      <c r="A16" s="87">
        <v>14</v>
      </c>
      <c r="B16" s="4" t="s">
        <v>3</v>
      </c>
      <c r="C16" s="9">
        <v>2</v>
      </c>
      <c r="D16" s="40">
        <v>3</v>
      </c>
      <c r="E16" s="2">
        <v>13</v>
      </c>
      <c r="F16" s="2">
        <v>455</v>
      </c>
      <c r="G16" s="2">
        <v>24.8</v>
      </c>
      <c r="H16" s="2">
        <v>1039</v>
      </c>
      <c r="I16" s="2">
        <v>20</v>
      </c>
      <c r="J16" s="2">
        <v>605</v>
      </c>
      <c r="L16" s="3">
        <v>1</v>
      </c>
      <c r="M16" s="17">
        <f t="shared" si="10"/>
        <v>1</v>
      </c>
      <c r="N16" s="54">
        <f t="shared" si="0"/>
        <v>11.8</v>
      </c>
      <c r="O16" s="55">
        <f t="shared" si="1"/>
        <v>47.580645161290327</v>
      </c>
      <c r="P16" s="56">
        <f t="shared" si="2"/>
        <v>584</v>
      </c>
      <c r="Q16" s="55">
        <f t="shared" si="3"/>
        <v>56.207892204042352</v>
      </c>
      <c r="R16" s="54">
        <f t="shared" si="4"/>
        <v>7</v>
      </c>
      <c r="S16" s="57">
        <f t="shared" si="5"/>
        <v>53.846153846153847</v>
      </c>
      <c r="T16" s="3">
        <f t="shared" si="6"/>
        <v>150</v>
      </c>
      <c r="U16" s="57">
        <f t="shared" si="7"/>
        <v>32.967032967032964</v>
      </c>
      <c r="V16" s="57">
        <f t="shared" si="8"/>
        <v>4.8000000000000007</v>
      </c>
      <c r="W16" s="57">
        <f t="shared" si="9"/>
        <v>434</v>
      </c>
      <c r="X16" s="63"/>
      <c r="Y16" s="62"/>
      <c r="AK16" s="3" t="s">
        <v>65</v>
      </c>
      <c r="AL16" s="3" t="s">
        <v>185</v>
      </c>
      <c r="AM16" s="3">
        <v>0.53880589879999996</v>
      </c>
      <c r="AO16" s="3" t="s">
        <v>90</v>
      </c>
      <c r="AP16" s="3">
        <v>12.222175331000001</v>
      </c>
    </row>
    <row r="17" spans="1:47" x14ac:dyDescent="0.2">
      <c r="A17" s="87">
        <v>16</v>
      </c>
      <c r="B17" s="4" t="s">
        <v>2</v>
      </c>
      <c r="C17" s="9">
        <v>3</v>
      </c>
      <c r="D17" s="40">
        <v>5</v>
      </c>
      <c r="E17" s="3">
        <v>10.7</v>
      </c>
      <c r="F17" s="3">
        <v>355</v>
      </c>
      <c r="G17" s="3">
        <v>22.8</v>
      </c>
      <c r="H17" s="3">
        <v>880</v>
      </c>
      <c r="I17" s="3">
        <v>23.9</v>
      </c>
      <c r="J17" s="2">
        <v>841</v>
      </c>
      <c r="L17" s="3">
        <v>1</v>
      </c>
      <c r="M17" s="17">
        <f t="shared" si="10"/>
        <v>2</v>
      </c>
      <c r="N17" s="54">
        <f t="shared" si="0"/>
        <v>12.100000000000001</v>
      </c>
      <c r="O17" s="55">
        <f t="shared" si="1"/>
        <v>53.0701754385965</v>
      </c>
      <c r="P17" s="56">
        <f t="shared" si="2"/>
        <v>525</v>
      </c>
      <c r="Q17" s="55">
        <f t="shared" si="3"/>
        <v>59.659090909090907</v>
      </c>
      <c r="R17" s="54">
        <f t="shared" si="4"/>
        <v>13.2</v>
      </c>
      <c r="S17" s="57">
        <f t="shared" si="5"/>
        <v>123.36448598130841</v>
      </c>
      <c r="T17" s="3">
        <f t="shared" si="6"/>
        <v>486</v>
      </c>
      <c r="U17" s="57">
        <f t="shared" si="7"/>
        <v>136.90140845070422</v>
      </c>
      <c r="V17" s="57">
        <f t="shared" si="8"/>
        <v>-1.0999999999999979</v>
      </c>
      <c r="W17" s="57">
        <f t="shared" si="9"/>
        <v>39</v>
      </c>
      <c r="Y17" s="62"/>
      <c r="AK17" s="3" t="s">
        <v>65</v>
      </c>
      <c r="AL17" s="3" t="s">
        <v>186</v>
      </c>
      <c r="AM17" s="3">
        <v>22.639949841</v>
      </c>
      <c r="AO17" s="3" t="s">
        <v>91</v>
      </c>
      <c r="AP17" s="3">
        <v>98</v>
      </c>
    </row>
    <row r="18" spans="1:47" x14ac:dyDescent="0.2">
      <c r="A18" s="86">
        <v>16</v>
      </c>
      <c r="B18" s="4" t="s">
        <v>3</v>
      </c>
      <c r="C18" s="9">
        <v>2.75</v>
      </c>
      <c r="D18" s="40">
        <v>4.5</v>
      </c>
      <c r="E18" s="3">
        <v>13.2</v>
      </c>
      <c r="F18" s="3">
        <v>355</v>
      </c>
      <c r="G18" s="3">
        <v>24</v>
      </c>
      <c r="H18" s="3">
        <v>936</v>
      </c>
      <c r="I18" s="3">
        <v>22.1</v>
      </c>
      <c r="J18" s="2">
        <v>740</v>
      </c>
      <c r="L18" s="3">
        <v>1</v>
      </c>
      <c r="M18" s="17">
        <f t="shared" si="10"/>
        <v>1.75</v>
      </c>
      <c r="N18" s="54">
        <f t="shared" si="0"/>
        <v>10.8</v>
      </c>
      <c r="O18" s="55">
        <f t="shared" si="1"/>
        <v>45</v>
      </c>
      <c r="P18" s="56">
        <f t="shared" si="2"/>
        <v>581</v>
      </c>
      <c r="Q18" s="55">
        <f t="shared" si="3"/>
        <v>62.072649572649574</v>
      </c>
      <c r="R18" s="54">
        <f t="shared" si="4"/>
        <v>8.9000000000000021</v>
      </c>
      <c r="S18" s="57">
        <f t="shared" si="5"/>
        <v>67.424242424242436</v>
      </c>
      <c r="T18" s="3">
        <f t="shared" si="6"/>
        <v>385</v>
      </c>
      <c r="U18" s="57">
        <f t="shared" si="7"/>
        <v>108.45070422535213</v>
      </c>
      <c r="V18" s="57">
        <f t="shared" si="8"/>
        <v>1.8999999999999986</v>
      </c>
      <c r="W18" s="57">
        <f t="shared" si="9"/>
        <v>196</v>
      </c>
      <c r="X18" s="61" t="s">
        <v>51</v>
      </c>
      <c r="AK18" s="3" t="s">
        <v>65</v>
      </c>
      <c r="AL18" s="3" t="s">
        <v>187</v>
      </c>
      <c r="AM18" s="3">
        <v>20.501464299999999</v>
      </c>
      <c r="AO18" s="3" t="s">
        <v>92</v>
      </c>
      <c r="AP18" s="3">
        <v>-3.9542789999999998E-3</v>
      </c>
    </row>
    <row r="19" spans="1:47" x14ac:dyDescent="0.2">
      <c r="A19" s="87">
        <v>17</v>
      </c>
      <c r="B19" s="4" t="s">
        <v>2</v>
      </c>
      <c r="C19" s="9">
        <v>2</v>
      </c>
      <c r="D19" s="40">
        <v>3</v>
      </c>
      <c r="E19" s="2">
        <v>2.1</v>
      </c>
      <c r="F19" s="2">
        <v>89</v>
      </c>
      <c r="G19" s="2">
        <v>24.1</v>
      </c>
      <c r="H19" s="2">
        <v>901</v>
      </c>
      <c r="I19" s="2">
        <v>23.1</v>
      </c>
      <c r="J19" s="2">
        <v>818</v>
      </c>
      <c r="L19" s="3">
        <v>1</v>
      </c>
      <c r="M19" s="17">
        <f t="shared" si="10"/>
        <v>1</v>
      </c>
      <c r="N19" s="54">
        <f t="shared" si="0"/>
        <v>22</v>
      </c>
      <c r="O19" s="55">
        <f t="shared" si="1"/>
        <v>91.286307053941911</v>
      </c>
      <c r="P19" s="56">
        <f t="shared" si="2"/>
        <v>812</v>
      </c>
      <c r="Q19" s="55">
        <f t="shared" si="3"/>
        <v>90.122086570477251</v>
      </c>
      <c r="R19" s="54">
        <f t="shared" si="4"/>
        <v>21</v>
      </c>
      <c r="S19" s="57">
        <f t="shared" si="5"/>
        <v>1000</v>
      </c>
      <c r="T19" s="3">
        <f t="shared" si="6"/>
        <v>729</v>
      </c>
      <c r="U19" s="57">
        <f t="shared" si="7"/>
        <v>819.10112359550556</v>
      </c>
      <c r="V19" s="57">
        <f t="shared" si="8"/>
        <v>1</v>
      </c>
      <c r="W19" s="57">
        <f t="shared" si="9"/>
        <v>83</v>
      </c>
      <c r="X19" s="58" t="s">
        <v>42</v>
      </c>
      <c r="Y19" s="58" t="s">
        <v>43</v>
      </c>
      <c r="Z19" s="59" t="s">
        <v>48</v>
      </c>
      <c r="AA19" s="3" t="s">
        <v>41</v>
      </c>
      <c r="AK19" s="3" t="s">
        <v>65</v>
      </c>
      <c r="AL19" s="3" t="s">
        <v>91</v>
      </c>
      <c r="AM19" s="3">
        <v>99</v>
      </c>
    </row>
    <row r="20" spans="1:47" x14ac:dyDescent="0.2">
      <c r="A20" s="87">
        <v>17</v>
      </c>
      <c r="B20" s="4" t="s">
        <v>3</v>
      </c>
      <c r="C20" s="9">
        <v>1</v>
      </c>
      <c r="D20" s="40">
        <v>3</v>
      </c>
      <c r="E20" s="2">
        <v>3.8</v>
      </c>
      <c r="F20" s="2">
        <v>77</v>
      </c>
      <c r="G20" s="2">
        <v>22.8</v>
      </c>
      <c r="H20" s="2">
        <v>846</v>
      </c>
      <c r="I20" s="2">
        <v>22.1</v>
      </c>
      <c r="J20" s="2">
        <v>771</v>
      </c>
      <c r="L20" s="3">
        <v>1</v>
      </c>
      <c r="M20" s="17">
        <f t="shared" si="10"/>
        <v>2</v>
      </c>
      <c r="N20" s="54">
        <f t="shared" si="0"/>
        <v>19</v>
      </c>
      <c r="O20" s="55">
        <f t="shared" si="1"/>
        <v>83.333333333333329</v>
      </c>
      <c r="P20" s="56">
        <f t="shared" si="2"/>
        <v>769</v>
      </c>
      <c r="Q20" s="55">
        <f t="shared" si="3"/>
        <v>90.898345153664309</v>
      </c>
      <c r="R20" s="54">
        <f t="shared" si="4"/>
        <v>18.3</v>
      </c>
      <c r="S20" s="57">
        <f t="shared" si="5"/>
        <v>481.57894736842104</v>
      </c>
      <c r="T20" s="3">
        <f t="shared" si="6"/>
        <v>694</v>
      </c>
      <c r="U20" s="57">
        <f t="shared" si="7"/>
        <v>901.2987012987013</v>
      </c>
      <c r="V20" s="57">
        <f t="shared" si="8"/>
        <v>0.69999999999999929</v>
      </c>
      <c r="W20" s="57">
        <f t="shared" si="9"/>
        <v>75</v>
      </c>
      <c r="X20" s="58">
        <f>AVERAGE(N:N)</f>
        <v>15.565306122448979</v>
      </c>
      <c r="Y20" s="62">
        <f>AVERAGE(R:R)</f>
        <v>13.601010101010097</v>
      </c>
      <c r="Z20" s="59">
        <f>TTEST(N:N,R:R,2,1)</f>
        <v>1.3428571893756482E-3</v>
      </c>
      <c r="AO20" s="3" t="s">
        <v>65</v>
      </c>
      <c r="AP20" s="3">
        <v>21.474489796</v>
      </c>
      <c r="AR20" s="3" t="s">
        <v>81</v>
      </c>
      <c r="AS20" s="3">
        <v>-3.302428291</v>
      </c>
    </row>
    <row r="21" spans="1:47" x14ac:dyDescent="0.2">
      <c r="A21" s="86">
        <v>22</v>
      </c>
      <c r="B21" s="4" t="s">
        <v>2</v>
      </c>
      <c r="C21" s="9">
        <v>2.5</v>
      </c>
      <c r="D21" s="40">
        <v>4</v>
      </c>
      <c r="E21" s="2">
        <v>8.9</v>
      </c>
      <c r="F21" s="2">
        <v>159</v>
      </c>
      <c r="G21" s="2">
        <v>25</v>
      </c>
      <c r="H21" s="2">
        <v>960</v>
      </c>
      <c r="I21" s="2">
        <v>14.3</v>
      </c>
      <c r="J21" s="2">
        <v>589</v>
      </c>
      <c r="L21" s="3">
        <v>1</v>
      </c>
      <c r="M21" s="17">
        <f t="shared" si="10"/>
        <v>1.5</v>
      </c>
      <c r="N21" s="54">
        <f t="shared" si="0"/>
        <v>16.100000000000001</v>
      </c>
      <c r="O21" s="55">
        <f t="shared" si="1"/>
        <v>64.400000000000006</v>
      </c>
      <c r="P21" s="56">
        <f t="shared" si="2"/>
        <v>801</v>
      </c>
      <c r="Q21" s="55">
        <f t="shared" si="3"/>
        <v>83.4375</v>
      </c>
      <c r="R21" s="54">
        <f t="shared" si="4"/>
        <v>5.4</v>
      </c>
      <c r="S21" s="57">
        <f t="shared" si="5"/>
        <v>60.674157303370791</v>
      </c>
      <c r="T21" s="3">
        <f t="shared" si="6"/>
        <v>430</v>
      </c>
      <c r="U21" s="57">
        <f t="shared" si="7"/>
        <v>270.44025157232704</v>
      </c>
      <c r="V21" s="57">
        <f t="shared" si="8"/>
        <v>10.7</v>
      </c>
      <c r="W21" s="57">
        <f t="shared" si="9"/>
        <v>371</v>
      </c>
      <c r="AO21" s="3" t="s">
        <v>63</v>
      </c>
      <c r="AP21" s="3">
        <v>23.412244898000001</v>
      </c>
      <c r="AR21" s="3" t="s">
        <v>82</v>
      </c>
      <c r="AS21" s="3">
        <v>97</v>
      </c>
    </row>
    <row r="22" spans="1:47" x14ac:dyDescent="0.2">
      <c r="A22" s="87">
        <v>22</v>
      </c>
      <c r="B22" s="4" t="s">
        <v>3</v>
      </c>
      <c r="C22" s="9">
        <v>2.5</v>
      </c>
      <c r="D22" s="40">
        <v>4</v>
      </c>
      <c r="E22" s="2">
        <v>10.7</v>
      </c>
      <c r="F22" s="2">
        <v>175</v>
      </c>
      <c r="G22" s="2">
        <v>18.2</v>
      </c>
      <c r="H22" s="2">
        <v>577</v>
      </c>
      <c r="I22" s="2">
        <v>16.8</v>
      </c>
      <c r="J22" s="2">
        <v>781</v>
      </c>
      <c r="L22" s="3">
        <v>1</v>
      </c>
      <c r="M22" s="17">
        <f t="shared" si="10"/>
        <v>1.5</v>
      </c>
      <c r="N22" s="54">
        <f t="shared" si="0"/>
        <v>7.5</v>
      </c>
      <c r="O22" s="55">
        <f t="shared" si="1"/>
        <v>41.208791208791212</v>
      </c>
      <c r="P22" s="56">
        <f t="shared" si="2"/>
        <v>402</v>
      </c>
      <c r="Q22" s="55">
        <f t="shared" si="3"/>
        <v>69.670710571923749</v>
      </c>
      <c r="R22" s="54">
        <f t="shared" si="4"/>
        <v>6.1000000000000014</v>
      </c>
      <c r="S22" s="57">
        <f t="shared" si="5"/>
        <v>57.009345794392544</v>
      </c>
      <c r="T22" s="3">
        <f t="shared" si="6"/>
        <v>606</v>
      </c>
      <c r="U22" s="57">
        <f t="shared" si="7"/>
        <v>346.28571428571433</v>
      </c>
      <c r="V22" s="57">
        <f t="shared" si="8"/>
        <v>1.3999999999999986</v>
      </c>
      <c r="W22" s="57">
        <f t="shared" si="9"/>
        <v>-204</v>
      </c>
      <c r="X22" s="61" t="s">
        <v>52</v>
      </c>
      <c r="AK22" s="3" t="s">
        <v>62</v>
      </c>
      <c r="AL22" s="3" t="s">
        <v>183</v>
      </c>
      <c r="AM22" s="3">
        <v>222.66666667000001</v>
      </c>
      <c r="AO22" s="3" t="s">
        <v>83</v>
      </c>
      <c r="AP22" s="3">
        <v>-1.9377551019999999</v>
      </c>
      <c r="AR22" s="60" t="s">
        <v>84</v>
      </c>
      <c r="AS22" s="60"/>
      <c r="AT22" s="60">
        <v>1.2999999999999999E-3</v>
      </c>
    </row>
    <row r="23" spans="1:47" x14ac:dyDescent="0.2">
      <c r="A23" s="87">
        <v>25</v>
      </c>
      <c r="B23" s="4" t="s">
        <v>2</v>
      </c>
      <c r="C23" s="9">
        <v>2.5</v>
      </c>
      <c r="D23" s="40">
        <v>3.5</v>
      </c>
      <c r="E23" s="2">
        <v>8</v>
      </c>
      <c r="F23" s="2">
        <v>248</v>
      </c>
      <c r="G23" s="2">
        <v>21.2</v>
      </c>
      <c r="H23" s="2">
        <v>842</v>
      </c>
      <c r="I23" s="2">
        <v>21.2</v>
      </c>
      <c r="J23" s="2">
        <v>892</v>
      </c>
      <c r="L23" s="3">
        <v>1</v>
      </c>
      <c r="M23" s="17">
        <f t="shared" si="10"/>
        <v>1</v>
      </c>
      <c r="N23" s="54">
        <f t="shared" si="0"/>
        <v>13.2</v>
      </c>
      <c r="O23" s="55">
        <f t="shared" si="1"/>
        <v>62.264150943396224</v>
      </c>
      <c r="P23" s="56">
        <f t="shared" si="2"/>
        <v>594</v>
      </c>
      <c r="Q23" s="55">
        <f t="shared" si="3"/>
        <v>70.546318289786228</v>
      </c>
      <c r="R23" s="54">
        <f t="shared" si="4"/>
        <v>13.2</v>
      </c>
      <c r="S23" s="57">
        <f t="shared" si="5"/>
        <v>165</v>
      </c>
      <c r="T23" s="3">
        <f t="shared" si="6"/>
        <v>644</v>
      </c>
      <c r="U23" s="57">
        <f t="shared" si="7"/>
        <v>259.67741935483872</v>
      </c>
      <c r="V23" s="57">
        <f t="shared" si="8"/>
        <v>0</v>
      </c>
      <c r="W23" s="57">
        <f t="shared" si="9"/>
        <v>-50</v>
      </c>
      <c r="X23" s="58" t="s">
        <v>38</v>
      </c>
      <c r="Y23" s="58" t="s">
        <v>39</v>
      </c>
      <c r="Z23" s="59" t="s">
        <v>27</v>
      </c>
      <c r="AA23" s="3" t="s">
        <v>80</v>
      </c>
      <c r="AK23" s="3" t="s">
        <v>62</v>
      </c>
      <c r="AL23" s="3" t="s">
        <v>184</v>
      </c>
      <c r="AM23" s="3">
        <v>156.69409949000001</v>
      </c>
      <c r="AO23" s="3" t="s">
        <v>86</v>
      </c>
      <c r="AP23" s="3">
        <v>0.58676674600000001</v>
      </c>
      <c r="AR23" s="3" t="s">
        <v>87</v>
      </c>
      <c r="AT23" s="3">
        <v>0.99929999999999997</v>
      </c>
    </row>
    <row r="24" spans="1:47" x14ac:dyDescent="0.2">
      <c r="A24" s="87">
        <v>25</v>
      </c>
      <c r="B24" s="4" t="s">
        <v>3</v>
      </c>
      <c r="C24" s="9">
        <v>3</v>
      </c>
      <c r="D24" s="40">
        <v>3.5</v>
      </c>
      <c r="E24" s="2">
        <v>1.6</v>
      </c>
      <c r="F24" s="2">
        <v>51</v>
      </c>
      <c r="G24" s="2">
        <v>20.8</v>
      </c>
      <c r="H24" s="2">
        <v>837</v>
      </c>
      <c r="I24" s="2">
        <v>21.6</v>
      </c>
      <c r="J24" s="2">
        <v>939</v>
      </c>
      <c r="L24" s="3">
        <v>1</v>
      </c>
      <c r="M24" s="17">
        <f t="shared" si="10"/>
        <v>0.5</v>
      </c>
      <c r="N24" s="54">
        <f t="shared" si="0"/>
        <v>19.2</v>
      </c>
      <c r="O24" s="55">
        <f t="shared" si="1"/>
        <v>92.307692307692307</v>
      </c>
      <c r="P24" s="56">
        <f t="shared" si="2"/>
        <v>786</v>
      </c>
      <c r="Q24" s="55">
        <f t="shared" si="3"/>
        <v>93.906810035842298</v>
      </c>
      <c r="R24" s="54">
        <f t="shared" si="4"/>
        <v>20</v>
      </c>
      <c r="S24" s="57">
        <f t="shared" si="5"/>
        <v>1250</v>
      </c>
      <c r="T24" s="3">
        <f t="shared" si="6"/>
        <v>888</v>
      </c>
      <c r="U24" s="57">
        <f t="shared" si="7"/>
        <v>1741.1764705882351</v>
      </c>
      <c r="V24" s="57">
        <f t="shared" si="8"/>
        <v>-0.80000000000000071</v>
      </c>
      <c r="W24" s="57">
        <f t="shared" si="9"/>
        <v>-102</v>
      </c>
      <c r="X24" s="58">
        <f>AVERAGE(F:F)</f>
        <v>222.66666666666666</v>
      </c>
      <c r="Y24" s="58">
        <f>AVERAGE(J:J)</f>
        <v>831.68686868686871</v>
      </c>
      <c r="Z24" s="59">
        <f>TTEST(F:F,J:J,1,1)</f>
        <v>6.7777939925849626E-36</v>
      </c>
      <c r="AA24" s="58">
        <f>PEARSON(R:R,T:T )</f>
        <v>0.88973316571124295</v>
      </c>
      <c r="AK24" s="3" t="s">
        <v>62</v>
      </c>
      <c r="AL24" s="3" t="s">
        <v>185</v>
      </c>
      <c r="AM24" s="3">
        <v>15.748349542</v>
      </c>
      <c r="AO24" s="3" t="s">
        <v>88</v>
      </c>
      <c r="AP24" s="3">
        <v>-0.77318553700000003</v>
      </c>
      <c r="AR24" s="3" t="s">
        <v>89</v>
      </c>
      <c r="AT24" s="3">
        <v>6.9999999999999999E-4</v>
      </c>
    </row>
    <row r="25" spans="1:47" x14ac:dyDescent="0.2">
      <c r="A25" s="86">
        <v>27</v>
      </c>
      <c r="B25" s="4" t="s">
        <v>2</v>
      </c>
      <c r="C25" s="9">
        <v>2</v>
      </c>
      <c r="E25" s="2">
        <v>11.9</v>
      </c>
      <c r="F25" s="2">
        <v>373</v>
      </c>
      <c r="G25" s="2">
        <v>24.4</v>
      </c>
      <c r="H25" s="2">
        <v>975</v>
      </c>
      <c r="I25" s="2">
        <v>25.2</v>
      </c>
      <c r="J25" s="2">
        <v>962</v>
      </c>
      <c r="L25" s="3">
        <v>1</v>
      </c>
      <c r="N25" s="54">
        <f t="shared" si="0"/>
        <v>12.499999999999998</v>
      </c>
      <c r="O25" s="55">
        <f t="shared" si="1"/>
        <v>51.229508196721305</v>
      </c>
      <c r="P25" s="56">
        <f t="shared" si="2"/>
        <v>602</v>
      </c>
      <c r="Q25" s="55">
        <f t="shared" si="3"/>
        <v>61.743589743589745</v>
      </c>
      <c r="R25" s="54">
        <f t="shared" si="4"/>
        <v>13.299999999999999</v>
      </c>
      <c r="S25" s="57">
        <f t="shared" si="5"/>
        <v>111.76470588235293</v>
      </c>
      <c r="T25" s="3">
        <f t="shared" si="6"/>
        <v>589</v>
      </c>
      <c r="U25" s="57">
        <f t="shared" si="7"/>
        <v>157.9088471849866</v>
      </c>
      <c r="V25" s="57">
        <f t="shared" si="8"/>
        <v>-0.80000000000000071</v>
      </c>
      <c r="W25" s="57">
        <f t="shared" si="9"/>
        <v>13</v>
      </c>
      <c r="X25" s="58">
        <f>STDEV(F:F)</f>
        <v>156.69409949429024</v>
      </c>
      <c r="Y25" s="58">
        <f>STDEV(J:J)</f>
        <v>275.31186941004557</v>
      </c>
      <c r="AK25" s="3" t="s">
        <v>62</v>
      </c>
      <c r="AL25" s="3" t="s">
        <v>186</v>
      </c>
      <c r="AM25" s="3">
        <v>253.91875379000001</v>
      </c>
      <c r="AO25" s="3" t="s">
        <v>90</v>
      </c>
      <c r="AP25" s="3">
        <v>-3.1023246680000001</v>
      </c>
    </row>
    <row r="26" spans="1:47" x14ac:dyDescent="0.2">
      <c r="A26" s="87">
        <v>27</v>
      </c>
      <c r="B26" s="4" t="s">
        <v>3</v>
      </c>
      <c r="C26" s="9">
        <v>1</v>
      </c>
      <c r="E26" s="2">
        <v>4.0999999999999996</v>
      </c>
      <c r="F26" s="2">
        <v>207</v>
      </c>
      <c r="G26" s="2">
        <v>24.1</v>
      </c>
      <c r="H26" s="2">
        <v>940</v>
      </c>
      <c r="I26" s="2">
        <v>24.8</v>
      </c>
      <c r="J26" s="2">
        <v>941</v>
      </c>
      <c r="L26" s="3">
        <v>1</v>
      </c>
      <c r="N26" s="54">
        <f t="shared" si="0"/>
        <v>20</v>
      </c>
      <c r="O26" s="55">
        <f t="shared" si="1"/>
        <v>82.987551867219906</v>
      </c>
      <c r="P26" s="56">
        <f t="shared" si="2"/>
        <v>733</v>
      </c>
      <c r="Q26" s="55">
        <f t="shared" si="3"/>
        <v>77.978723404255319</v>
      </c>
      <c r="R26" s="54">
        <f t="shared" si="4"/>
        <v>20.700000000000003</v>
      </c>
      <c r="S26" s="57">
        <f t="shared" si="5"/>
        <v>504.87804878048792</v>
      </c>
      <c r="T26" s="3">
        <f t="shared" si="6"/>
        <v>734</v>
      </c>
      <c r="U26" s="57">
        <f t="shared" si="7"/>
        <v>354.58937198067633</v>
      </c>
      <c r="V26" s="57">
        <f t="shared" si="8"/>
        <v>-0.69999999999999929</v>
      </c>
      <c r="W26" s="57">
        <f t="shared" si="9"/>
        <v>-1</v>
      </c>
      <c r="X26" s="58" t="s">
        <v>38</v>
      </c>
      <c r="Y26" s="58" t="s">
        <v>40</v>
      </c>
      <c r="Z26" s="59" t="s">
        <v>28</v>
      </c>
      <c r="AK26" s="3" t="s">
        <v>62</v>
      </c>
      <c r="AL26" s="3" t="s">
        <v>187</v>
      </c>
      <c r="AM26" s="3">
        <v>191.41457954000001</v>
      </c>
      <c r="AO26" s="3" t="s">
        <v>91</v>
      </c>
      <c r="AP26" s="3">
        <v>98</v>
      </c>
    </row>
    <row r="27" spans="1:47" x14ac:dyDescent="0.2">
      <c r="A27" s="87">
        <v>30</v>
      </c>
      <c r="B27" s="4" t="s">
        <v>2</v>
      </c>
      <c r="C27" s="9">
        <v>3</v>
      </c>
      <c r="E27" s="3">
        <v>16.3</v>
      </c>
      <c r="F27" s="3">
        <v>398</v>
      </c>
      <c r="G27" s="3">
        <v>26.7</v>
      </c>
      <c r="H27" s="3">
        <v>1018</v>
      </c>
      <c r="I27" s="3">
        <v>20.6</v>
      </c>
      <c r="J27" s="2">
        <v>780</v>
      </c>
      <c r="L27" s="3">
        <v>1</v>
      </c>
      <c r="N27" s="54">
        <f t="shared" si="0"/>
        <v>10.399999999999999</v>
      </c>
      <c r="O27" s="55">
        <f t="shared" si="1"/>
        <v>38.951310861423217</v>
      </c>
      <c r="P27" s="56">
        <f t="shared" si="2"/>
        <v>620</v>
      </c>
      <c r="Q27" s="55">
        <f t="shared" si="3"/>
        <v>60.903732809430252</v>
      </c>
      <c r="R27" s="54">
        <f t="shared" si="4"/>
        <v>4.3000000000000007</v>
      </c>
      <c r="S27" s="57">
        <f t="shared" si="5"/>
        <v>26.380368098159511</v>
      </c>
      <c r="T27" s="3">
        <f t="shared" si="6"/>
        <v>382</v>
      </c>
      <c r="U27" s="57">
        <f t="shared" si="7"/>
        <v>95.979899497487438</v>
      </c>
      <c r="V27" s="57">
        <f t="shared" si="8"/>
        <v>6.0999999999999979</v>
      </c>
      <c r="W27" s="57">
        <f t="shared" si="9"/>
        <v>238</v>
      </c>
      <c r="X27" s="58">
        <f>AVERAGE(F:F)</f>
        <v>222.66666666666666</v>
      </c>
      <c r="Y27" s="58">
        <f>AVERAGE(H:H)</f>
        <v>912.58163265306121</v>
      </c>
      <c r="Z27" s="59">
        <f>TTEST(F:F,H:H,1,1)</f>
        <v>7.9282339674353772E-63</v>
      </c>
      <c r="AK27" s="3" t="s">
        <v>62</v>
      </c>
      <c r="AL27" s="3" t="s">
        <v>91</v>
      </c>
      <c r="AM27" s="3">
        <v>99</v>
      </c>
      <c r="AO27" s="3" t="s">
        <v>92</v>
      </c>
      <c r="AP27" s="3">
        <v>5.3653811799999999E-2</v>
      </c>
    </row>
    <row r="28" spans="1:47" x14ac:dyDescent="0.2">
      <c r="A28" s="87">
        <v>30</v>
      </c>
      <c r="B28" s="4" t="s">
        <v>3</v>
      </c>
      <c r="C28" s="9">
        <v>2</v>
      </c>
      <c r="E28" s="3">
        <v>13.7</v>
      </c>
      <c r="F28" s="3">
        <v>373</v>
      </c>
      <c r="G28" s="3">
        <v>24.4</v>
      </c>
      <c r="H28" s="3">
        <v>952</v>
      </c>
      <c r="I28" s="3">
        <v>24.6</v>
      </c>
      <c r="J28" s="2">
        <v>932</v>
      </c>
      <c r="L28" s="3">
        <v>1</v>
      </c>
      <c r="N28" s="54">
        <f t="shared" si="0"/>
        <v>10.7</v>
      </c>
      <c r="O28" s="55">
        <f t="shared" si="1"/>
        <v>43.852459016393439</v>
      </c>
      <c r="P28" s="56">
        <f t="shared" si="2"/>
        <v>579</v>
      </c>
      <c r="Q28" s="55">
        <f t="shared" si="3"/>
        <v>60.819327731092429</v>
      </c>
      <c r="R28" s="54">
        <f t="shared" si="4"/>
        <v>10.900000000000002</v>
      </c>
      <c r="S28" s="57">
        <f t="shared" si="5"/>
        <v>79.562043795620468</v>
      </c>
      <c r="T28" s="3">
        <f t="shared" si="6"/>
        <v>559</v>
      </c>
      <c r="U28" s="57">
        <f t="shared" si="7"/>
        <v>149.86595174262735</v>
      </c>
      <c r="V28" s="57">
        <f t="shared" si="8"/>
        <v>-0.20000000000000284</v>
      </c>
      <c r="W28" s="57">
        <f t="shared" si="9"/>
        <v>20</v>
      </c>
      <c r="Y28" s="58">
        <f>STDEV(H:H)</f>
        <v>144.15018825018814</v>
      </c>
      <c r="AK28" s="3" t="s">
        <v>64</v>
      </c>
      <c r="AL28" s="3" t="s">
        <v>183</v>
      </c>
      <c r="AM28" s="3">
        <v>912.58163264999996</v>
      </c>
    </row>
    <row r="29" spans="1:47" x14ac:dyDescent="0.2">
      <c r="A29" s="86">
        <v>33</v>
      </c>
      <c r="B29" s="4" t="s">
        <v>2</v>
      </c>
      <c r="C29" s="9">
        <v>2</v>
      </c>
      <c r="D29" s="40">
        <v>2</v>
      </c>
      <c r="E29" s="2">
        <v>2.5</v>
      </c>
      <c r="F29" s="2">
        <v>54</v>
      </c>
      <c r="G29" s="2">
        <v>22.1</v>
      </c>
      <c r="H29" s="2">
        <v>757</v>
      </c>
      <c r="I29" s="2">
        <v>17.7</v>
      </c>
      <c r="J29" s="2">
        <v>603</v>
      </c>
      <c r="L29" s="3">
        <v>1</v>
      </c>
      <c r="M29" s="17">
        <f>D29-C29</f>
        <v>0</v>
      </c>
      <c r="N29" s="54">
        <f t="shared" si="0"/>
        <v>19.600000000000001</v>
      </c>
      <c r="O29" s="55">
        <f t="shared" si="1"/>
        <v>88.687782805429862</v>
      </c>
      <c r="P29" s="56">
        <f t="shared" si="2"/>
        <v>703</v>
      </c>
      <c r="Q29" s="55">
        <f t="shared" si="3"/>
        <v>92.866578599735789</v>
      </c>
      <c r="R29" s="54">
        <f t="shared" si="4"/>
        <v>15.2</v>
      </c>
      <c r="S29" s="57">
        <f t="shared" si="5"/>
        <v>608</v>
      </c>
      <c r="T29" s="3">
        <f t="shared" si="6"/>
        <v>549</v>
      </c>
      <c r="U29" s="57">
        <f t="shared" si="7"/>
        <v>1016.6666666666666</v>
      </c>
      <c r="V29" s="57">
        <f t="shared" si="8"/>
        <v>4.4000000000000021</v>
      </c>
      <c r="W29" s="57">
        <f t="shared" si="9"/>
        <v>154</v>
      </c>
      <c r="X29" s="58" t="s">
        <v>57</v>
      </c>
      <c r="Y29" s="58" t="s">
        <v>55</v>
      </c>
      <c r="Z29" s="59" t="s">
        <v>31</v>
      </c>
      <c r="AK29" s="3" t="s">
        <v>64</v>
      </c>
      <c r="AL29" s="3" t="s">
        <v>184</v>
      </c>
      <c r="AM29" s="3">
        <v>144.15018825000001</v>
      </c>
    </row>
    <row r="30" spans="1:47" x14ac:dyDescent="0.2">
      <c r="A30" s="87">
        <v>33</v>
      </c>
      <c r="B30" s="4" t="s">
        <v>3</v>
      </c>
      <c r="C30" s="9">
        <v>2</v>
      </c>
      <c r="D30" s="40">
        <v>2</v>
      </c>
      <c r="E30" s="2">
        <v>6.7</v>
      </c>
      <c r="F30" s="2">
        <v>168</v>
      </c>
      <c r="G30" s="2">
        <v>21.3</v>
      </c>
      <c r="H30" s="2">
        <v>872</v>
      </c>
      <c r="I30" s="2">
        <v>23.9</v>
      </c>
      <c r="J30" s="2">
        <v>937</v>
      </c>
      <c r="L30" s="3">
        <v>1</v>
      </c>
      <c r="M30" s="17">
        <f>D30-C30</f>
        <v>0</v>
      </c>
      <c r="N30" s="54">
        <f t="shared" si="0"/>
        <v>14.600000000000001</v>
      </c>
      <c r="O30" s="55">
        <f t="shared" si="1"/>
        <v>68.544600938967136</v>
      </c>
      <c r="P30" s="56">
        <f t="shared" si="2"/>
        <v>704</v>
      </c>
      <c r="Q30" s="55">
        <f t="shared" si="3"/>
        <v>80.733944954128447</v>
      </c>
      <c r="R30" s="54">
        <f t="shared" si="4"/>
        <v>17.2</v>
      </c>
      <c r="S30" s="57">
        <f t="shared" si="5"/>
        <v>256.71641791044777</v>
      </c>
      <c r="T30" s="3">
        <f t="shared" si="6"/>
        <v>769</v>
      </c>
      <c r="U30" s="57">
        <f t="shared" si="7"/>
        <v>457.73809523809524</v>
      </c>
      <c r="V30" s="57">
        <f t="shared" si="8"/>
        <v>-2.5999999999999979</v>
      </c>
      <c r="W30" s="57">
        <f t="shared" si="9"/>
        <v>-65</v>
      </c>
      <c r="X30" s="62">
        <f>MAX(W:W)</f>
        <v>943</v>
      </c>
      <c r="Y30" s="62">
        <f>AVERAGE(W:W)</f>
        <v>87.755102040816325</v>
      </c>
      <c r="Z30" s="59">
        <f>TTEST(H:H,J:J,2,1)</f>
        <v>5.9691350328788632E-3</v>
      </c>
      <c r="AK30" s="3" t="s">
        <v>64</v>
      </c>
      <c r="AL30" s="3" t="s">
        <v>185</v>
      </c>
      <c r="AM30" s="3">
        <v>14.561367946000001</v>
      </c>
    </row>
    <row r="31" spans="1:47" x14ac:dyDescent="0.2">
      <c r="A31" s="86">
        <v>36</v>
      </c>
      <c r="B31" s="4" t="s">
        <v>2</v>
      </c>
      <c r="C31" s="9">
        <v>4</v>
      </c>
      <c r="D31" s="40">
        <v>4</v>
      </c>
      <c r="E31" s="2">
        <v>2.7</v>
      </c>
      <c r="F31" s="2">
        <v>147</v>
      </c>
      <c r="G31" s="2">
        <v>21.5</v>
      </c>
      <c r="H31" s="2">
        <v>924</v>
      </c>
      <c r="I31" s="2">
        <v>22.6</v>
      </c>
      <c r="J31" s="2">
        <v>846</v>
      </c>
      <c r="L31" s="3">
        <v>1</v>
      </c>
      <c r="M31" s="17">
        <f>D31-C31</f>
        <v>0</v>
      </c>
      <c r="N31" s="54">
        <f t="shared" si="0"/>
        <v>18.8</v>
      </c>
      <c r="O31" s="55">
        <f t="shared" si="1"/>
        <v>87.441860465116278</v>
      </c>
      <c r="P31" s="56">
        <f t="shared" si="2"/>
        <v>777</v>
      </c>
      <c r="Q31" s="55">
        <f t="shared" si="3"/>
        <v>84.090909090909093</v>
      </c>
      <c r="R31" s="54">
        <f t="shared" si="4"/>
        <v>19.900000000000002</v>
      </c>
      <c r="S31" s="57">
        <f t="shared" si="5"/>
        <v>737.03703703703707</v>
      </c>
      <c r="T31" s="3">
        <f t="shared" si="6"/>
        <v>699</v>
      </c>
      <c r="U31" s="57">
        <f t="shared" si="7"/>
        <v>475.51020408163265</v>
      </c>
      <c r="V31" s="57">
        <f t="shared" si="8"/>
        <v>-1.1000000000000014</v>
      </c>
      <c r="W31" s="57">
        <f t="shared" si="9"/>
        <v>78</v>
      </c>
      <c r="Y31" s="58" t="s">
        <v>58</v>
      </c>
      <c r="AK31" s="3" t="s">
        <v>64</v>
      </c>
      <c r="AL31" s="3" t="s">
        <v>186</v>
      </c>
      <c r="AM31" s="3">
        <v>941.48191724000003</v>
      </c>
      <c r="AO31" s="3" t="s">
        <v>208</v>
      </c>
      <c r="AU31" s="3" t="s">
        <v>213</v>
      </c>
    </row>
    <row r="32" spans="1:47" x14ac:dyDescent="0.2">
      <c r="A32" s="87">
        <v>36</v>
      </c>
      <c r="B32" s="4" t="s">
        <v>3</v>
      </c>
      <c r="C32" s="9">
        <v>4</v>
      </c>
      <c r="D32" s="40">
        <v>4</v>
      </c>
      <c r="E32" s="2">
        <v>7.3</v>
      </c>
      <c r="F32" s="2">
        <v>144</v>
      </c>
      <c r="G32" s="2">
        <v>23.8</v>
      </c>
      <c r="H32" s="2">
        <v>966</v>
      </c>
      <c r="I32" s="2">
        <v>23</v>
      </c>
      <c r="J32" s="2">
        <v>819</v>
      </c>
      <c r="L32" s="3">
        <v>1</v>
      </c>
      <c r="M32" s="17">
        <f>D32-C32</f>
        <v>0</v>
      </c>
      <c r="N32" s="54">
        <f t="shared" si="0"/>
        <v>16.5</v>
      </c>
      <c r="O32" s="55">
        <f t="shared" si="1"/>
        <v>69.327731092436977</v>
      </c>
      <c r="P32" s="56">
        <f t="shared" si="2"/>
        <v>822</v>
      </c>
      <c r="Q32" s="55">
        <f t="shared" si="3"/>
        <v>85.093167701863365</v>
      </c>
      <c r="R32" s="54">
        <f t="shared" si="4"/>
        <v>15.7</v>
      </c>
      <c r="S32" s="57">
        <f t="shared" si="5"/>
        <v>215.06849315068496</v>
      </c>
      <c r="T32" s="3">
        <f t="shared" si="6"/>
        <v>675</v>
      </c>
      <c r="U32" s="57">
        <f t="shared" si="7"/>
        <v>468.75</v>
      </c>
      <c r="V32" s="57">
        <f t="shared" si="8"/>
        <v>0.80000000000000071</v>
      </c>
      <c r="W32" s="57">
        <f t="shared" si="9"/>
        <v>147</v>
      </c>
      <c r="Y32" s="62">
        <f>AVERAGE(T:T)</f>
        <v>609.02020202020196</v>
      </c>
      <c r="AK32" s="3" t="s">
        <v>64</v>
      </c>
      <c r="AL32" s="3" t="s">
        <v>187</v>
      </c>
      <c r="AM32" s="3">
        <v>883.68134807000001</v>
      </c>
      <c r="AO32" s="3" t="s">
        <v>209</v>
      </c>
      <c r="AU32" s="3" t="s">
        <v>214</v>
      </c>
    </row>
    <row r="33" spans="1:47" x14ac:dyDescent="0.2">
      <c r="A33" s="87">
        <v>38</v>
      </c>
      <c r="B33" s="4" t="s">
        <v>2</v>
      </c>
      <c r="C33" s="9">
        <v>0.5</v>
      </c>
      <c r="E33" s="2">
        <v>4.0999999999999996</v>
      </c>
      <c r="F33" s="2">
        <v>116</v>
      </c>
      <c r="G33" s="2">
        <v>25.9</v>
      </c>
      <c r="H33" s="2">
        <v>1040</v>
      </c>
      <c r="I33" s="2">
        <v>21.3</v>
      </c>
      <c r="J33" s="2">
        <v>627</v>
      </c>
      <c r="L33" s="3">
        <v>1</v>
      </c>
      <c r="N33" s="54">
        <f t="shared" si="0"/>
        <v>21.799999999999997</v>
      </c>
      <c r="O33" s="55">
        <f t="shared" si="1"/>
        <v>84.16988416988417</v>
      </c>
      <c r="P33" s="56">
        <f t="shared" si="2"/>
        <v>924</v>
      </c>
      <c r="Q33" s="55">
        <f t="shared" si="3"/>
        <v>88.84615384615384</v>
      </c>
      <c r="R33" s="54">
        <f t="shared" si="4"/>
        <v>17.200000000000003</v>
      </c>
      <c r="S33" s="57">
        <f t="shared" si="5"/>
        <v>419.51219512195132</v>
      </c>
      <c r="T33" s="3">
        <f t="shared" si="6"/>
        <v>511</v>
      </c>
      <c r="U33" s="57">
        <f t="shared" si="7"/>
        <v>440.51724137931035</v>
      </c>
      <c r="V33" s="57">
        <f t="shared" si="8"/>
        <v>4.5999999999999979</v>
      </c>
      <c r="W33" s="57">
        <f t="shared" si="9"/>
        <v>413</v>
      </c>
      <c r="AK33" s="3" t="s">
        <v>64</v>
      </c>
      <c r="AL33" s="3" t="s">
        <v>91</v>
      </c>
      <c r="AM33" s="3">
        <v>98</v>
      </c>
      <c r="AO33" s="3" t="s">
        <v>210</v>
      </c>
      <c r="AU33" s="3" t="s">
        <v>215</v>
      </c>
    </row>
    <row r="34" spans="1:47" x14ac:dyDescent="0.2">
      <c r="A34" s="87">
        <v>38</v>
      </c>
      <c r="B34" s="4" t="s">
        <v>3</v>
      </c>
      <c r="C34" s="9">
        <v>1</v>
      </c>
      <c r="E34" s="2">
        <v>2.8</v>
      </c>
      <c r="F34" s="2">
        <v>61</v>
      </c>
      <c r="G34" s="2">
        <v>25.5</v>
      </c>
      <c r="H34" s="2">
        <v>1031</v>
      </c>
      <c r="I34" s="2">
        <v>23</v>
      </c>
      <c r="J34" s="2">
        <v>777</v>
      </c>
      <c r="L34" s="3">
        <v>1</v>
      </c>
      <c r="N34" s="54">
        <f t="shared" ref="N34:N65" si="11">G34-E34</f>
        <v>22.7</v>
      </c>
      <c r="O34" s="55">
        <f t="shared" ref="O34:O65" si="12">N34/G34*100</f>
        <v>89.019607843137251</v>
      </c>
      <c r="P34" s="56">
        <f t="shared" ref="P34:P65" si="13">H34-F34</f>
        <v>970</v>
      </c>
      <c r="Q34" s="55">
        <f t="shared" ref="Q34:Q65" si="14">P34/H34*100</f>
        <v>94.083414161008733</v>
      </c>
      <c r="R34" s="54">
        <f t="shared" ref="R34:R65" si="15">I34-E34</f>
        <v>20.2</v>
      </c>
      <c r="S34" s="57">
        <f t="shared" ref="S34:S65" si="16">R34/E34*100</f>
        <v>721.42857142857144</v>
      </c>
      <c r="T34" s="3">
        <f t="shared" ref="T34:T65" si="17">J34-F34</f>
        <v>716</v>
      </c>
      <c r="U34" s="57">
        <f t="shared" ref="U34:U65" si="18">T34/F34*100</f>
        <v>1173.7704918032787</v>
      </c>
      <c r="V34" s="57">
        <f t="shared" ref="V34:V65" si="19">G34-I34</f>
        <v>2.5</v>
      </c>
      <c r="W34" s="57">
        <f t="shared" ref="W34:W65" si="20">H34-J34</f>
        <v>254</v>
      </c>
      <c r="X34" s="61" t="s">
        <v>51</v>
      </c>
      <c r="AK34" s="3" t="s">
        <v>66</v>
      </c>
      <c r="AL34" s="3" t="s">
        <v>183</v>
      </c>
      <c r="AM34" s="3">
        <v>831.68686868999998</v>
      </c>
    </row>
    <row r="35" spans="1:47" x14ac:dyDescent="0.2">
      <c r="A35" s="87">
        <v>41</v>
      </c>
      <c r="B35" s="4" t="s">
        <v>2</v>
      </c>
      <c r="C35" s="9">
        <v>2.5</v>
      </c>
      <c r="D35" s="40">
        <v>3</v>
      </c>
      <c r="E35" s="2">
        <v>4.8</v>
      </c>
      <c r="F35" s="2">
        <v>216</v>
      </c>
      <c r="G35" s="2">
        <v>24.1</v>
      </c>
      <c r="H35" s="2">
        <v>950</v>
      </c>
      <c r="I35" s="2">
        <v>24</v>
      </c>
      <c r="J35" s="2">
        <v>956</v>
      </c>
      <c r="L35" s="3">
        <v>1</v>
      </c>
      <c r="M35" s="17">
        <f t="shared" ref="M35:M40" si="21">D35-C35</f>
        <v>0.5</v>
      </c>
      <c r="N35" s="54">
        <f t="shared" si="11"/>
        <v>19.3</v>
      </c>
      <c r="O35" s="55">
        <f t="shared" si="12"/>
        <v>80.08298755186722</v>
      </c>
      <c r="P35" s="56">
        <f t="shared" si="13"/>
        <v>734</v>
      </c>
      <c r="Q35" s="55">
        <f t="shared" si="14"/>
        <v>77.26315789473685</v>
      </c>
      <c r="R35" s="54">
        <f t="shared" si="15"/>
        <v>19.2</v>
      </c>
      <c r="S35" s="57">
        <f t="shared" si="16"/>
        <v>400</v>
      </c>
      <c r="T35" s="3">
        <f t="shared" si="17"/>
        <v>740</v>
      </c>
      <c r="U35" s="57">
        <f t="shared" si="18"/>
        <v>342.59259259259261</v>
      </c>
      <c r="V35" s="57">
        <f t="shared" si="19"/>
        <v>0.10000000000000142</v>
      </c>
      <c r="W35" s="57">
        <f t="shared" si="20"/>
        <v>-6</v>
      </c>
      <c r="X35" s="58" t="s">
        <v>47</v>
      </c>
      <c r="Y35" s="58" t="s">
        <v>46</v>
      </c>
      <c r="Z35" s="59" t="s">
        <v>49</v>
      </c>
      <c r="AK35" s="3" t="s">
        <v>66</v>
      </c>
      <c r="AL35" s="3" t="s">
        <v>184</v>
      </c>
      <c r="AM35" s="3">
        <v>275.31186940999999</v>
      </c>
      <c r="AO35" s="64" t="s">
        <v>212</v>
      </c>
    </row>
    <row r="36" spans="1:47" x14ac:dyDescent="0.2">
      <c r="A36" s="87">
        <v>41</v>
      </c>
      <c r="B36" s="4" t="s">
        <v>3</v>
      </c>
      <c r="C36" s="9">
        <v>2.5</v>
      </c>
      <c r="D36" s="40">
        <v>3</v>
      </c>
      <c r="E36" s="2">
        <v>6.7</v>
      </c>
      <c r="F36" s="2">
        <v>275</v>
      </c>
      <c r="G36" s="2">
        <v>24.1</v>
      </c>
      <c r="H36" s="2">
        <v>961</v>
      </c>
      <c r="I36" s="2">
        <v>5.3</v>
      </c>
      <c r="J36" s="2">
        <v>112</v>
      </c>
      <c r="K36" s="3" t="s">
        <v>247</v>
      </c>
      <c r="L36" s="3">
        <v>1</v>
      </c>
      <c r="M36" s="17">
        <f t="shared" si="21"/>
        <v>0.5</v>
      </c>
      <c r="N36" s="54">
        <f t="shared" si="11"/>
        <v>17.400000000000002</v>
      </c>
      <c r="O36" s="55">
        <f t="shared" si="12"/>
        <v>72.199170124481341</v>
      </c>
      <c r="P36" s="56">
        <f t="shared" si="13"/>
        <v>686</v>
      </c>
      <c r="Q36" s="55">
        <f t="shared" si="14"/>
        <v>71.383975026014568</v>
      </c>
      <c r="R36" s="54">
        <f t="shared" si="15"/>
        <v>-1.4000000000000004</v>
      </c>
      <c r="S36" s="57">
        <f t="shared" si="16"/>
        <v>-20.895522388059707</v>
      </c>
      <c r="T36" s="3">
        <f t="shared" si="17"/>
        <v>-163</v>
      </c>
      <c r="U36" s="57">
        <f t="shared" si="18"/>
        <v>-59.27272727272728</v>
      </c>
      <c r="V36" s="57">
        <f t="shared" si="19"/>
        <v>18.8</v>
      </c>
      <c r="W36" s="57">
        <f t="shared" si="20"/>
        <v>849</v>
      </c>
      <c r="X36" s="58">
        <f>AVERAGE(P:P)</f>
        <v>697.12244897959181</v>
      </c>
      <c r="Y36" s="62">
        <f>AVERAGE(T:T)</f>
        <v>609.02020202020196</v>
      </c>
      <c r="Z36" s="59">
        <f>TTEST(P:P,T:T,2,1)</f>
        <v>5.9691350328788971E-3</v>
      </c>
      <c r="AK36" s="3" t="s">
        <v>66</v>
      </c>
      <c r="AL36" s="3" t="s">
        <v>185</v>
      </c>
      <c r="AM36" s="3">
        <v>27.669883975000001</v>
      </c>
    </row>
    <row r="37" spans="1:47" x14ac:dyDescent="0.2">
      <c r="A37" s="86">
        <v>48</v>
      </c>
      <c r="B37" s="4" t="s">
        <v>2</v>
      </c>
      <c r="C37" s="9">
        <v>1.5</v>
      </c>
      <c r="D37" s="40">
        <v>2</v>
      </c>
      <c r="E37" s="2">
        <v>5</v>
      </c>
      <c r="F37" s="2">
        <v>110</v>
      </c>
      <c r="G37" s="2">
        <v>27.3</v>
      </c>
      <c r="H37" s="2">
        <v>1066</v>
      </c>
      <c r="I37" s="2">
        <v>17.100000000000001</v>
      </c>
      <c r="J37" s="2">
        <v>753</v>
      </c>
      <c r="L37" s="3">
        <v>1</v>
      </c>
      <c r="M37" s="17">
        <f t="shared" si="21"/>
        <v>0.5</v>
      </c>
      <c r="N37" s="54">
        <f t="shared" si="11"/>
        <v>22.3</v>
      </c>
      <c r="O37" s="55">
        <f t="shared" si="12"/>
        <v>81.684981684981679</v>
      </c>
      <c r="P37" s="56">
        <f t="shared" si="13"/>
        <v>956</v>
      </c>
      <c r="Q37" s="55">
        <f t="shared" si="14"/>
        <v>89.681050656660403</v>
      </c>
      <c r="R37" s="54">
        <f t="shared" si="15"/>
        <v>12.100000000000001</v>
      </c>
      <c r="S37" s="57">
        <f t="shared" si="16"/>
        <v>242.00000000000003</v>
      </c>
      <c r="T37" s="3">
        <f t="shared" si="17"/>
        <v>643</v>
      </c>
      <c r="U37" s="57">
        <f t="shared" si="18"/>
        <v>584.54545454545462</v>
      </c>
      <c r="V37" s="57">
        <f t="shared" si="19"/>
        <v>10.199999999999999</v>
      </c>
      <c r="W37" s="57">
        <f t="shared" si="20"/>
        <v>313</v>
      </c>
      <c r="AK37" s="3" t="s">
        <v>66</v>
      </c>
      <c r="AL37" s="3" t="s">
        <v>186</v>
      </c>
      <c r="AM37" s="3">
        <v>886.59685290000004</v>
      </c>
    </row>
    <row r="38" spans="1:47" x14ac:dyDescent="0.2">
      <c r="A38" s="87">
        <v>48</v>
      </c>
      <c r="B38" s="4" t="s">
        <v>3</v>
      </c>
      <c r="C38" s="9">
        <v>1</v>
      </c>
      <c r="D38" s="40">
        <v>3</v>
      </c>
      <c r="E38" s="2">
        <v>9</v>
      </c>
      <c r="F38" s="2">
        <v>233</v>
      </c>
      <c r="G38" s="2">
        <v>25.7</v>
      </c>
      <c r="H38" s="2">
        <v>992</v>
      </c>
      <c r="I38" s="2">
        <v>22.9</v>
      </c>
      <c r="J38" s="2">
        <v>1021</v>
      </c>
      <c r="L38" s="3">
        <v>1</v>
      </c>
      <c r="M38" s="17">
        <f t="shared" si="21"/>
        <v>2</v>
      </c>
      <c r="N38" s="54">
        <f t="shared" si="11"/>
        <v>16.7</v>
      </c>
      <c r="O38" s="55">
        <f t="shared" si="12"/>
        <v>64.980544747081709</v>
      </c>
      <c r="P38" s="56">
        <f t="shared" si="13"/>
        <v>759</v>
      </c>
      <c r="Q38" s="55">
        <f t="shared" si="14"/>
        <v>76.512096774193552</v>
      </c>
      <c r="R38" s="54">
        <f t="shared" si="15"/>
        <v>13.899999999999999</v>
      </c>
      <c r="S38" s="57">
        <f t="shared" si="16"/>
        <v>154.44444444444443</v>
      </c>
      <c r="T38" s="3">
        <f t="shared" si="17"/>
        <v>788</v>
      </c>
      <c r="U38" s="57">
        <f t="shared" si="18"/>
        <v>338.19742489270385</v>
      </c>
      <c r="V38" s="57">
        <f t="shared" si="19"/>
        <v>2.8000000000000007</v>
      </c>
      <c r="W38" s="57">
        <f t="shared" si="20"/>
        <v>-29</v>
      </c>
      <c r="AK38" s="3" t="s">
        <v>66</v>
      </c>
      <c r="AL38" s="3" t="s">
        <v>187</v>
      </c>
      <c r="AM38" s="3">
        <v>776.77688447000003</v>
      </c>
    </row>
    <row r="39" spans="1:47" x14ac:dyDescent="0.2">
      <c r="A39" s="87">
        <v>52</v>
      </c>
      <c r="B39" s="4" t="s">
        <v>2</v>
      </c>
      <c r="C39" s="9">
        <v>3</v>
      </c>
      <c r="D39" s="40">
        <v>3</v>
      </c>
      <c r="E39" s="2">
        <v>0.6</v>
      </c>
      <c r="F39" s="2">
        <v>6</v>
      </c>
      <c r="G39" s="2">
        <v>22.6</v>
      </c>
      <c r="H39" s="2">
        <v>793</v>
      </c>
      <c r="I39" s="20">
        <v>17.600000000000001</v>
      </c>
      <c r="J39" s="20">
        <v>598</v>
      </c>
      <c r="K39" s="3" t="s">
        <v>247</v>
      </c>
      <c r="L39" s="3">
        <v>1</v>
      </c>
      <c r="M39" s="17">
        <f t="shared" si="21"/>
        <v>0</v>
      </c>
      <c r="N39" s="54">
        <f t="shared" si="11"/>
        <v>22</v>
      </c>
      <c r="O39" s="55">
        <f t="shared" si="12"/>
        <v>97.345132743362825</v>
      </c>
      <c r="P39" s="56">
        <f t="shared" si="13"/>
        <v>787</v>
      </c>
      <c r="Q39" s="55">
        <f t="shared" si="14"/>
        <v>99.243379571248425</v>
      </c>
      <c r="R39" s="54">
        <f t="shared" si="15"/>
        <v>17</v>
      </c>
      <c r="S39" s="57">
        <f t="shared" si="16"/>
        <v>2833.3333333333335</v>
      </c>
      <c r="T39" s="3">
        <f t="shared" si="17"/>
        <v>592</v>
      </c>
      <c r="U39" s="57">
        <f t="shared" si="18"/>
        <v>9866.6666666666679</v>
      </c>
      <c r="V39" s="57">
        <f t="shared" si="19"/>
        <v>5</v>
      </c>
      <c r="W39" s="57">
        <f t="shared" si="20"/>
        <v>195</v>
      </c>
      <c r="AK39" s="3" t="s">
        <v>66</v>
      </c>
      <c r="AL39" s="3" t="s">
        <v>91</v>
      </c>
      <c r="AM39" s="3">
        <v>99</v>
      </c>
    </row>
    <row r="40" spans="1:47" x14ac:dyDescent="0.2">
      <c r="A40" s="86">
        <v>52</v>
      </c>
      <c r="B40" s="4" t="s">
        <v>3</v>
      </c>
      <c r="C40" s="9">
        <v>3</v>
      </c>
      <c r="D40" s="40">
        <v>2.75</v>
      </c>
      <c r="E40" s="2">
        <v>0.6</v>
      </c>
      <c r="F40" s="2">
        <v>9</v>
      </c>
      <c r="G40" s="2">
        <v>22.9</v>
      </c>
      <c r="H40" s="2">
        <v>805</v>
      </c>
      <c r="I40" s="20">
        <v>17.399999999999999</v>
      </c>
      <c r="J40" s="20">
        <v>620</v>
      </c>
      <c r="K40" s="3" t="s">
        <v>247</v>
      </c>
      <c r="L40" s="3">
        <v>1</v>
      </c>
      <c r="M40" s="17">
        <f t="shared" si="21"/>
        <v>-0.25</v>
      </c>
      <c r="N40" s="54">
        <f t="shared" si="11"/>
        <v>22.299999999999997</v>
      </c>
      <c r="O40" s="55">
        <f t="shared" si="12"/>
        <v>97.379912663755448</v>
      </c>
      <c r="P40" s="56">
        <f t="shared" si="13"/>
        <v>796</v>
      </c>
      <c r="Q40" s="55">
        <f t="shared" si="14"/>
        <v>98.881987577639748</v>
      </c>
      <c r="R40" s="54">
        <f t="shared" si="15"/>
        <v>16.799999999999997</v>
      </c>
      <c r="S40" s="57">
        <f t="shared" si="16"/>
        <v>2799.9999999999995</v>
      </c>
      <c r="T40" s="3">
        <f t="shared" si="17"/>
        <v>611</v>
      </c>
      <c r="U40" s="57">
        <f t="shared" si="18"/>
        <v>6788.8888888888887</v>
      </c>
      <c r="V40" s="57">
        <f t="shared" si="19"/>
        <v>5.5</v>
      </c>
      <c r="W40" s="57">
        <f t="shared" si="20"/>
        <v>185</v>
      </c>
    </row>
    <row r="41" spans="1:47" x14ac:dyDescent="0.2">
      <c r="A41" s="87">
        <v>71</v>
      </c>
      <c r="B41" s="4" t="s">
        <v>2</v>
      </c>
      <c r="C41" s="9">
        <v>0.5</v>
      </c>
      <c r="E41" s="2">
        <v>6.3</v>
      </c>
      <c r="F41" s="2">
        <v>123</v>
      </c>
      <c r="G41" s="2">
        <v>24.6</v>
      </c>
      <c r="H41" s="2">
        <v>1049</v>
      </c>
      <c r="I41" s="2">
        <v>22.2</v>
      </c>
      <c r="J41" s="2">
        <v>859</v>
      </c>
      <c r="L41" s="3">
        <v>1</v>
      </c>
      <c r="N41" s="54">
        <f t="shared" si="11"/>
        <v>18.3</v>
      </c>
      <c r="O41" s="55">
        <f t="shared" si="12"/>
        <v>74.390243902439025</v>
      </c>
      <c r="P41" s="56">
        <f t="shared" si="13"/>
        <v>926</v>
      </c>
      <c r="Q41" s="55">
        <f t="shared" si="14"/>
        <v>88.274547187797907</v>
      </c>
      <c r="R41" s="54">
        <f t="shared" si="15"/>
        <v>15.899999999999999</v>
      </c>
      <c r="S41" s="57">
        <f t="shared" si="16"/>
        <v>252.38095238095238</v>
      </c>
      <c r="T41" s="3">
        <f t="shared" si="17"/>
        <v>736</v>
      </c>
      <c r="U41" s="57">
        <f t="shared" si="18"/>
        <v>598.3739837398374</v>
      </c>
      <c r="V41" s="57">
        <f t="shared" si="19"/>
        <v>2.4000000000000021</v>
      </c>
      <c r="W41" s="57">
        <f t="shared" si="20"/>
        <v>190</v>
      </c>
    </row>
    <row r="42" spans="1:47" x14ac:dyDescent="0.2">
      <c r="A42" s="87">
        <v>71</v>
      </c>
      <c r="B42" s="4" t="s">
        <v>3</v>
      </c>
      <c r="C42" s="9">
        <v>0</v>
      </c>
      <c r="E42" s="2">
        <v>6</v>
      </c>
      <c r="F42" s="2">
        <v>167</v>
      </c>
      <c r="G42" s="2">
        <v>24.9</v>
      </c>
      <c r="H42" s="2">
        <v>1028</v>
      </c>
      <c r="I42" s="2">
        <v>23.4</v>
      </c>
      <c r="J42" s="2">
        <v>872</v>
      </c>
      <c r="L42" s="3">
        <v>1</v>
      </c>
      <c r="N42" s="54">
        <f t="shared" si="11"/>
        <v>18.899999999999999</v>
      </c>
      <c r="O42" s="55">
        <f t="shared" si="12"/>
        <v>75.903614457831324</v>
      </c>
      <c r="P42" s="56">
        <f t="shared" si="13"/>
        <v>861</v>
      </c>
      <c r="Q42" s="55">
        <f t="shared" si="14"/>
        <v>83.754863813229576</v>
      </c>
      <c r="R42" s="54">
        <f t="shared" si="15"/>
        <v>17.399999999999999</v>
      </c>
      <c r="S42" s="57">
        <f t="shared" si="16"/>
        <v>290</v>
      </c>
      <c r="T42" s="3">
        <f t="shared" si="17"/>
        <v>705</v>
      </c>
      <c r="U42" s="57">
        <f t="shared" si="18"/>
        <v>422.1556886227545</v>
      </c>
      <c r="V42" s="57">
        <f t="shared" si="19"/>
        <v>1.5</v>
      </c>
      <c r="W42" s="57">
        <f t="shared" si="20"/>
        <v>156</v>
      </c>
      <c r="X42" s="58" t="s">
        <v>119</v>
      </c>
      <c r="Y42" s="58">
        <f>COUNTIF(L:L,1)</f>
        <v>61</v>
      </c>
    </row>
    <row r="43" spans="1:47" x14ac:dyDescent="0.2">
      <c r="A43" s="87">
        <v>92</v>
      </c>
      <c r="B43" s="4" t="s">
        <v>2</v>
      </c>
      <c r="C43" s="9">
        <v>4</v>
      </c>
      <c r="D43" s="40">
        <v>4</v>
      </c>
      <c r="E43" s="2">
        <v>12.6</v>
      </c>
      <c r="F43" s="2">
        <v>336</v>
      </c>
      <c r="G43" s="2">
        <v>21.4</v>
      </c>
      <c r="H43" s="2">
        <v>926</v>
      </c>
      <c r="I43" s="2">
        <v>19.7</v>
      </c>
      <c r="J43" s="2">
        <v>654</v>
      </c>
      <c r="L43" s="3">
        <v>1</v>
      </c>
      <c r="M43" s="17">
        <f>D43-C43</f>
        <v>0</v>
      </c>
      <c r="N43" s="54">
        <f t="shared" si="11"/>
        <v>8.7999999999999989</v>
      </c>
      <c r="O43" s="55">
        <f t="shared" si="12"/>
        <v>41.121495327102799</v>
      </c>
      <c r="P43" s="56">
        <f t="shared" si="13"/>
        <v>590</v>
      </c>
      <c r="Q43" s="55">
        <f t="shared" si="14"/>
        <v>63.714902807775374</v>
      </c>
      <c r="R43" s="54">
        <f t="shared" si="15"/>
        <v>7.1</v>
      </c>
      <c r="S43" s="57">
        <f t="shared" si="16"/>
        <v>56.349206349206348</v>
      </c>
      <c r="T43" s="3">
        <f t="shared" si="17"/>
        <v>318</v>
      </c>
      <c r="U43" s="57">
        <f t="shared" si="18"/>
        <v>94.642857142857139</v>
      </c>
      <c r="V43" s="57">
        <f t="shared" si="19"/>
        <v>1.6999999999999993</v>
      </c>
      <c r="W43" s="57">
        <f t="shared" si="20"/>
        <v>272</v>
      </c>
      <c r="X43" s="58" t="s">
        <v>120</v>
      </c>
      <c r="Y43" s="58">
        <f>COUNTIF(L:L,2)</f>
        <v>25</v>
      </c>
    </row>
    <row r="44" spans="1:47" x14ac:dyDescent="0.2">
      <c r="A44" s="87">
        <v>92</v>
      </c>
      <c r="B44" s="4" t="s">
        <v>3</v>
      </c>
      <c r="C44" s="9">
        <v>4</v>
      </c>
      <c r="D44" s="40">
        <v>4</v>
      </c>
      <c r="E44" s="2">
        <v>14.6</v>
      </c>
      <c r="F44" s="2">
        <v>452</v>
      </c>
      <c r="G44" s="2">
        <v>25.1</v>
      </c>
      <c r="H44" s="2">
        <v>1013</v>
      </c>
      <c r="I44" s="2">
        <v>22.3</v>
      </c>
      <c r="J44" s="2">
        <v>704</v>
      </c>
      <c r="L44" s="3">
        <v>1</v>
      </c>
      <c r="M44" s="17">
        <f>D44-C44</f>
        <v>0</v>
      </c>
      <c r="N44" s="54">
        <f t="shared" si="11"/>
        <v>10.500000000000002</v>
      </c>
      <c r="O44" s="55">
        <f t="shared" si="12"/>
        <v>41.832669322709172</v>
      </c>
      <c r="P44" s="56">
        <f t="shared" si="13"/>
        <v>561</v>
      </c>
      <c r="Q44" s="55">
        <f t="shared" si="14"/>
        <v>55.38005923000987</v>
      </c>
      <c r="R44" s="54">
        <f t="shared" si="15"/>
        <v>7.7000000000000011</v>
      </c>
      <c r="S44" s="57">
        <f t="shared" si="16"/>
        <v>52.739726027397268</v>
      </c>
      <c r="T44" s="3">
        <f t="shared" si="17"/>
        <v>252</v>
      </c>
      <c r="U44" s="57">
        <f t="shared" si="18"/>
        <v>55.752212389380531</v>
      </c>
      <c r="V44" s="57">
        <f t="shared" si="19"/>
        <v>2.8000000000000007</v>
      </c>
      <c r="W44" s="57">
        <f t="shared" si="20"/>
        <v>309</v>
      </c>
      <c r="X44" s="58" t="s">
        <v>121</v>
      </c>
      <c r="Y44" s="58">
        <f>COUNTIF(L:L,3)</f>
        <v>13</v>
      </c>
    </row>
    <row r="45" spans="1:47" x14ac:dyDescent="0.2">
      <c r="A45" s="86">
        <v>117</v>
      </c>
      <c r="B45" s="4" t="s">
        <v>2</v>
      </c>
      <c r="C45" s="9">
        <v>2</v>
      </c>
      <c r="D45" s="40">
        <v>3.5</v>
      </c>
      <c r="E45" s="2">
        <v>10</v>
      </c>
      <c r="F45" s="2">
        <v>246</v>
      </c>
      <c r="G45" s="2">
        <v>25.3</v>
      </c>
      <c r="H45" s="2">
        <v>1038</v>
      </c>
      <c r="I45" s="2">
        <v>28.6</v>
      </c>
      <c r="J45" s="2">
        <v>1286</v>
      </c>
      <c r="L45" s="3">
        <v>1</v>
      </c>
      <c r="M45" s="17">
        <f>D45-C45</f>
        <v>1.5</v>
      </c>
      <c r="N45" s="54">
        <f t="shared" si="11"/>
        <v>15.3</v>
      </c>
      <c r="O45" s="55">
        <f t="shared" si="12"/>
        <v>60.474308300395265</v>
      </c>
      <c r="P45" s="56">
        <f t="shared" si="13"/>
        <v>792</v>
      </c>
      <c r="Q45" s="55">
        <f t="shared" si="14"/>
        <v>76.300578034682076</v>
      </c>
      <c r="R45" s="54">
        <f t="shared" si="15"/>
        <v>18.600000000000001</v>
      </c>
      <c r="S45" s="57">
        <f t="shared" si="16"/>
        <v>186</v>
      </c>
      <c r="T45" s="3">
        <f t="shared" si="17"/>
        <v>1040</v>
      </c>
      <c r="U45" s="57">
        <f t="shared" si="18"/>
        <v>422.76422764227641</v>
      </c>
      <c r="V45" s="57">
        <f t="shared" si="19"/>
        <v>-3.3000000000000007</v>
      </c>
      <c r="W45" s="57">
        <f t="shared" si="20"/>
        <v>-248</v>
      </c>
    </row>
    <row r="46" spans="1:47" x14ac:dyDescent="0.2">
      <c r="A46" s="87">
        <v>117</v>
      </c>
      <c r="B46" s="4" t="s">
        <v>3</v>
      </c>
      <c r="C46" s="9">
        <v>2.5</v>
      </c>
      <c r="D46" s="40">
        <v>3.5</v>
      </c>
      <c r="E46" s="2">
        <v>11.1</v>
      </c>
      <c r="F46" s="2">
        <v>255</v>
      </c>
      <c r="G46" s="2">
        <v>25.1</v>
      </c>
      <c r="H46" s="2">
        <v>1025</v>
      </c>
      <c r="I46" s="2">
        <v>26.8</v>
      </c>
      <c r="J46" s="2">
        <v>1310</v>
      </c>
      <c r="L46" s="3">
        <v>1</v>
      </c>
      <c r="M46" s="17">
        <f>D46-C46</f>
        <v>1</v>
      </c>
      <c r="N46" s="54">
        <f t="shared" si="11"/>
        <v>14.000000000000002</v>
      </c>
      <c r="O46" s="55">
        <f t="shared" si="12"/>
        <v>55.776892430278892</v>
      </c>
      <c r="P46" s="56">
        <f t="shared" si="13"/>
        <v>770</v>
      </c>
      <c r="Q46" s="55">
        <f t="shared" si="14"/>
        <v>75.121951219512198</v>
      </c>
      <c r="R46" s="54">
        <f t="shared" si="15"/>
        <v>15.700000000000001</v>
      </c>
      <c r="S46" s="57">
        <f t="shared" si="16"/>
        <v>141.44144144144147</v>
      </c>
      <c r="T46" s="3">
        <f t="shared" si="17"/>
        <v>1055</v>
      </c>
      <c r="U46" s="57">
        <f t="shared" si="18"/>
        <v>413.72549019607845</v>
      </c>
      <c r="V46" s="57">
        <f t="shared" si="19"/>
        <v>-1.6999999999999993</v>
      </c>
      <c r="W46" s="57">
        <f t="shared" si="20"/>
        <v>-285</v>
      </c>
    </row>
    <row r="47" spans="1:47" x14ac:dyDescent="0.2">
      <c r="A47" s="86">
        <v>123</v>
      </c>
      <c r="B47" s="4" t="s">
        <v>2</v>
      </c>
      <c r="C47" s="13">
        <v>3</v>
      </c>
      <c r="D47" s="41"/>
      <c r="E47" s="16">
        <v>7.5</v>
      </c>
      <c r="F47" s="16">
        <v>222</v>
      </c>
      <c r="G47" s="16">
        <v>24.5</v>
      </c>
      <c r="H47" s="16">
        <v>1004</v>
      </c>
      <c r="I47" s="16">
        <v>17.899999999999999</v>
      </c>
      <c r="J47" s="16">
        <v>597</v>
      </c>
      <c r="K47" s="14"/>
      <c r="L47" s="14">
        <v>1</v>
      </c>
      <c r="M47" s="18"/>
      <c r="N47" s="65">
        <f t="shared" si="11"/>
        <v>17</v>
      </c>
      <c r="O47" s="66">
        <f t="shared" si="12"/>
        <v>69.387755102040813</v>
      </c>
      <c r="P47" s="67">
        <f t="shared" si="13"/>
        <v>782</v>
      </c>
      <c r="Q47" s="66">
        <f t="shared" si="14"/>
        <v>77.888446215139439</v>
      </c>
      <c r="R47" s="65">
        <f t="shared" si="15"/>
        <v>10.399999999999999</v>
      </c>
      <c r="S47" s="68">
        <f t="shared" si="16"/>
        <v>138.66666666666666</v>
      </c>
      <c r="T47" s="18">
        <f t="shared" si="17"/>
        <v>375</v>
      </c>
      <c r="U47" s="68">
        <f t="shared" si="18"/>
        <v>168.91891891891893</v>
      </c>
      <c r="V47" s="68">
        <f t="shared" si="19"/>
        <v>6.6000000000000014</v>
      </c>
      <c r="W47" s="68">
        <f t="shared" si="20"/>
        <v>407</v>
      </c>
    </row>
    <row r="48" spans="1:47" x14ac:dyDescent="0.2">
      <c r="A48" s="87">
        <v>123</v>
      </c>
      <c r="B48" s="12" t="s">
        <v>3</v>
      </c>
      <c r="C48" s="13">
        <v>3</v>
      </c>
      <c r="D48" s="41"/>
      <c r="E48" s="16">
        <v>12.6</v>
      </c>
      <c r="F48" s="16">
        <v>387</v>
      </c>
      <c r="G48" s="16">
        <v>25.7</v>
      </c>
      <c r="H48" s="16">
        <v>1041</v>
      </c>
      <c r="I48" s="16">
        <v>14.5</v>
      </c>
      <c r="J48" s="16">
        <v>494</v>
      </c>
      <c r="K48" s="14"/>
      <c r="L48" s="14">
        <v>1</v>
      </c>
      <c r="M48" s="18"/>
      <c r="N48" s="65">
        <f t="shared" si="11"/>
        <v>13.1</v>
      </c>
      <c r="O48" s="66">
        <f t="shared" si="12"/>
        <v>50.972762645914393</v>
      </c>
      <c r="P48" s="67">
        <f t="shared" si="13"/>
        <v>654</v>
      </c>
      <c r="Q48" s="66">
        <f t="shared" si="14"/>
        <v>62.824207492795395</v>
      </c>
      <c r="R48" s="65">
        <f t="shared" si="15"/>
        <v>1.9000000000000004</v>
      </c>
      <c r="S48" s="68">
        <f t="shared" si="16"/>
        <v>15.079365079365081</v>
      </c>
      <c r="T48" s="18">
        <f t="shared" si="17"/>
        <v>107</v>
      </c>
      <c r="U48" s="68">
        <f t="shared" si="18"/>
        <v>27.648578811369507</v>
      </c>
      <c r="V48" s="68">
        <f t="shared" si="19"/>
        <v>11.2</v>
      </c>
      <c r="W48" s="68">
        <f t="shared" si="20"/>
        <v>547</v>
      </c>
    </row>
    <row r="49" spans="1:39" x14ac:dyDescent="0.2">
      <c r="A49" s="86">
        <v>126</v>
      </c>
      <c r="B49" s="4" t="s">
        <v>2</v>
      </c>
      <c r="C49" s="9">
        <v>3</v>
      </c>
      <c r="E49" s="17">
        <v>12.7</v>
      </c>
      <c r="F49" s="17">
        <v>449</v>
      </c>
      <c r="G49" s="19">
        <v>25.2</v>
      </c>
      <c r="H49" s="19">
        <v>990</v>
      </c>
      <c r="I49" s="19">
        <v>12.2</v>
      </c>
      <c r="J49" s="19">
        <v>332</v>
      </c>
      <c r="L49" s="18">
        <v>1</v>
      </c>
      <c r="M49" s="18"/>
      <c r="N49" s="69">
        <f t="shared" si="11"/>
        <v>12.5</v>
      </c>
      <c r="O49" s="57">
        <f t="shared" si="12"/>
        <v>49.603174603174608</v>
      </c>
      <c r="P49" s="70">
        <f t="shared" si="13"/>
        <v>541</v>
      </c>
      <c r="Q49" s="57">
        <f t="shared" si="14"/>
        <v>54.646464646464644</v>
      </c>
      <c r="R49" s="57">
        <f t="shared" si="15"/>
        <v>-0.5</v>
      </c>
      <c r="S49" s="57">
        <f t="shared" si="16"/>
        <v>-3.9370078740157481</v>
      </c>
      <c r="T49" s="18">
        <f t="shared" si="17"/>
        <v>-117</v>
      </c>
      <c r="U49" s="57">
        <f t="shared" si="18"/>
        <v>-26.057906458797326</v>
      </c>
      <c r="V49" s="71">
        <f t="shared" si="19"/>
        <v>13</v>
      </c>
      <c r="W49" s="71">
        <f t="shared" si="20"/>
        <v>658</v>
      </c>
    </row>
    <row r="50" spans="1:39" x14ac:dyDescent="0.2">
      <c r="A50" s="87">
        <v>126</v>
      </c>
      <c r="B50" s="4" t="s">
        <v>3</v>
      </c>
      <c r="C50" s="9">
        <v>3</v>
      </c>
      <c r="E50" s="17">
        <v>12.8</v>
      </c>
      <c r="F50" s="17">
        <v>356</v>
      </c>
      <c r="G50" s="19">
        <v>24</v>
      </c>
      <c r="H50" s="19">
        <v>995</v>
      </c>
      <c r="I50" s="19">
        <v>17.8</v>
      </c>
      <c r="J50" s="19">
        <v>442</v>
      </c>
      <c r="L50" s="18">
        <v>1</v>
      </c>
      <c r="M50" s="18"/>
      <c r="N50" s="69">
        <f t="shared" si="11"/>
        <v>11.2</v>
      </c>
      <c r="O50" s="57">
        <f t="shared" si="12"/>
        <v>46.666666666666664</v>
      </c>
      <c r="P50" s="70">
        <f t="shared" si="13"/>
        <v>639</v>
      </c>
      <c r="Q50" s="57">
        <f t="shared" si="14"/>
        <v>64.221105527638187</v>
      </c>
      <c r="R50" s="57">
        <f t="shared" si="15"/>
        <v>5</v>
      </c>
      <c r="S50" s="57">
        <f t="shared" si="16"/>
        <v>39.0625</v>
      </c>
      <c r="T50" s="18">
        <f t="shared" si="17"/>
        <v>86</v>
      </c>
      <c r="U50" s="57">
        <f t="shared" si="18"/>
        <v>24.157303370786519</v>
      </c>
      <c r="V50" s="71">
        <f t="shared" si="19"/>
        <v>6.1999999999999993</v>
      </c>
      <c r="W50" s="71">
        <f t="shared" si="20"/>
        <v>553</v>
      </c>
    </row>
    <row r="51" spans="1:39" x14ac:dyDescent="0.2">
      <c r="A51" s="87">
        <v>127</v>
      </c>
      <c r="B51" s="4" t="s">
        <v>2</v>
      </c>
      <c r="C51" s="9">
        <v>2.5</v>
      </c>
      <c r="D51" s="40">
        <v>3</v>
      </c>
      <c r="E51" s="17">
        <v>5</v>
      </c>
      <c r="F51" s="17">
        <v>176</v>
      </c>
      <c r="G51" s="19">
        <v>23.9</v>
      </c>
      <c r="H51" s="19">
        <v>1061</v>
      </c>
      <c r="I51" s="19">
        <v>24.5</v>
      </c>
      <c r="J51" s="19">
        <v>891</v>
      </c>
      <c r="L51" s="18">
        <v>1</v>
      </c>
      <c r="M51" s="18">
        <f>D51-C51</f>
        <v>0.5</v>
      </c>
      <c r="N51" s="69">
        <f t="shared" si="11"/>
        <v>18.899999999999999</v>
      </c>
      <c r="O51" s="57">
        <f t="shared" si="12"/>
        <v>79.079497907949786</v>
      </c>
      <c r="P51" s="70">
        <f t="shared" si="13"/>
        <v>885</v>
      </c>
      <c r="Q51" s="57">
        <f t="shared" si="14"/>
        <v>83.411875589066923</v>
      </c>
      <c r="R51" s="57">
        <f t="shared" si="15"/>
        <v>19.5</v>
      </c>
      <c r="S51" s="57">
        <f t="shared" si="16"/>
        <v>390</v>
      </c>
      <c r="T51" s="18">
        <f t="shared" si="17"/>
        <v>715</v>
      </c>
      <c r="U51" s="57">
        <f t="shared" si="18"/>
        <v>406.25</v>
      </c>
      <c r="V51" s="71">
        <f t="shared" si="19"/>
        <v>-0.60000000000000142</v>
      </c>
      <c r="W51" s="71">
        <f t="shared" si="20"/>
        <v>170</v>
      </c>
    </row>
    <row r="52" spans="1:39" x14ac:dyDescent="0.2">
      <c r="A52" s="87">
        <v>127</v>
      </c>
      <c r="B52" s="4" t="s">
        <v>3</v>
      </c>
      <c r="C52" s="9">
        <v>1.5</v>
      </c>
      <c r="D52" s="40">
        <v>2</v>
      </c>
      <c r="E52" s="17">
        <v>5</v>
      </c>
      <c r="F52" s="17">
        <v>135</v>
      </c>
      <c r="G52" s="19">
        <v>25</v>
      </c>
      <c r="H52" s="19">
        <v>1048</v>
      </c>
      <c r="I52" s="19">
        <v>23.8</v>
      </c>
      <c r="J52" s="19">
        <v>1000</v>
      </c>
      <c r="L52" s="18">
        <v>1</v>
      </c>
      <c r="M52" s="18">
        <f>D52-C52</f>
        <v>0.5</v>
      </c>
      <c r="N52" s="69">
        <f t="shared" si="11"/>
        <v>20</v>
      </c>
      <c r="O52" s="57">
        <f t="shared" si="12"/>
        <v>80</v>
      </c>
      <c r="P52" s="70">
        <f t="shared" si="13"/>
        <v>913</v>
      </c>
      <c r="Q52" s="57">
        <f t="shared" si="14"/>
        <v>87.118320610687022</v>
      </c>
      <c r="R52" s="57">
        <f t="shared" si="15"/>
        <v>18.8</v>
      </c>
      <c r="S52" s="57">
        <f t="shared" si="16"/>
        <v>376</v>
      </c>
      <c r="T52" s="18">
        <f t="shared" si="17"/>
        <v>865</v>
      </c>
      <c r="U52" s="57">
        <f t="shared" si="18"/>
        <v>640.74074074074076</v>
      </c>
      <c r="V52" s="71">
        <f t="shared" si="19"/>
        <v>1.1999999999999993</v>
      </c>
      <c r="W52" s="71">
        <f t="shared" si="20"/>
        <v>48</v>
      </c>
    </row>
    <row r="53" spans="1:39" x14ac:dyDescent="0.2">
      <c r="A53" s="86">
        <v>132</v>
      </c>
      <c r="B53" s="4" t="s">
        <v>2</v>
      </c>
      <c r="C53" s="13">
        <v>0</v>
      </c>
      <c r="D53" s="41"/>
      <c r="E53" s="16">
        <v>1</v>
      </c>
      <c r="F53" s="16">
        <v>1</v>
      </c>
      <c r="G53" s="16">
        <v>25.3</v>
      </c>
      <c r="H53" s="16">
        <v>1030</v>
      </c>
      <c r="I53" s="16">
        <v>17.899999999999999</v>
      </c>
      <c r="J53" s="16">
        <v>856</v>
      </c>
      <c r="K53" s="14"/>
      <c r="L53" s="14">
        <v>1</v>
      </c>
      <c r="M53" s="18"/>
      <c r="N53" s="65">
        <f t="shared" si="11"/>
        <v>24.3</v>
      </c>
      <c r="O53" s="66">
        <f t="shared" si="12"/>
        <v>96.047430830039531</v>
      </c>
      <c r="P53" s="67">
        <f t="shared" si="13"/>
        <v>1029</v>
      </c>
      <c r="Q53" s="66">
        <f t="shared" si="14"/>
        <v>99.902912621359221</v>
      </c>
      <c r="R53" s="65">
        <f t="shared" si="15"/>
        <v>16.899999999999999</v>
      </c>
      <c r="S53" s="68">
        <f t="shared" si="16"/>
        <v>1689.9999999999998</v>
      </c>
      <c r="T53" s="18">
        <f t="shared" si="17"/>
        <v>855</v>
      </c>
      <c r="U53" s="68">
        <f t="shared" si="18"/>
        <v>85500</v>
      </c>
      <c r="V53" s="68">
        <f t="shared" si="19"/>
        <v>7.4000000000000021</v>
      </c>
      <c r="W53" s="68">
        <f t="shared" si="20"/>
        <v>174</v>
      </c>
    </row>
    <row r="54" spans="1:39" x14ac:dyDescent="0.2">
      <c r="A54" s="87">
        <v>132</v>
      </c>
      <c r="B54" s="4" t="s">
        <v>3</v>
      </c>
      <c r="C54" s="13">
        <v>0</v>
      </c>
      <c r="D54" s="41"/>
      <c r="E54" s="16">
        <v>3.3</v>
      </c>
      <c r="F54" s="16">
        <v>149</v>
      </c>
      <c r="G54" s="16">
        <v>25.1</v>
      </c>
      <c r="H54" s="16">
        <v>1052</v>
      </c>
      <c r="I54" s="16">
        <v>20.3</v>
      </c>
      <c r="J54" s="16">
        <v>889</v>
      </c>
      <c r="K54" s="14"/>
      <c r="L54" s="14">
        <v>1</v>
      </c>
      <c r="M54" s="18"/>
      <c r="N54" s="65">
        <f t="shared" si="11"/>
        <v>21.8</v>
      </c>
      <c r="O54" s="66">
        <f t="shared" si="12"/>
        <v>86.852589641434264</v>
      </c>
      <c r="P54" s="67">
        <f t="shared" si="13"/>
        <v>903</v>
      </c>
      <c r="Q54" s="66">
        <f t="shared" si="14"/>
        <v>85.836501901140679</v>
      </c>
      <c r="R54" s="65">
        <f t="shared" si="15"/>
        <v>17</v>
      </c>
      <c r="S54" s="68">
        <f t="shared" si="16"/>
        <v>515.15151515151513</v>
      </c>
      <c r="T54" s="18">
        <f t="shared" si="17"/>
        <v>740</v>
      </c>
      <c r="U54" s="68">
        <f t="shared" si="18"/>
        <v>496.64429530201346</v>
      </c>
      <c r="V54" s="68">
        <f t="shared" si="19"/>
        <v>4.8000000000000007</v>
      </c>
      <c r="W54" s="68">
        <f t="shared" si="20"/>
        <v>163</v>
      </c>
    </row>
    <row r="55" spans="1:39" x14ac:dyDescent="0.2">
      <c r="A55" s="87">
        <v>133</v>
      </c>
      <c r="B55" s="4" t="s">
        <v>2</v>
      </c>
      <c r="C55" s="13">
        <v>3</v>
      </c>
      <c r="D55" s="41">
        <v>4</v>
      </c>
      <c r="E55" s="16">
        <v>1.7</v>
      </c>
      <c r="F55" s="16">
        <v>13</v>
      </c>
      <c r="G55" s="16">
        <v>25.6</v>
      </c>
      <c r="H55" s="16">
        <v>964</v>
      </c>
      <c r="I55" s="16">
        <v>24.8</v>
      </c>
      <c r="J55" s="16">
        <v>951</v>
      </c>
      <c r="K55" s="14"/>
      <c r="L55" s="14">
        <v>1</v>
      </c>
      <c r="M55" s="18">
        <f t="shared" ref="M55:M60" si="22">D55-C55</f>
        <v>1</v>
      </c>
      <c r="N55" s="65">
        <f t="shared" si="11"/>
        <v>23.900000000000002</v>
      </c>
      <c r="O55" s="66">
        <f t="shared" si="12"/>
        <v>93.359375</v>
      </c>
      <c r="P55" s="67">
        <f t="shared" si="13"/>
        <v>951</v>
      </c>
      <c r="Q55" s="66">
        <f t="shared" si="14"/>
        <v>98.651452282157678</v>
      </c>
      <c r="R55" s="65">
        <f t="shared" si="15"/>
        <v>23.1</v>
      </c>
      <c r="S55" s="68">
        <f t="shared" si="16"/>
        <v>1358.8235294117649</v>
      </c>
      <c r="T55" s="18">
        <f t="shared" si="17"/>
        <v>938</v>
      </c>
      <c r="U55" s="68">
        <f t="shared" si="18"/>
        <v>7215.3846153846162</v>
      </c>
      <c r="V55" s="68">
        <f t="shared" si="19"/>
        <v>0.80000000000000071</v>
      </c>
      <c r="W55" s="68">
        <f t="shared" si="20"/>
        <v>13</v>
      </c>
    </row>
    <row r="56" spans="1:39" x14ac:dyDescent="0.2">
      <c r="A56" s="87">
        <v>133</v>
      </c>
      <c r="B56" s="4" t="s">
        <v>3</v>
      </c>
      <c r="C56" s="13">
        <v>4.5</v>
      </c>
      <c r="D56" s="41">
        <v>4</v>
      </c>
      <c r="E56" s="16">
        <v>2.2999999999999998</v>
      </c>
      <c r="F56" s="16">
        <v>20</v>
      </c>
      <c r="G56" s="16">
        <v>24.9</v>
      </c>
      <c r="H56" s="16">
        <v>944</v>
      </c>
      <c r="I56" s="16">
        <v>25.6</v>
      </c>
      <c r="J56" s="16">
        <v>974</v>
      </c>
      <c r="K56" s="14"/>
      <c r="L56" s="14">
        <v>1</v>
      </c>
      <c r="M56" s="18">
        <f t="shared" si="22"/>
        <v>-0.5</v>
      </c>
      <c r="N56" s="65">
        <f t="shared" si="11"/>
        <v>22.599999999999998</v>
      </c>
      <c r="O56" s="66">
        <f t="shared" si="12"/>
        <v>90.763052208835333</v>
      </c>
      <c r="P56" s="67">
        <f t="shared" si="13"/>
        <v>924</v>
      </c>
      <c r="Q56" s="66">
        <f t="shared" si="14"/>
        <v>97.881355932203391</v>
      </c>
      <c r="R56" s="65">
        <f t="shared" si="15"/>
        <v>23.3</v>
      </c>
      <c r="S56" s="68">
        <f t="shared" si="16"/>
        <v>1013.0434782608697</v>
      </c>
      <c r="T56" s="18">
        <f t="shared" si="17"/>
        <v>954</v>
      </c>
      <c r="U56" s="68">
        <f t="shared" si="18"/>
        <v>4770</v>
      </c>
      <c r="V56" s="68">
        <f t="shared" si="19"/>
        <v>-0.70000000000000284</v>
      </c>
      <c r="W56" s="68">
        <f t="shared" si="20"/>
        <v>-30</v>
      </c>
      <c r="AK56" s="3" t="s">
        <v>192</v>
      </c>
      <c r="AL56" s="3" t="s">
        <v>202</v>
      </c>
      <c r="AM56" s="3" t="s">
        <v>203</v>
      </c>
    </row>
    <row r="57" spans="1:39" x14ac:dyDescent="0.2">
      <c r="A57" s="86">
        <v>138</v>
      </c>
      <c r="B57" s="4" t="s">
        <v>2</v>
      </c>
      <c r="C57" s="13">
        <v>3</v>
      </c>
      <c r="D57" s="41">
        <v>4</v>
      </c>
      <c r="E57" s="19">
        <v>9.5</v>
      </c>
      <c r="F57" s="19">
        <v>207</v>
      </c>
      <c r="G57" s="19">
        <v>24.8</v>
      </c>
      <c r="H57" s="19">
        <v>916</v>
      </c>
      <c r="I57" s="19">
        <v>22.2</v>
      </c>
      <c r="J57" s="19">
        <v>859</v>
      </c>
      <c r="K57" s="14"/>
      <c r="L57" s="14">
        <v>1</v>
      </c>
      <c r="M57" s="18">
        <f t="shared" si="22"/>
        <v>1</v>
      </c>
      <c r="N57" s="65">
        <f t="shared" si="11"/>
        <v>15.3</v>
      </c>
      <c r="O57" s="66">
        <f t="shared" si="12"/>
        <v>61.693548387096776</v>
      </c>
      <c r="P57" s="67">
        <f t="shared" si="13"/>
        <v>709</v>
      </c>
      <c r="Q57" s="66">
        <f t="shared" si="14"/>
        <v>77.401746724890828</v>
      </c>
      <c r="R57" s="65">
        <f t="shared" si="15"/>
        <v>12.7</v>
      </c>
      <c r="S57" s="68">
        <f t="shared" si="16"/>
        <v>133.68421052631578</v>
      </c>
      <c r="T57" s="18">
        <f t="shared" si="17"/>
        <v>652</v>
      </c>
      <c r="U57" s="68">
        <f t="shared" si="18"/>
        <v>314.97584541062804</v>
      </c>
      <c r="V57" s="68">
        <f t="shared" si="19"/>
        <v>2.6000000000000014</v>
      </c>
      <c r="W57" s="68">
        <f t="shared" si="20"/>
        <v>57</v>
      </c>
      <c r="AK57" s="3" t="s">
        <v>189</v>
      </c>
      <c r="AL57" s="3">
        <f>CORREL(E2:E62,F2:F62)</f>
        <v>0.89780330576471024</v>
      </c>
      <c r="AM57" s="3">
        <v>0.9</v>
      </c>
    </row>
    <row r="58" spans="1:39" x14ac:dyDescent="0.2">
      <c r="A58" s="87">
        <v>138</v>
      </c>
      <c r="B58" s="4" t="s">
        <v>3</v>
      </c>
      <c r="C58" s="13">
        <v>2.5</v>
      </c>
      <c r="D58" s="41">
        <v>4</v>
      </c>
      <c r="E58" s="16">
        <v>2</v>
      </c>
      <c r="F58" s="16">
        <v>16</v>
      </c>
      <c r="G58" s="16">
        <v>25.5</v>
      </c>
      <c r="H58" s="16">
        <v>1000</v>
      </c>
      <c r="I58" s="16">
        <v>25.7</v>
      </c>
      <c r="J58" s="16">
        <v>1000</v>
      </c>
      <c r="K58" s="14"/>
      <c r="L58" s="14">
        <v>1</v>
      </c>
      <c r="M58" s="18">
        <f t="shared" si="22"/>
        <v>1.5</v>
      </c>
      <c r="N58" s="65">
        <f t="shared" si="11"/>
        <v>23.5</v>
      </c>
      <c r="O58" s="66">
        <f t="shared" si="12"/>
        <v>92.156862745098039</v>
      </c>
      <c r="P58" s="67">
        <f t="shared" si="13"/>
        <v>984</v>
      </c>
      <c r="Q58" s="66">
        <f t="shared" si="14"/>
        <v>98.4</v>
      </c>
      <c r="R58" s="65">
        <f t="shared" si="15"/>
        <v>23.7</v>
      </c>
      <c r="S58" s="68">
        <f t="shared" si="16"/>
        <v>1185</v>
      </c>
      <c r="T58" s="18">
        <f t="shared" si="17"/>
        <v>984</v>
      </c>
      <c r="U58" s="68">
        <f t="shared" si="18"/>
        <v>6150</v>
      </c>
      <c r="V58" s="68">
        <f t="shared" si="19"/>
        <v>-0.19999999999999929</v>
      </c>
      <c r="W58" s="68">
        <f t="shared" si="20"/>
        <v>0</v>
      </c>
      <c r="AK58" s="3" t="s">
        <v>190</v>
      </c>
      <c r="AL58" s="3">
        <f>CORREL(E63:E87,F63:F87)</f>
        <v>0.86147458290434442</v>
      </c>
      <c r="AM58" s="3">
        <v>0.86</v>
      </c>
    </row>
    <row r="59" spans="1:39" x14ac:dyDescent="0.2">
      <c r="A59" s="87">
        <v>140</v>
      </c>
      <c r="B59" s="4" t="s">
        <v>2</v>
      </c>
      <c r="C59" s="13">
        <v>3.5</v>
      </c>
      <c r="D59" s="41">
        <v>4</v>
      </c>
      <c r="E59" s="16">
        <v>3.4</v>
      </c>
      <c r="F59" s="16">
        <v>36</v>
      </c>
      <c r="G59" s="16">
        <v>13.1</v>
      </c>
      <c r="H59" s="16">
        <v>285</v>
      </c>
      <c r="I59" s="16">
        <v>18.8</v>
      </c>
      <c r="J59" s="16">
        <v>881</v>
      </c>
      <c r="K59" s="14"/>
      <c r="L59" s="14">
        <v>1</v>
      </c>
      <c r="M59" s="18">
        <f t="shared" si="22"/>
        <v>0.5</v>
      </c>
      <c r="N59" s="65">
        <f t="shared" si="11"/>
        <v>9.6999999999999993</v>
      </c>
      <c r="O59" s="66">
        <f t="shared" si="12"/>
        <v>74.045801526717554</v>
      </c>
      <c r="P59" s="67">
        <f t="shared" si="13"/>
        <v>249</v>
      </c>
      <c r="Q59" s="66">
        <f t="shared" si="14"/>
        <v>87.368421052631589</v>
      </c>
      <c r="R59" s="65">
        <f t="shared" si="15"/>
        <v>15.4</v>
      </c>
      <c r="S59" s="68">
        <f t="shared" si="16"/>
        <v>452.94117647058823</v>
      </c>
      <c r="T59" s="18">
        <f t="shared" si="17"/>
        <v>845</v>
      </c>
      <c r="U59" s="68">
        <f t="shared" si="18"/>
        <v>2347.2222222222222</v>
      </c>
      <c r="V59" s="68">
        <f t="shared" si="19"/>
        <v>-5.7000000000000011</v>
      </c>
      <c r="W59" s="68">
        <f t="shared" si="20"/>
        <v>-596</v>
      </c>
      <c r="AK59" s="3" t="s">
        <v>191</v>
      </c>
      <c r="AL59" s="3">
        <f>CORREL(E88:E100,F88:F100)</f>
        <v>0.87071785948079805</v>
      </c>
      <c r="AM59" s="3">
        <v>0.87</v>
      </c>
    </row>
    <row r="60" spans="1:39" x14ac:dyDescent="0.2">
      <c r="A60" s="87">
        <v>140</v>
      </c>
      <c r="B60" s="4" t="s">
        <v>3</v>
      </c>
      <c r="C60" s="13">
        <v>3.5</v>
      </c>
      <c r="D60" s="41">
        <v>4</v>
      </c>
      <c r="E60" s="16">
        <v>6.7</v>
      </c>
      <c r="F60" s="16">
        <v>91</v>
      </c>
      <c r="G60" s="16">
        <v>17.3</v>
      </c>
      <c r="H60" s="16">
        <v>520</v>
      </c>
      <c r="I60" s="16">
        <v>23.1</v>
      </c>
      <c r="J60" s="16">
        <v>959</v>
      </c>
      <c r="K60" s="14"/>
      <c r="L60" s="14">
        <v>1</v>
      </c>
      <c r="M60" s="18">
        <f t="shared" si="22"/>
        <v>0.5</v>
      </c>
      <c r="N60" s="65">
        <f t="shared" si="11"/>
        <v>10.600000000000001</v>
      </c>
      <c r="O60" s="66">
        <f t="shared" si="12"/>
        <v>61.271676300578036</v>
      </c>
      <c r="P60" s="67">
        <f t="shared" si="13"/>
        <v>429</v>
      </c>
      <c r="Q60" s="66">
        <f t="shared" si="14"/>
        <v>82.5</v>
      </c>
      <c r="R60" s="65">
        <f t="shared" si="15"/>
        <v>16.400000000000002</v>
      </c>
      <c r="S60" s="68">
        <f t="shared" si="16"/>
        <v>244.7761194029851</v>
      </c>
      <c r="T60" s="18">
        <f t="shared" si="17"/>
        <v>868</v>
      </c>
      <c r="U60" s="68">
        <f t="shared" si="18"/>
        <v>953.84615384615381</v>
      </c>
      <c r="V60" s="68">
        <f t="shared" si="19"/>
        <v>-5.8000000000000007</v>
      </c>
      <c r="W60" s="68">
        <f t="shared" si="20"/>
        <v>-439</v>
      </c>
    </row>
    <row r="61" spans="1:39" x14ac:dyDescent="0.2">
      <c r="A61" s="86">
        <v>143</v>
      </c>
      <c r="B61" s="4" t="s">
        <v>2</v>
      </c>
      <c r="C61" s="13">
        <v>2</v>
      </c>
      <c r="D61" s="41"/>
      <c r="E61" s="19">
        <v>3.5</v>
      </c>
      <c r="F61" s="19">
        <v>240</v>
      </c>
      <c r="G61" s="16">
        <v>22.2</v>
      </c>
      <c r="H61" s="16">
        <v>887</v>
      </c>
      <c r="I61" s="16">
        <v>31.5</v>
      </c>
      <c r="J61" s="16">
        <v>1343</v>
      </c>
      <c r="K61" s="14"/>
      <c r="L61" s="14">
        <v>1</v>
      </c>
      <c r="M61" s="18"/>
      <c r="N61" s="65">
        <f t="shared" si="11"/>
        <v>18.7</v>
      </c>
      <c r="O61" s="66">
        <f t="shared" si="12"/>
        <v>84.234234234234222</v>
      </c>
      <c r="P61" s="67">
        <f t="shared" si="13"/>
        <v>647</v>
      </c>
      <c r="Q61" s="66">
        <f t="shared" si="14"/>
        <v>72.942502818489288</v>
      </c>
      <c r="R61" s="65">
        <f t="shared" si="15"/>
        <v>28</v>
      </c>
      <c r="S61" s="68">
        <f t="shared" si="16"/>
        <v>800</v>
      </c>
      <c r="T61" s="18">
        <f t="shared" si="17"/>
        <v>1103</v>
      </c>
      <c r="U61" s="68">
        <f t="shared" si="18"/>
        <v>459.58333333333331</v>
      </c>
      <c r="V61" s="68">
        <f t="shared" si="19"/>
        <v>-9.3000000000000007</v>
      </c>
      <c r="W61" s="68">
        <f t="shared" si="20"/>
        <v>-456</v>
      </c>
    </row>
    <row r="62" spans="1:39" s="21" customFormat="1" x14ac:dyDescent="0.2">
      <c r="A62" s="86">
        <v>143</v>
      </c>
      <c r="B62" s="32" t="s">
        <v>3</v>
      </c>
      <c r="C62" s="33">
        <v>2</v>
      </c>
      <c r="D62" s="42"/>
      <c r="E62" s="34">
        <v>2.2000000000000002</v>
      </c>
      <c r="F62" s="34">
        <v>75</v>
      </c>
      <c r="G62" s="35">
        <v>23.5</v>
      </c>
      <c r="H62" s="35">
        <v>942</v>
      </c>
      <c r="I62" s="35">
        <v>28.8</v>
      </c>
      <c r="J62" s="35">
        <v>1199</v>
      </c>
      <c r="L62" s="21">
        <v>1</v>
      </c>
      <c r="M62" s="37"/>
      <c r="N62" s="72">
        <f t="shared" si="11"/>
        <v>21.3</v>
      </c>
      <c r="O62" s="73">
        <f t="shared" si="12"/>
        <v>90.638297872340416</v>
      </c>
      <c r="P62" s="74">
        <f t="shared" si="13"/>
        <v>867</v>
      </c>
      <c r="Q62" s="73">
        <f t="shared" si="14"/>
        <v>92.038216560509554</v>
      </c>
      <c r="R62" s="72">
        <f t="shared" si="15"/>
        <v>26.6</v>
      </c>
      <c r="S62" s="75">
        <f t="shared" si="16"/>
        <v>1209.090909090909</v>
      </c>
      <c r="T62" s="37">
        <f t="shared" si="17"/>
        <v>1124</v>
      </c>
      <c r="U62" s="75">
        <f t="shared" si="18"/>
        <v>1498.6666666666667</v>
      </c>
      <c r="V62" s="75">
        <f t="shared" si="19"/>
        <v>-5.3000000000000007</v>
      </c>
      <c r="W62" s="75">
        <f t="shared" si="20"/>
        <v>-257</v>
      </c>
      <c r="X62" s="76"/>
      <c r="Y62" s="76"/>
      <c r="Z62" s="77"/>
    </row>
    <row r="63" spans="1:39" x14ac:dyDescent="0.2">
      <c r="A63" s="87">
        <v>11</v>
      </c>
      <c r="B63" s="4" t="s">
        <v>2</v>
      </c>
      <c r="C63" s="9">
        <v>0.5</v>
      </c>
      <c r="D63" s="40">
        <v>4</v>
      </c>
      <c r="E63" s="2">
        <v>6.9</v>
      </c>
      <c r="F63" s="2">
        <v>90</v>
      </c>
      <c r="G63" s="2">
        <v>20.8</v>
      </c>
      <c r="H63" s="2">
        <v>708</v>
      </c>
      <c r="I63" s="2">
        <v>26.1</v>
      </c>
      <c r="J63" s="2">
        <v>1017</v>
      </c>
      <c r="L63" s="3">
        <v>2</v>
      </c>
      <c r="M63" s="17">
        <f t="shared" ref="M63:M100" si="23">D63-C63</f>
        <v>3.5</v>
      </c>
      <c r="N63" s="54">
        <f t="shared" si="11"/>
        <v>13.9</v>
      </c>
      <c r="O63" s="55">
        <f t="shared" si="12"/>
        <v>66.826923076923066</v>
      </c>
      <c r="P63" s="56">
        <f t="shared" si="13"/>
        <v>618</v>
      </c>
      <c r="Q63" s="55">
        <f t="shared" si="14"/>
        <v>87.288135593220346</v>
      </c>
      <c r="R63" s="54">
        <f t="shared" si="15"/>
        <v>19.200000000000003</v>
      </c>
      <c r="S63" s="57">
        <f t="shared" si="16"/>
        <v>278.26086956521743</v>
      </c>
      <c r="T63" s="3">
        <f t="shared" si="17"/>
        <v>927</v>
      </c>
      <c r="U63" s="57">
        <f t="shared" si="18"/>
        <v>1030</v>
      </c>
      <c r="V63" s="57">
        <f t="shared" si="19"/>
        <v>-5.3000000000000007</v>
      </c>
      <c r="W63" s="57">
        <f t="shared" si="20"/>
        <v>-309</v>
      </c>
    </row>
    <row r="64" spans="1:39" x14ac:dyDescent="0.2">
      <c r="A64" s="87">
        <v>11</v>
      </c>
      <c r="B64" s="4" t="s">
        <v>3</v>
      </c>
      <c r="C64" s="9">
        <v>0.5</v>
      </c>
      <c r="D64" s="40">
        <v>4.5</v>
      </c>
      <c r="E64" s="2">
        <v>8.9</v>
      </c>
      <c r="F64" s="2">
        <v>132</v>
      </c>
      <c r="G64" s="2">
        <v>23.3</v>
      </c>
      <c r="H64" s="2">
        <v>807</v>
      </c>
      <c r="I64" s="2">
        <v>24.3</v>
      </c>
      <c r="J64" s="2">
        <v>932</v>
      </c>
      <c r="L64" s="3">
        <v>2</v>
      </c>
      <c r="M64" s="17">
        <f t="shared" si="23"/>
        <v>4</v>
      </c>
      <c r="N64" s="54">
        <f t="shared" si="11"/>
        <v>14.4</v>
      </c>
      <c r="O64" s="55">
        <f t="shared" si="12"/>
        <v>61.802575107296128</v>
      </c>
      <c r="P64" s="56">
        <f t="shared" si="13"/>
        <v>675</v>
      </c>
      <c r="Q64" s="55">
        <f t="shared" si="14"/>
        <v>83.643122676579935</v>
      </c>
      <c r="R64" s="54">
        <f t="shared" si="15"/>
        <v>15.4</v>
      </c>
      <c r="S64" s="57">
        <f t="shared" si="16"/>
        <v>173.03370786516854</v>
      </c>
      <c r="T64" s="3">
        <f t="shared" si="17"/>
        <v>800</v>
      </c>
      <c r="U64" s="57">
        <f t="shared" si="18"/>
        <v>606.06060606060601</v>
      </c>
      <c r="V64" s="57">
        <f t="shared" si="19"/>
        <v>-1</v>
      </c>
      <c r="W64" s="57">
        <f t="shared" si="20"/>
        <v>-125</v>
      </c>
    </row>
    <row r="65" spans="1:30" x14ac:dyDescent="0.2">
      <c r="A65" s="87">
        <v>15</v>
      </c>
      <c r="B65" s="4" t="s">
        <v>2</v>
      </c>
      <c r="C65" s="9">
        <v>0.25</v>
      </c>
      <c r="D65" s="40">
        <v>3</v>
      </c>
      <c r="E65" s="2">
        <v>8.5</v>
      </c>
      <c r="F65" s="2">
        <v>276</v>
      </c>
      <c r="G65" s="2">
        <v>26.3</v>
      </c>
      <c r="H65" s="2">
        <v>994</v>
      </c>
      <c r="I65" s="2">
        <v>24.1</v>
      </c>
      <c r="J65" s="2">
        <v>777</v>
      </c>
      <c r="L65" s="3">
        <v>2</v>
      </c>
      <c r="M65" s="17">
        <f t="shared" si="23"/>
        <v>2.75</v>
      </c>
      <c r="N65" s="54">
        <f t="shared" si="11"/>
        <v>17.8</v>
      </c>
      <c r="O65" s="55">
        <f t="shared" si="12"/>
        <v>67.680608365019012</v>
      </c>
      <c r="P65" s="56">
        <f t="shared" si="13"/>
        <v>718</v>
      </c>
      <c r="Q65" s="55">
        <f t="shared" si="14"/>
        <v>72.233400402414489</v>
      </c>
      <c r="R65" s="54">
        <f t="shared" si="15"/>
        <v>15.600000000000001</v>
      </c>
      <c r="S65" s="57">
        <f t="shared" si="16"/>
        <v>183.52941176470588</v>
      </c>
      <c r="T65" s="3">
        <f t="shared" si="17"/>
        <v>501</v>
      </c>
      <c r="U65" s="57">
        <f t="shared" si="18"/>
        <v>181.52173913043478</v>
      </c>
      <c r="V65" s="57">
        <f t="shared" si="19"/>
        <v>2.1999999999999993</v>
      </c>
      <c r="W65" s="57">
        <f t="shared" si="20"/>
        <v>217</v>
      </c>
    </row>
    <row r="66" spans="1:30" x14ac:dyDescent="0.2">
      <c r="A66" s="87">
        <v>20</v>
      </c>
      <c r="B66" s="4" t="s">
        <v>2</v>
      </c>
      <c r="C66" s="9">
        <v>0.25</v>
      </c>
      <c r="D66" s="40">
        <v>4</v>
      </c>
      <c r="E66" s="2">
        <v>12.2</v>
      </c>
      <c r="F66" s="2">
        <v>249</v>
      </c>
      <c r="G66" s="2">
        <v>24.4</v>
      </c>
      <c r="H66" s="2">
        <v>845</v>
      </c>
      <c r="I66" s="2">
        <v>24.6</v>
      </c>
      <c r="J66" s="2">
        <v>893</v>
      </c>
      <c r="L66" s="3">
        <v>2</v>
      </c>
      <c r="M66" s="17">
        <f t="shared" si="23"/>
        <v>3.75</v>
      </c>
      <c r="N66" s="54">
        <f t="shared" ref="N66:N92" si="24">G66-E66</f>
        <v>12.2</v>
      </c>
      <c r="O66" s="55">
        <f t="shared" ref="O66:O92" si="25">N66/G66*100</f>
        <v>50</v>
      </c>
      <c r="P66" s="56">
        <f t="shared" ref="P66:P92" si="26">H66-F66</f>
        <v>596</v>
      </c>
      <c r="Q66" s="55">
        <f t="shared" ref="Q66:Q92" si="27">P66/H66*100</f>
        <v>70.532544378698219</v>
      </c>
      <c r="R66" s="54">
        <f t="shared" ref="R66:R100" si="28">I66-E66</f>
        <v>12.400000000000002</v>
      </c>
      <c r="S66" s="57">
        <f t="shared" ref="S66:S97" si="29">R66/E66*100</f>
        <v>101.63934426229511</v>
      </c>
      <c r="T66" s="3">
        <f t="shared" ref="T66:T100" si="30">J66-F66</f>
        <v>644</v>
      </c>
      <c r="U66" s="57">
        <f t="shared" ref="U66:U97" si="31">T66/F66*100</f>
        <v>258.63453815261045</v>
      </c>
      <c r="V66" s="57">
        <f t="shared" ref="V66:V92" si="32">G66-I66</f>
        <v>-0.20000000000000284</v>
      </c>
      <c r="W66" s="57">
        <f t="shared" ref="W66:W92" si="33">H66-J66</f>
        <v>-48</v>
      </c>
    </row>
    <row r="67" spans="1:30" x14ac:dyDescent="0.2">
      <c r="A67" s="86">
        <v>20</v>
      </c>
      <c r="B67" s="4" t="s">
        <v>3</v>
      </c>
      <c r="C67" s="9">
        <v>0</v>
      </c>
      <c r="D67" s="40">
        <v>4</v>
      </c>
      <c r="E67" s="2">
        <v>14.4</v>
      </c>
      <c r="F67" s="2">
        <v>309</v>
      </c>
      <c r="G67" s="2">
        <v>24.8</v>
      </c>
      <c r="H67" s="2">
        <v>942</v>
      </c>
      <c r="I67" s="2">
        <v>24.2</v>
      </c>
      <c r="J67" s="2">
        <v>892</v>
      </c>
      <c r="L67" s="3">
        <v>2</v>
      </c>
      <c r="M67" s="17">
        <f t="shared" si="23"/>
        <v>4</v>
      </c>
      <c r="N67" s="54">
        <f t="shared" si="24"/>
        <v>10.4</v>
      </c>
      <c r="O67" s="55">
        <f t="shared" si="25"/>
        <v>41.935483870967744</v>
      </c>
      <c r="P67" s="56">
        <f t="shared" si="26"/>
        <v>633</v>
      </c>
      <c r="Q67" s="55">
        <f t="shared" si="27"/>
        <v>67.197452229299358</v>
      </c>
      <c r="R67" s="54">
        <f t="shared" si="28"/>
        <v>9.7999999999999989</v>
      </c>
      <c r="S67" s="57">
        <f t="shared" si="29"/>
        <v>68.055555555555543</v>
      </c>
      <c r="T67" s="3">
        <f t="shared" si="30"/>
        <v>583</v>
      </c>
      <c r="U67" s="57">
        <f t="shared" si="31"/>
        <v>188.67313915857605</v>
      </c>
      <c r="V67" s="57">
        <f t="shared" si="32"/>
        <v>0.60000000000000142</v>
      </c>
      <c r="W67" s="57">
        <f t="shared" si="33"/>
        <v>50</v>
      </c>
    </row>
    <row r="68" spans="1:30" x14ac:dyDescent="0.2">
      <c r="A68" s="87">
        <v>28</v>
      </c>
      <c r="B68" s="4" t="s">
        <v>2</v>
      </c>
      <c r="C68" s="9">
        <v>0.5</v>
      </c>
      <c r="D68" s="40">
        <v>3</v>
      </c>
      <c r="E68" s="2">
        <v>18.100000000000001</v>
      </c>
      <c r="F68" s="2">
        <v>458</v>
      </c>
      <c r="G68" s="2">
        <v>25.2</v>
      </c>
      <c r="H68" s="2">
        <v>876</v>
      </c>
      <c r="I68" s="2">
        <v>25.7</v>
      </c>
      <c r="J68" s="2">
        <v>971</v>
      </c>
      <c r="L68" s="3">
        <v>2</v>
      </c>
      <c r="M68" s="17">
        <f t="shared" si="23"/>
        <v>2.5</v>
      </c>
      <c r="N68" s="54">
        <f t="shared" si="24"/>
        <v>7.0999999999999979</v>
      </c>
      <c r="O68" s="55">
        <f t="shared" si="25"/>
        <v>28.17460317460317</v>
      </c>
      <c r="P68" s="56">
        <f t="shared" si="26"/>
        <v>418</v>
      </c>
      <c r="Q68" s="55">
        <f t="shared" si="27"/>
        <v>47.716894977168948</v>
      </c>
      <c r="R68" s="54">
        <f t="shared" si="28"/>
        <v>7.5999999999999979</v>
      </c>
      <c r="S68" s="57">
        <f t="shared" si="29"/>
        <v>41.988950276243081</v>
      </c>
      <c r="T68" s="3">
        <f t="shared" si="30"/>
        <v>513</v>
      </c>
      <c r="U68" s="57">
        <f t="shared" si="31"/>
        <v>112.00873362445414</v>
      </c>
      <c r="V68" s="57">
        <f t="shared" si="32"/>
        <v>-0.5</v>
      </c>
      <c r="W68" s="57">
        <f t="shared" si="33"/>
        <v>-95</v>
      </c>
    </row>
    <row r="69" spans="1:30" x14ac:dyDescent="0.2">
      <c r="A69" s="87">
        <v>28</v>
      </c>
      <c r="B69" s="4" t="s">
        <v>3</v>
      </c>
      <c r="C69" s="9">
        <v>-1</v>
      </c>
      <c r="D69" s="40">
        <v>3</v>
      </c>
      <c r="E69" s="2">
        <v>7.4</v>
      </c>
      <c r="F69" s="2">
        <v>305</v>
      </c>
      <c r="G69" s="2">
        <v>24.8</v>
      </c>
      <c r="H69" s="2">
        <v>1025</v>
      </c>
      <c r="I69" s="2">
        <v>26</v>
      </c>
      <c r="J69" s="2">
        <v>1007</v>
      </c>
      <c r="L69" s="3">
        <v>2</v>
      </c>
      <c r="M69" s="17">
        <f t="shared" si="23"/>
        <v>4</v>
      </c>
      <c r="N69" s="54">
        <f t="shared" si="24"/>
        <v>17.399999999999999</v>
      </c>
      <c r="O69" s="55">
        <f t="shared" si="25"/>
        <v>70.161290322580641</v>
      </c>
      <c r="P69" s="56">
        <f t="shared" si="26"/>
        <v>720</v>
      </c>
      <c r="Q69" s="55">
        <f t="shared" si="27"/>
        <v>70.243902439024382</v>
      </c>
      <c r="R69" s="54">
        <f t="shared" si="28"/>
        <v>18.600000000000001</v>
      </c>
      <c r="S69" s="57">
        <f t="shared" si="29"/>
        <v>251.35135135135135</v>
      </c>
      <c r="T69" s="3">
        <f t="shared" si="30"/>
        <v>702</v>
      </c>
      <c r="U69" s="57">
        <f t="shared" si="31"/>
        <v>230.1639344262295</v>
      </c>
      <c r="V69" s="57">
        <f t="shared" si="32"/>
        <v>-1.1999999999999993</v>
      </c>
      <c r="W69" s="57">
        <f t="shared" si="33"/>
        <v>18</v>
      </c>
    </row>
    <row r="70" spans="1:30" x14ac:dyDescent="0.2">
      <c r="A70" s="87">
        <v>29</v>
      </c>
      <c r="B70" s="4" t="s">
        <v>2</v>
      </c>
      <c r="C70" s="9">
        <v>0.5</v>
      </c>
      <c r="D70" s="40">
        <v>4</v>
      </c>
      <c r="E70" s="2">
        <v>12.5</v>
      </c>
      <c r="F70" s="2">
        <v>262</v>
      </c>
      <c r="G70" s="2">
        <v>23.9</v>
      </c>
      <c r="H70" s="2">
        <v>892</v>
      </c>
      <c r="I70" s="2">
        <v>24.1</v>
      </c>
      <c r="J70" s="2">
        <v>906</v>
      </c>
      <c r="K70" s="3" t="s">
        <v>9</v>
      </c>
      <c r="L70" s="3">
        <v>2</v>
      </c>
      <c r="M70" s="17">
        <f t="shared" si="23"/>
        <v>3.5</v>
      </c>
      <c r="N70" s="54">
        <f t="shared" si="24"/>
        <v>11.399999999999999</v>
      </c>
      <c r="O70" s="55">
        <f t="shared" si="25"/>
        <v>47.698744769874473</v>
      </c>
      <c r="P70" s="56">
        <f t="shared" si="26"/>
        <v>630</v>
      </c>
      <c r="Q70" s="55">
        <f t="shared" si="27"/>
        <v>70.627802690582968</v>
      </c>
      <c r="R70" s="54">
        <f t="shared" si="28"/>
        <v>11.600000000000001</v>
      </c>
      <c r="S70" s="57">
        <f t="shared" si="29"/>
        <v>92.800000000000011</v>
      </c>
      <c r="T70" s="3">
        <f t="shared" si="30"/>
        <v>644</v>
      </c>
      <c r="U70" s="57">
        <f t="shared" si="31"/>
        <v>245.80152671755724</v>
      </c>
      <c r="V70" s="57">
        <f t="shared" si="32"/>
        <v>-0.20000000000000284</v>
      </c>
      <c r="W70" s="57">
        <f t="shared" si="33"/>
        <v>-14</v>
      </c>
      <c r="X70" s="78"/>
      <c r="Y70" s="78"/>
      <c r="Z70" s="79"/>
      <c r="AA70" s="14"/>
      <c r="AB70" s="14"/>
      <c r="AC70" s="14"/>
      <c r="AD70" s="14"/>
    </row>
    <row r="71" spans="1:30" x14ac:dyDescent="0.2">
      <c r="A71" s="87">
        <v>31</v>
      </c>
      <c r="B71" s="4" t="s">
        <v>2</v>
      </c>
      <c r="C71" s="9">
        <v>0</v>
      </c>
      <c r="D71" s="40">
        <v>2</v>
      </c>
      <c r="E71" s="2">
        <v>5.6</v>
      </c>
      <c r="F71" s="2">
        <v>137</v>
      </c>
      <c r="G71" s="2">
        <v>17</v>
      </c>
      <c r="H71" s="2">
        <v>708</v>
      </c>
      <c r="I71" s="2">
        <v>21.8</v>
      </c>
      <c r="J71" s="2">
        <v>874</v>
      </c>
      <c r="K71" s="3" t="s">
        <v>7</v>
      </c>
      <c r="L71" s="3">
        <v>2</v>
      </c>
      <c r="M71" s="17">
        <f t="shared" si="23"/>
        <v>2</v>
      </c>
      <c r="N71" s="54">
        <f t="shared" si="24"/>
        <v>11.4</v>
      </c>
      <c r="O71" s="55">
        <f t="shared" si="25"/>
        <v>67.058823529411768</v>
      </c>
      <c r="P71" s="56">
        <f t="shared" si="26"/>
        <v>571</v>
      </c>
      <c r="Q71" s="55">
        <f t="shared" si="27"/>
        <v>80.649717514124291</v>
      </c>
      <c r="R71" s="54">
        <f t="shared" si="28"/>
        <v>16.200000000000003</v>
      </c>
      <c r="S71" s="57">
        <f t="shared" si="29"/>
        <v>289.28571428571439</v>
      </c>
      <c r="T71" s="3">
        <f t="shared" si="30"/>
        <v>737</v>
      </c>
      <c r="U71" s="57">
        <f t="shared" si="31"/>
        <v>537.956204379562</v>
      </c>
      <c r="V71" s="57">
        <f t="shared" si="32"/>
        <v>-4.8000000000000007</v>
      </c>
      <c r="W71" s="57">
        <f t="shared" si="33"/>
        <v>-166</v>
      </c>
    </row>
    <row r="72" spans="1:30" x14ac:dyDescent="0.2">
      <c r="A72" s="87">
        <v>34</v>
      </c>
      <c r="B72" s="4" t="s">
        <v>2</v>
      </c>
      <c r="C72" s="9">
        <v>0</v>
      </c>
      <c r="D72" s="40">
        <v>2.5</v>
      </c>
      <c r="E72" s="3">
        <v>7.9</v>
      </c>
      <c r="F72" s="3">
        <v>283</v>
      </c>
      <c r="G72" s="3">
        <v>21.5</v>
      </c>
      <c r="H72" s="3">
        <v>824</v>
      </c>
      <c r="I72" s="2">
        <v>16.8</v>
      </c>
      <c r="J72" s="2">
        <v>781</v>
      </c>
      <c r="L72" s="2">
        <v>2</v>
      </c>
      <c r="M72" s="17">
        <f t="shared" si="23"/>
        <v>2.5</v>
      </c>
      <c r="N72" s="54">
        <f t="shared" si="24"/>
        <v>13.6</v>
      </c>
      <c r="O72" s="55">
        <f t="shared" si="25"/>
        <v>63.255813953488371</v>
      </c>
      <c r="P72" s="56">
        <f t="shared" si="26"/>
        <v>541</v>
      </c>
      <c r="Q72" s="55">
        <f t="shared" si="27"/>
        <v>65.655339805825236</v>
      </c>
      <c r="R72" s="54">
        <f t="shared" si="28"/>
        <v>8.9</v>
      </c>
      <c r="S72" s="57">
        <f t="shared" si="29"/>
        <v>112.65822784810126</v>
      </c>
      <c r="T72" s="3">
        <f t="shared" si="30"/>
        <v>498</v>
      </c>
      <c r="U72" s="57">
        <f t="shared" si="31"/>
        <v>175.97173144876325</v>
      </c>
      <c r="V72" s="57">
        <f t="shared" si="32"/>
        <v>4.6999999999999993</v>
      </c>
      <c r="W72" s="57">
        <f t="shared" si="33"/>
        <v>43</v>
      </c>
      <c r="AC72" s="3" t="s">
        <v>122</v>
      </c>
      <c r="AD72" s="3">
        <f>CORREL(E2:E100,F2:F100)</f>
        <v>0.87043577688953322</v>
      </c>
    </row>
    <row r="73" spans="1:30" x14ac:dyDescent="0.2">
      <c r="A73" s="86">
        <v>34</v>
      </c>
      <c r="B73" s="4" t="s">
        <v>3</v>
      </c>
      <c r="C73" s="9">
        <v>0.5</v>
      </c>
      <c r="D73" s="40">
        <v>3</v>
      </c>
      <c r="E73" s="3">
        <v>8.1999999999999993</v>
      </c>
      <c r="F73" s="3">
        <v>181</v>
      </c>
      <c r="G73" s="3">
        <v>20.8</v>
      </c>
      <c r="H73" s="3">
        <v>834</v>
      </c>
      <c r="I73" s="3">
        <v>20.6</v>
      </c>
      <c r="J73" s="3">
        <v>882</v>
      </c>
      <c r="L73" s="3">
        <v>2</v>
      </c>
      <c r="M73" s="17">
        <f t="shared" si="23"/>
        <v>2.5</v>
      </c>
      <c r="N73" s="54">
        <f t="shared" si="24"/>
        <v>12.600000000000001</v>
      </c>
      <c r="O73" s="55">
        <f t="shared" si="25"/>
        <v>60.57692307692308</v>
      </c>
      <c r="P73" s="56">
        <f t="shared" si="26"/>
        <v>653</v>
      </c>
      <c r="Q73" s="55">
        <f t="shared" si="27"/>
        <v>78.297362110311752</v>
      </c>
      <c r="R73" s="54">
        <f t="shared" si="28"/>
        <v>12.400000000000002</v>
      </c>
      <c r="S73" s="57">
        <f t="shared" si="29"/>
        <v>151.21951219512201</v>
      </c>
      <c r="T73" s="3">
        <f t="shared" si="30"/>
        <v>701</v>
      </c>
      <c r="U73" s="57">
        <f t="shared" si="31"/>
        <v>387.29281767955803</v>
      </c>
      <c r="V73" s="57">
        <f t="shared" si="32"/>
        <v>0.19999999999999929</v>
      </c>
      <c r="W73" s="57">
        <f t="shared" si="33"/>
        <v>-48</v>
      </c>
    </row>
    <row r="74" spans="1:30" x14ac:dyDescent="0.2">
      <c r="A74" s="86">
        <v>39</v>
      </c>
      <c r="B74" s="4" t="s">
        <v>2</v>
      </c>
      <c r="C74" s="9">
        <v>2</v>
      </c>
      <c r="D74" s="40">
        <v>2</v>
      </c>
      <c r="E74" s="2">
        <v>2.5</v>
      </c>
      <c r="F74" s="2">
        <v>136</v>
      </c>
      <c r="G74" s="2">
        <v>22.1</v>
      </c>
      <c r="H74" s="2">
        <v>946</v>
      </c>
      <c r="I74" s="2">
        <v>10.3</v>
      </c>
      <c r="J74" s="2">
        <v>298</v>
      </c>
      <c r="L74" s="3">
        <v>2</v>
      </c>
      <c r="M74" s="17">
        <f t="shared" si="23"/>
        <v>0</v>
      </c>
      <c r="N74" s="54">
        <f t="shared" si="24"/>
        <v>19.600000000000001</v>
      </c>
      <c r="O74" s="55">
        <f t="shared" si="25"/>
        <v>88.687782805429862</v>
      </c>
      <c r="P74" s="56">
        <f t="shared" si="26"/>
        <v>810</v>
      </c>
      <c r="Q74" s="55">
        <f t="shared" si="27"/>
        <v>85.623678646934465</v>
      </c>
      <c r="R74" s="54">
        <f t="shared" si="28"/>
        <v>7.8000000000000007</v>
      </c>
      <c r="S74" s="57">
        <f t="shared" si="29"/>
        <v>312</v>
      </c>
      <c r="T74" s="3">
        <f t="shared" si="30"/>
        <v>162</v>
      </c>
      <c r="U74" s="57">
        <f t="shared" si="31"/>
        <v>119.11764705882352</v>
      </c>
      <c r="V74" s="57">
        <f t="shared" si="32"/>
        <v>11.8</v>
      </c>
      <c r="W74" s="57">
        <f t="shared" si="33"/>
        <v>648</v>
      </c>
    </row>
    <row r="75" spans="1:30" x14ac:dyDescent="0.2">
      <c r="A75" s="86">
        <v>39</v>
      </c>
      <c r="B75" s="4" t="s">
        <v>3</v>
      </c>
      <c r="C75" s="9">
        <v>0</v>
      </c>
      <c r="D75" s="40">
        <v>1.5</v>
      </c>
      <c r="E75" s="2">
        <v>1.4</v>
      </c>
      <c r="F75" s="2">
        <v>48</v>
      </c>
      <c r="G75" s="2">
        <v>22.9</v>
      </c>
      <c r="H75" s="2">
        <v>1042</v>
      </c>
      <c r="I75" s="2">
        <v>10.3</v>
      </c>
      <c r="J75" s="2">
        <v>146</v>
      </c>
      <c r="L75" s="3">
        <v>2</v>
      </c>
      <c r="M75" s="17">
        <f t="shared" si="23"/>
        <v>1.5</v>
      </c>
      <c r="N75" s="54">
        <f t="shared" si="24"/>
        <v>21.5</v>
      </c>
      <c r="O75" s="55">
        <f t="shared" si="25"/>
        <v>93.886462882096083</v>
      </c>
      <c r="P75" s="56">
        <f t="shared" si="26"/>
        <v>994</v>
      </c>
      <c r="Q75" s="55">
        <f t="shared" si="27"/>
        <v>95.393474088291754</v>
      </c>
      <c r="R75" s="54">
        <f t="shared" si="28"/>
        <v>8.9</v>
      </c>
      <c r="S75" s="57">
        <f t="shared" si="29"/>
        <v>635.71428571428578</v>
      </c>
      <c r="T75" s="3">
        <f t="shared" si="30"/>
        <v>98</v>
      </c>
      <c r="U75" s="57">
        <f t="shared" si="31"/>
        <v>204.16666666666666</v>
      </c>
      <c r="V75" s="57">
        <f t="shared" si="32"/>
        <v>12.599999999999998</v>
      </c>
      <c r="W75" s="57">
        <f t="shared" si="33"/>
        <v>896</v>
      </c>
    </row>
    <row r="76" spans="1:30" x14ac:dyDescent="0.2">
      <c r="A76" s="87">
        <v>40</v>
      </c>
      <c r="B76" s="4" t="s">
        <v>2</v>
      </c>
      <c r="C76" s="9">
        <v>2</v>
      </c>
      <c r="D76" s="40">
        <v>3</v>
      </c>
      <c r="E76" s="2">
        <v>11.5</v>
      </c>
      <c r="F76" s="2">
        <v>287</v>
      </c>
      <c r="G76" s="2">
        <v>22.2</v>
      </c>
      <c r="H76" s="2">
        <v>789</v>
      </c>
      <c r="I76" s="2">
        <v>24.4</v>
      </c>
      <c r="J76" s="2">
        <v>954</v>
      </c>
      <c r="L76" s="3">
        <v>2</v>
      </c>
      <c r="M76" s="17">
        <f t="shared" si="23"/>
        <v>1</v>
      </c>
      <c r="N76" s="54">
        <f t="shared" si="24"/>
        <v>10.7</v>
      </c>
      <c r="O76" s="55">
        <f t="shared" si="25"/>
        <v>48.198198198198192</v>
      </c>
      <c r="P76" s="56">
        <f t="shared" si="26"/>
        <v>502</v>
      </c>
      <c r="Q76" s="55">
        <f t="shared" si="27"/>
        <v>63.624841571609636</v>
      </c>
      <c r="R76" s="54">
        <f t="shared" si="28"/>
        <v>12.899999999999999</v>
      </c>
      <c r="S76" s="57">
        <f t="shared" si="29"/>
        <v>112.17391304347825</v>
      </c>
      <c r="T76" s="3">
        <f t="shared" si="30"/>
        <v>667</v>
      </c>
      <c r="U76" s="57">
        <f t="shared" si="31"/>
        <v>232.40418118466897</v>
      </c>
      <c r="V76" s="57">
        <f t="shared" si="32"/>
        <v>-2.1999999999999993</v>
      </c>
      <c r="W76" s="57">
        <f t="shared" si="33"/>
        <v>-165</v>
      </c>
    </row>
    <row r="77" spans="1:30" x14ac:dyDescent="0.2">
      <c r="A77" s="87">
        <v>40</v>
      </c>
      <c r="B77" s="4" t="s">
        <v>3</v>
      </c>
      <c r="C77" s="9">
        <v>0.75</v>
      </c>
      <c r="D77" s="40">
        <v>3</v>
      </c>
      <c r="E77" s="2">
        <v>11.1</v>
      </c>
      <c r="F77" s="2">
        <v>321</v>
      </c>
      <c r="G77" s="2">
        <v>21.5</v>
      </c>
      <c r="H77" s="2">
        <v>912</v>
      </c>
      <c r="I77" s="2">
        <v>24.8</v>
      </c>
      <c r="J77" s="2">
        <v>959</v>
      </c>
      <c r="L77" s="3">
        <v>2</v>
      </c>
      <c r="M77" s="17">
        <f t="shared" si="23"/>
        <v>2.25</v>
      </c>
      <c r="N77" s="54">
        <f t="shared" si="24"/>
        <v>10.4</v>
      </c>
      <c r="O77" s="55">
        <f t="shared" si="25"/>
        <v>48.372093023255815</v>
      </c>
      <c r="P77" s="56">
        <f t="shared" si="26"/>
        <v>591</v>
      </c>
      <c r="Q77" s="55">
        <f t="shared" si="27"/>
        <v>64.80263157894737</v>
      </c>
      <c r="R77" s="54">
        <f t="shared" si="28"/>
        <v>13.700000000000001</v>
      </c>
      <c r="S77" s="57">
        <f t="shared" si="29"/>
        <v>123.42342342342343</v>
      </c>
      <c r="T77" s="3">
        <f t="shared" si="30"/>
        <v>638</v>
      </c>
      <c r="U77" s="57">
        <f t="shared" si="31"/>
        <v>198.75389408099687</v>
      </c>
      <c r="V77" s="57">
        <f t="shared" si="32"/>
        <v>-3.3000000000000007</v>
      </c>
      <c r="W77" s="57">
        <f t="shared" si="33"/>
        <v>-47</v>
      </c>
    </row>
    <row r="78" spans="1:30" x14ac:dyDescent="0.2">
      <c r="A78" s="94">
        <v>42</v>
      </c>
      <c r="B78" s="4" t="s">
        <v>2</v>
      </c>
      <c r="C78" s="9">
        <v>-1</v>
      </c>
      <c r="D78" s="40">
        <v>3</v>
      </c>
      <c r="E78" s="2">
        <v>4.8</v>
      </c>
      <c r="F78" s="2">
        <v>99</v>
      </c>
      <c r="G78" s="2">
        <v>20</v>
      </c>
      <c r="H78" s="2">
        <v>917</v>
      </c>
      <c r="I78" s="2">
        <v>23.3</v>
      </c>
      <c r="J78" s="2">
        <v>991</v>
      </c>
      <c r="L78" s="3">
        <v>2</v>
      </c>
      <c r="M78" s="17">
        <f t="shared" si="23"/>
        <v>4</v>
      </c>
      <c r="N78" s="54">
        <f t="shared" si="24"/>
        <v>15.2</v>
      </c>
      <c r="O78" s="55">
        <f t="shared" si="25"/>
        <v>76</v>
      </c>
      <c r="P78" s="56">
        <f t="shared" si="26"/>
        <v>818</v>
      </c>
      <c r="Q78" s="55">
        <f t="shared" si="27"/>
        <v>89.203925845147211</v>
      </c>
      <c r="R78" s="54">
        <f t="shared" si="28"/>
        <v>18.5</v>
      </c>
      <c r="S78" s="57">
        <f t="shared" si="29"/>
        <v>385.41666666666669</v>
      </c>
      <c r="T78" s="3">
        <f t="shared" si="30"/>
        <v>892</v>
      </c>
      <c r="U78" s="57">
        <f t="shared" si="31"/>
        <v>901.01010101010104</v>
      </c>
      <c r="V78" s="57">
        <f t="shared" si="32"/>
        <v>-3.3000000000000007</v>
      </c>
      <c r="W78" s="57">
        <f t="shared" si="33"/>
        <v>-74</v>
      </c>
    </row>
    <row r="79" spans="1:30" s="14" customFormat="1" x14ac:dyDescent="0.2">
      <c r="A79" s="24">
        <v>42</v>
      </c>
      <c r="B79" s="12" t="s">
        <v>3</v>
      </c>
      <c r="C79" s="13">
        <v>-1</v>
      </c>
      <c r="D79" s="41">
        <v>3</v>
      </c>
      <c r="E79" s="16">
        <v>7.2</v>
      </c>
      <c r="F79" s="16">
        <v>99</v>
      </c>
      <c r="G79" s="16">
        <v>20</v>
      </c>
      <c r="H79" s="16">
        <v>968</v>
      </c>
      <c r="I79" s="16">
        <v>22.1</v>
      </c>
      <c r="J79" s="16">
        <v>974</v>
      </c>
      <c r="L79" s="14">
        <v>2</v>
      </c>
      <c r="M79" s="18">
        <f t="shared" si="23"/>
        <v>4</v>
      </c>
      <c r="N79" s="65">
        <f t="shared" si="24"/>
        <v>12.8</v>
      </c>
      <c r="O79" s="66">
        <f t="shared" si="25"/>
        <v>64</v>
      </c>
      <c r="P79" s="67">
        <f t="shared" si="26"/>
        <v>869</v>
      </c>
      <c r="Q79" s="66">
        <f t="shared" si="27"/>
        <v>89.772727272727266</v>
      </c>
      <c r="R79" s="65">
        <f t="shared" si="28"/>
        <v>14.900000000000002</v>
      </c>
      <c r="S79" s="68">
        <f t="shared" si="29"/>
        <v>206.94444444444446</v>
      </c>
      <c r="T79" s="14">
        <f t="shared" si="30"/>
        <v>875</v>
      </c>
      <c r="U79" s="68">
        <f t="shared" si="31"/>
        <v>883.83838383838395</v>
      </c>
      <c r="V79" s="68">
        <f t="shared" si="32"/>
        <v>-2.1000000000000014</v>
      </c>
      <c r="W79" s="68">
        <f t="shared" si="33"/>
        <v>-6</v>
      </c>
      <c r="X79" s="78"/>
      <c r="Y79" s="78"/>
      <c r="Z79" s="79"/>
    </row>
    <row r="80" spans="1:30" x14ac:dyDescent="0.2">
      <c r="A80" s="24">
        <v>99</v>
      </c>
      <c r="B80" s="4" t="s">
        <v>2</v>
      </c>
      <c r="C80" s="9">
        <v>-3</v>
      </c>
      <c r="D80" s="40">
        <v>2.5</v>
      </c>
      <c r="E80" s="2">
        <v>1.4</v>
      </c>
      <c r="F80" s="2">
        <v>9</v>
      </c>
      <c r="G80" s="2">
        <v>23.7</v>
      </c>
      <c r="H80" s="2">
        <v>941</v>
      </c>
      <c r="I80" s="2">
        <v>22</v>
      </c>
      <c r="J80" s="2">
        <v>850</v>
      </c>
      <c r="L80" s="3">
        <v>2</v>
      </c>
      <c r="M80" s="17">
        <f t="shared" si="23"/>
        <v>5.5</v>
      </c>
      <c r="N80" s="54">
        <f t="shared" si="24"/>
        <v>22.3</v>
      </c>
      <c r="O80" s="55">
        <f t="shared" si="25"/>
        <v>94.092827004219416</v>
      </c>
      <c r="P80" s="56">
        <f t="shared" si="26"/>
        <v>932</v>
      </c>
      <c r="Q80" s="55">
        <f t="shared" si="27"/>
        <v>99.043570669500539</v>
      </c>
      <c r="R80" s="54">
        <f t="shared" si="28"/>
        <v>20.6</v>
      </c>
      <c r="S80" s="57">
        <f t="shared" si="29"/>
        <v>1471.4285714285718</v>
      </c>
      <c r="T80" s="3">
        <f t="shared" si="30"/>
        <v>841</v>
      </c>
      <c r="U80" s="57">
        <f t="shared" si="31"/>
        <v>9344.4444444444434</v>
      </c>
      <c r="V80" s="57">
        <f t="shared" si="32"/>
        <v>1.6999999999999993</v>
      </c>
      <c r="W80" s="57">
        <f t="shared" si="33"/>
        <v>91</v>
      </c>
    </row>
    <row r="81" spans="1:55" s="11" customFormat="1" ht="15.75" thickBot="1" x14ac:dyDescent="0.25">
      <c r="A81" s="24">
        <v>99</v>
      </c>
      <c r="B81" s="4" t="s">
        <v>3</v>
      </c>
      <c r="C81" s="9">
        <v>-4</v>
      </c>
      <c r="D81" s="40">
        <v>2.5</v>
      </c>
      <c r="E81" s="2">
        <v>1.7</v>
      </c>
      <c r="F81" s="2">
        <v>11</v>
      </c>
      <c r="G81" s="2">
        <v>23.7</v>
      </c>
      <c r="H81" s="2">
        <v>906</v>
      </c>
      <c r="I81" s="2">
        <v>20.8</v>
      </c>
      <c r="J81" s="2">
        <v>718</v>
      </c>
      <c r="K81" s="3"/>
      <c r="L81" s="3">
        <v>2</v>
      </c>
      <c r="M81" s="17">
        <f t="shared" si="23"/>
        <v>6.5</v>
      </c>
      <c r="N81" s="54">
        <f t="shared" si="24"/>
        <v>22</v>
      </c>
      <c r="O81" s="55">
        <f t="shared" si="25"/>
        <v>92.827004219409275</v>
      </c>
      <c r="P81" s="56">
        <f t="shared" si="26"/>
        <v>895</v>
      </c>
      <c r="Q81" s="55">
        <f t="shared" si="27"/>
        <v>98.785871964679913</v>
      </c>
      <c r="R81" s="54">
        <f t="shared" si="28"/>
        <v>19.100000000000001</v>
      </c>
      <c r="S81" s="57">
        <f t="shared" si="29"/>
        <v>1123.5294117647061</v>
      </c>
      <c r="T81" s="3">
        <f t="shared" si="30"/>
        <v>707</v>
      </c>
      <c r="U81" s="57">
        <f t="shared" si="31"/>
        <v>6427.272727272727</v>
      </c>
      <c r="V81" s="57">
        <f t="shared" si="32"/>
        <v>2.8999999999999986</v>
      </c>
      <c r="W81" s="57">
        <f t="shared" si="33"/>
        <v>188</v>
      </c>
      <c r="X81" s="80"/>
      <c r="Y81" s="80"/>
      <c r="Z81" s="81"/>
    </row>
    <row r="82" spans="1:55" x14ac:dyDescent="0.2">
      <c r="A82" s="24">
        <v>113</v>
      </c>
      <c r="B82" s="4" t="s">
        <v>2</v>
      </c>
      <c r="C82" s="9">
        <v>0.5</v>
      </c>
      <c r="D82" s="40">
        <v>2.5</v>
      </c>
      <c r="E82" s="2">
        <v>12.4</v>
      </c>
      <c r="F82" s="2">
        <v>425</v>
      </c>
      <c r="G82" s="2">
        <v>22.7</v>
      </c>
      <c r="H82" s="2">
        <v>908</v>
      </c>
      <c r="I82" s="2">
        <v>23.3</v>
      </c>
      <c r="J82" s="2">
        <v>946</v>
      </c>
      <c r="L82" s="3">
        <v>2</v>
      </c>
      <c r="M82" s="17">
        <f t="shared" si="23"/>
        <v>2</v>
      </c>
      <c r="N82" s="54">
        <f t="shared" si="24"/>
        <v>10.299999999999999</v>
      </c>
      <c r="O82" s="55">
        <f t="shared" si="25"/>
        <v>45.374449339207047</v>
      </c>
      <c r="P82" s="56">
        <f t="shared" si="26"/>
        <v>483</v>
      </c>
      <c r="Q82" s="55">
        <f t="shared" si="27"/>
        <v>53.193832599118942</v>
      </c>
      <c r="R82" s="54">
        <f t="shared" si="28"/>
        <v>10.9</v>
      </c>
      <c r="S82" s="57">
        <f t="shared" si="29"/>
        <v>87.903225806451616</v>
      </c>
      <c r="T82" s="3">
        <f t="shared" si="30"/>
        <v>521</v>
      </c>
      <c r="U82" s="57">
        <f t="shared" si="31"/>
        <v>122.58823529411764</v>
      </c>
      <c r="V82" s="57">
        <f t="shared" si="32"/>
        <v>-0.60000000000000142</v>
      </c>
      <c r="W82" s="57">
        <f t="shared" si="33"/>
        <v>-38</v>
      </c>
      <c r="X82" s="78"/>
      <c r="Y82" s="78"/>
      <c r="Z82" s="79"/>
    </row>
    <row r="83" spans="1:55" x14ac:dyDescent="0.2">
      <c r="A83" s="24">
        <v>113</v>
      </c>
      <c r="B83" s="4" t="s">
        <v>3</v>
      </c>
      <c r="C83" s="9">
        <v>1</v>
      </c>
      <c r="D83" s="40">
        <v>2.5</v>
      </c>
      <c r="E83" s="2">
        <v>9.6</v>
      </c>
      <c r="F83" s="2">
        <v>380</v>
      </c>
      <c r="G83" s="2">
        <v>22.9</v>
      </c>
      <c r="H83" s="2">
        <v>937</v>
      </c>
      <c r="I83" s="20">
        <v>13.8</v>
      </c>
      <c r="J83" s="20">
        <v>340</v>
      </c>
      <c r="K83" s="3" t="s">
        <v>245</v>
      </c>
      <c r="L83" s="3">
        <v>2</v>
      </c>
      <c r="M83" s="17">
        <f t="shared" si="23"/>
        <v>1.5</v>
      </c>
      <c r="N83" s="54">
        <f t="shared" si="24"/>
        <v>13.299999999999999</v>
      </c>
      <c r="O83" s="55">
        <f t="shared" si="25"/>
        <v>58.078602620087338</v>
      </c>
      <c r="P83" s="56">
        <f t="shared" si="26"/>
        <v>557</v>
      </c>
      <c r="Q83" s="55">
        <f t="shared" si="27"/>
        <v>59.445037353255067</v>
      </c>
      <c r="R83" s="54">
        <f t="shared" si="28"/>
        <v>4.2000000000000011</v>
      </c>
      <c r="S83" s="57">
        <f t="shared" si="29"/>
        <v>43.750000000000014</v>
      </c>
      <c r="T83" s="3">
        <f t="shared" si="30"/>
        <v>-40</v>
      </c>
      <c r="U83" s="57">
        <f t="shared" si="31"/>
        <v>-10.526315789473683</v>
      </c>
      <c r="V83" s="57">
        <f t="shared" si="32"/>
        <v>9.0999999999999979</v>
      </c>
      <c r="W83" s="57">
        <f t="shared" si="33"/>
        <v>597</v>
      </c>
      <c r="X83" s="78"/>
      <c r="Y83" s="78"/>
      <c r="Z83" s="79"/>
    </row>
    <row r="84" spans="1:55" x14ac:dyDescent="0.2">
      <c r="A84" s="24">
        <v>120</v>
      </c>
      <c r="B84" s="4" t="s">
        <v>2</v>
      </c>
      <c r="C84" s="9">
        <v>1</v>
      </c>
      <c r="D84" s="40">
        <v>3.5</v>
      </c>
      <c r="E84" s="2">
        <v>9.5</v>
      </c>
      <c r="F84" s="2">
        <v>214</v>
      </c>
      <c r="G84" s="2">
        <v>27.2</v>
      </c>
      <c r="H84" s="2">
        <v>1035</v>
      </c>
      <c r="I84" s="2">
        <v>25.2</v>
      </c>
      <c r="J84" s="2">
        <v>901</v>
      </c>
      <c r="L84" s="3">
        <v>2</v>
      </c>
      <c r="M84" s="17">
        <f t="shared" si="23"/>
        <v>2.5</v>
      </c>
      <c r="N84" s="54">
        <f t="shared" si="24"/>
        <v>17.7</v>
      </c>
      <c r="O84" s="55">
        <f t="shared" si="25"/>
        <v>65.07352941176471</v>
      </c>
      <c r="P84" s="56">
        <f t="shared" si="26"/>
        <v>821</v>
      </c>
      <c r="Q84" s="55">
        <f t="shared" si="27"/>
        <v>79.323671497584542</v>
      </c>
      <c r="R84" s="54">
        <f t="shared" si="28"/>
        <v>15.7</v>
      </c>
      <c r="S84" s="57">
        <f t="shared" si="29"/>
        <v>165.26315789473685</v>
      </c>
      <c r="T84" s="3">
        <f t="shared" si="30"/>
        <v>687</v>
      </c>
      <c r="U84" s="57">
        <f t="shared" si="31"/>
        <v>321.0280373831776</v>
      </c>
      <c r="V84" s="57">
        <f t="shared" si="32"/>
        <v>2</v>
      </c>
      <c r="W84" s="57">
        <f t="shared" si="33"/>
        <v>134</v>
      </c>
      <c r="X84" s="78"/>
      <c r="Y84" s="78"/>
      <c r="Z84" s="79"/>
    </row>
    <row r="85" spans="1:55" x14ac:dyDescent="0.2">
      <c r="A85" s="24">
        <v>134</v>
      </c>
      <c r="B85" s="12" t="s">
        <v>3</v>
      </c>
      <c r="C85" s="13">
        <v>2</v>
      </c>
      <c r="D85" s="41">
        <v>3</v>
      </c>
      <c r="E85" s="16">
        <v>14.2</v>
      </c>
      <c r="F85" s="16">
        <v>271</v>
      </c>
      <c r="G85" s="16">
        <v>18.399999999999999</v>
      </c>
      <c r="H85" s="16">
        <v>502</v>
      </c>
      <c r="I85" s="16">
        <v>23.8</v>
      </c>
      <c r="J85" s="16">
        <v>1067</v>
      </c>
      <c r="K85" s="14"/>
      <c r="L85" s="14">
        <v>2</v>
      </c>
      <c r="M85" s="18">
        <f t="shared" si="23"/>
        <v>1</v>
      </c>
      <c r="N85" s="65">
        <f t="shared" si="24"/>
        <v>4.1999999999999993</v>
      </c>
      <c r="O85" s="66">
        <f t="shared" si="25"/>
        <v>22.826086956521738</v>
      </c>
      <c r="P85" s="67">
        <f t="shared" si="26"/>
        <v>231</v>
      </c>
      <c r="Q85" s="66">
        <f t="shared" si="27"/>
        <v>46.015936254980076</v>
      </c>
      <c r="R85" s="65">
        <f t="shared" si="28"/>
        <v>9.6000000000000014</v>
      </c>
      <c r="S85" s="68">
        <f t="shared" si="29"/>
        <v>67.605633802816911</v>
      </c>
      <c r="T85" s="18">
        <f t="shared" si="30"/>
        <v>796</v>
      </c>
      <c r="U85" s="68">
        <f t="shared" si="31"/>
        <v>293.72693726937268</v>
      </c>
      <c r="V85" s="68">
        <f t="shared" si="32"/>
        <v>-5.4000000000000021</v>
      </c>
      <c r="W85" s="68">
        <f t="shared" si="33"/>
        <v>-565</v>
      </c>
      <c r="X85" s="78"/>
      <c r="Y85" s="78"/>
      <c r="Z85" s="79"/>
    </row>
    <row r="86" spans="1:55" s="14" customFormat="1" x14ac:dyDescent="0.2">
      <c r="A86" s="24">
        <v>146</v>
      </c>
      <c r="B86" s="4" t="s">
        <v>2</v>
      </c>
      <c r="C86" s="13">
        <v>-3</v>
      </c>
      <c r="D86" s="41">
        <v>2</v>
      </c>
      <c r="E86" s="16">
        <v>2.2999999999999998</v>
      </c>
      <c r="F86" s="16">
        <v>19</v>
      </c>
      <c r="G86" s="19">
        <v>23.9</v>
      </c>
      <c r="H86" s="19">
        <v>846</v>
      </c>
      <c r="I86" s="19">
        <v>20.9</v>
      </c>
      <c r="J86" s="19">
        <v>961</v>
      </c>
      <c r="L86" s="14">
        <v>2</v>
      </c>
      <c r="M86" s="18">
        <f t="shared" si="23"/>
        <v>5</v>
      </c>
      <c r="N86" s="65">
        <f t="shared" si="24"/>
        <v>21.599999999999998</v>
      </c>
      <c r="O86" s="66">
        <f t="shared" si="25"/>
        <v>90.376569037656893</v>
      </c>
      <c r="P86" s="67">
        <f t="shared" si="26"/>
        <v>827</v>
      </c>
      <c r="Q86" s="66">
        <f t="shared" si="27"/>
        <v>97.754137115839242</v>
      </c>
      <c r="R86" s="65">
        <f t="shared" si="28"/>
        <v>18.599999999999998</v>
      </c>
      <c r="S86" s="68">
        <f t="shared" si="29"/>
        <v>808.69565217391312</v>
      </c>
      <c r="T86" s="18">
        <f t="shared" si="30"/>
        <v>942</v>
      </c>
      <c r="U86" s="68">
        <f t="shared" si="31"/>
        <v>4957.8947368421059</v>
      </c>
      <c r="V86" s="68">
        <f t="shared" si="32"/>
        <v>3</v>
      </c>
      <c r="W86" s="68">
        <f t="shared" si="33"/>
        <v>-115</v>
      </c>
      <c r="X86" s="78"/>
      <c r="Y86" s="78"/>
      <c r="Z86" s="79"/>
    </row>
    <row r="87" spans="1:55" s="21" customFormat="1" x14ac:dyDescent="0.2">
      <c r="A87" s="36">
        <v>146</v>
      </c>
      <c r="B87" s="32" t="s">
        <v>3</v>
      </c>
      <c r="C87" s="33">
        <v>-3</v>
      </c>
      <c r="D87" s="42">
        <v>2.25</v>
      </c>
      <c r="E87" s="34">
        <v>2</v>
      </c>
      <c r="F87" s="34">
        <v>41</v>
      </c>
      <c r="G87" s="34">
        <v>22.6</v>
      </c>
      <c r="H87" s="34">
        <v>868</v>
      </c>
      <c r="I87" s="34">
        <v>24.6</v>
      </c>
      <c r="J87" s="34">
        <v>1037</v>
      </c>
      <c r="L87" s="37">
        <v>2</v>
      </c>
      <c r="M87" s="37">
        <f t="shared" si="23"/>
        <v>5.25</v>
      </c>
      <c r="N87" s="82">
        <f t="shared" si="24"/>
        <v>20.6</v>
      </c>
      <c r="O87" s="75">
        <f t="shared" si="25"/>
        <v>91.150442477876098</v>
      </c>
      <c r="P87" s="83">
        <f t="shared" si="26"/>
        <v>827</v>
      </c>
      <c r="Q87" s="75">
        <f t="shared" si="27"/>
        <v>95.276497695852541</v>
      </c>
      <c r="R87" s="82">
        <f t="shared" si="28"/>
        <v>22.6</v>
      </c>
      <c r="S87" s="75">
        <f t="shared" si="29"/>
        <v>1130</v>
      </c>
      <c r="T87" s="37">
        <f t="shared" si="30"/>
        <v>996</v>
      </c>
      <c r="U87" s="75">
        <f t="shared" si="31"/>
        <v>2429.268292682927</v>
      </c>
      <c r="V87" s="75">
        <f t="shared" si="32"/>
        <v>-2</v>
      </c>
      <c r="W87" s="75">
        <f t="shared" si="33"/>
        <v>-169</v>
      </c>
      <c r="X87" s="76"/>
      <c r="Y87" s="76"/>
      <c r="Z87" s="77"/>
    </row>
    <row r="88" spans="1:55" s="14" customFormat="1" x14ac:dyDescent="0.2">
      <c r="A88" s="24">
        <v>12</v>
      </c>
      <c r="B88" s="4" t="s">
        <v>2</v>
      </c>
      <c r="C88" s="9">
        <v>-2</v>
      </c>
      <c r="D88" s="40">
        <v>3</v>
      </c>
      <c r="E88" s="2">
        <v>0.4</v>
      </c>
      <c r="F88" s="2">
        <v>13</v>
      </c>
      <c r="G88" s="2">
        <v>20</v>
      </c>
      <c r="H88" s="2">
        <v>826</v>
      </c>
      <c r="I88" s="2">
        <v>20.7</v>
      </c>
      <c r="J88" s="2">
        <v>688</v>
      </c>
      <c r="K88" s="3" t="s">
        <v>6</v>
      </c>
      <c r="L88" s="3">
        <v>3</v>
      </c>
      <c r="M88" s="17">
        <f t="shared" si="23"/>
        <v>5</v>
      </c>
      <c r="N88" s="54">
        <f t="shared" si="24"/>
        <v>19.600000000000001</v>
      </c>
      <c r="O88" s="55">
        <f t="shared" si="25"/>
        <v>98.000000000000014</v>
      </c>
      <c r="P88" s="56">
        <f t="shared" si="26"/>
        <v>813</v>
      </c>
      <c r="Q88" s="55">
        <f t="shared" si="27"/>
        <v>98.426150121065376</v>
      </c>
      <c r="R88" s="54">
        <f t="shared" si="28"/>
        <v>20.3</v>
      </c>
      <c r="S88" s="57">
        <f t="shared" si="29"/>
        <v>5075</v>
      </c>
      <c r="T88" s="3">
        <f t="shared" si="30"/>
        <v>675</v>
      </c>
      <c r="U88" s="57">
        <f t="shared" si="31"/>
        <v>5192.3076923076924</v>
      </c>
      <c r="V88" s="57">
        <f t="shared" si="32"/>
        <v>-0.69999999999999929</v>
      </c>
      <c r="W88" s="57">
        <f t="shared" si="33"/>
        <v>138</v>
      </c>
      <c r="X88" s="78"/>
      <c r="Y88" s="78"/>
      <c r="Z88" s="79"/>
      <c r="AC88" s="14" t="s">
        <v>199</v>
      </c>
      <c r="AG88" s="14" t="s">
        <v>200</v>
      </c>
    </row>
    <row r="89" spans="1:55" s="14" customFormat="1" x14ac:dyDescent="0.2">
      <c r="A89" s="24">
        <v>18</v>
      </c>
      <c r="B89" s="4" t="s">
        <v>2</v>
      </c>
      <c r="C89" s="9">
        <v>1</v>
      </c>
      <c r="D89" s="40">
        <v>3.5</v>
      </c>
      <c r="E89" s="2">
        <v>7.9</v>
      </c>
      <c r="F89" s="2">
        <v>151</v>
      </c>
      <c r="G89" s="2">
        <v>19.600000000000001</v>
      </c>
      <c r="H89" s="2">
        <v>624</v>
      </c>
      <c r="I89" s="2">
        <v>23</v>
      </c>
      <c r="J89" s="2">
        <v>691</v>
      </c>
      <c r="K89" s="3"/>
      <c r="L89" s="3">
        <v>3</v>
      </c>
      <c r="M89" s="17">
        <f t="shared" si="23"/>
        <v>2.5</v>
      </c>
      <c r="N89" s="54">
        <f t="shared" si="24"/>
        <v>11.700000000000001</v>
      </c>
      <c r="O89" s="55">
        <f t="shared" si="25"/>
        <v>59.693877551020414</v>
      </c>
      <c r="P89" s="56">
        <f t="shared" si="26"/>
        <v>473</v>
      </c>
      <c r="Q89" s="55">
        <f t="shared" si="27"/>
        <v>75.801282051282044</v>
      </c>
      <c r="R89" s="54">
        <f t="shared" si="28"/>
        <v>15.1</v>
      </c>
      <c r="S89" s="57">
        <f t="shared" si="29"/>
        <v>191.13924050632912</v>
      </c>
      <c r="T89" s="3">
        <f t="shared" si="30"/>
        <v>540</v>
      </c>
      <c r="U89" s="57">
        <f t="shared" si="31"/>
        <v>357.61589403973511</v>
      </c>
      <c r="V89" s="57">
        <f t="shared" si="32"/>
        <v>-3.3999999999999986</v>
      </c>
      <c r="W89" s="57">
        <f t="shared" si="33"/>
        <v>-67</v>
      </c>
      <c r="X89" s="78"/>
      <c r="Y89" s="78"/>
      <c r="Z89" s="79"/>
      <c r="AD89" s="14" t="s">
        <v>195</v>
      </c>
      <c r="AE89" s="14" t="s">
        <v>201</v>
      </c>
      <c r="AH89" s="14" t="s">
        <v>195</v>
      </c>
      <c r="AI89" s="14" t="s">
        <v>201</v>
      </c>
    </row>
    <row r="90" spans="1:55" s="14" customFormat="1" x14ac:dyDescent="0.2">
      <c r="A90" s="24">
        <v>18</v>
      </c>
      <c r="B90" s="4" t="s">
        <v>3</v>
      </c>
      <c r="C90" s="9">
        <v>1</v>
      </c>
      <c r="D90" s="40">
        <v>3.5</v>
      </c>
      <c r="E90" s="2">
        <v>7.5</v>
      </c>
      <c r="F90" s="2">
        <v>106</v>
      </c>
      <c r="G90" s="2">
        <v>22.9</v>
      </c>
      <c r="H90" s="2">
        <v>702</v>
      </c>
      <c r="I90" s="2">
        <v>24.3</v>
      </c>
      <c r="J90" s="2">
        <v>876</v>
      </c>
      <c r="K90" s="3"/>
      <c r="L90" s="3">
        <v>3</v>
      </c>
      <c r="M90" s="17">
        <f t="shared" si="23"/>
        <v>2.5</v>
      </c>
      <c r="N90" s="54">
        <f t="shared" si="24"/>
        <v>15.399999999999999</v>
      </c>
      <c r="O90" s="55">
        <f t="shared" si="25"/>
        <v>67.248908296943227</v>
      </c>
      <c r="P90" s="56">
        <f t="shared" si="26"/>
        <v>596</v>
      </c>
      <c r="Q90" s="55">
        <f t="shared" si="27"/>
        <v>84.900284900284902</v>
      </c>
      <c r="R90" s="54">
        <f t="shared" si="28"/>
        <v>16.8</v>
      </c>
      <c r="S90" s="57">
        <f t="shared" si="29"/>
        <v>224.00000000000003</v>
      </c>
      <c r="T90" s="3">
        <f t="shared" si="30"/>
        <v>770</v>
      </c>
      <c r="U90" s="57">
        <f t="shared" si="31"/>
        <v>726.41509433962267</v>
      </c>
      <c r="V90" s="57">
        <f t="shared" si="32"/>
        <v>-1.4000000000000021</v>
      </c>
      <c r="W90" s="57">
        <f t="shared" si="33"/>
        <v>-174</v>
      </c>
      <c r="X90" s="78"/>
      <c r="Y90" s="78"/>
      <c r="Z90" s="79"/>
      <c r="AC90" s="14" t="s">
        <v>122</v>
      </c>
      <c r="AD90" s="14">
        <f>CORREL(M2:M100,R2:R100)</f>
        <v>0.23842803722263778</v>
      </c>
      <c r="AE90" s="14">
        <f>CORREL(M2:M100,T2:T100)</f>
        <v>0.28235876555426109</v>
      </c>
      <c r="AG90" s="14" t="s">
        <v>122</v>
      </c>
      <c r="AH90" s="14">
        <f>CORREL(C2:C100,E2:E100)</f>
        <v>0.24039798898650414</v>
      </c>
      <c r="AI90" s="14">
        <f>CORREL(C2:C100,F2:F100)</f>
        <v>0.25188326070950218</v>
      </c>
    </row>
    <row r="91" spans="1:55" s="14" customFormat="1" x14ac:dyDescent="0.2">
      <c r="A91" s="24">
        <v>19</v>
      </c>
      <c r="B91" s="4" t="s">
        <v>2</v>
      </c>
      <c r="C91" s="9">
        <v>0.5</v>
      </c>
      <c r="D91" s="40">
        <v>3</v>
      </c>
      <c r="E91" s="2">
        <v>13.3</v>
      </c>
      <c r="F91" s="2">
        <v>292</v>
      </c>
      <c r="G91" s="2">
        <v>25.6</v>
      </c>
      <c r="H91" s="2">
        <v>950</v>
      </c>
      <c r="I91" s="2">
        <v>27.1</v>
      </c>
      <c r="J91" s="2">
        <v>1196</v>
      </c>
      <c r="K91" s="3"/>
      <c r="L91" s="3">
        <v>3</v>
      </c>
      <c r="M91" s="17">
        <f t="shared" si="23"/>
        <v>2.5</v>
      </c>
      <c r="N91" s="54">
        <f t="shared" si="24"/>
        <v>12.3</v>
      </c>
      <c r="O91" s="55">
        <f t="shared" si="25"/>
        <v>48.046875</v>
      </c>
      <c r="P91" s="56">
        <f t="shared" si="26"/>
        <v>658</v>
      </c>
      <c r="Q91" s="55">
        <f t="shared" si="27"/>
        <v>69.263157894736835</v>
      </c>
      <c r="R91" s="54">
        <f t="shared" si="28"/>
        <v>13.8</v>
      </c>
      <c r="S91" s="57">
        <f t="shared" si="29"/>
        <v>103.75939849624061</v>
      </c>
      <c r="T91" s="3">
        <f t="shared" si="30"/>
        <v>904</v>
      </c>
      <c r="U91" s="57">
        <f t="shared" si="31"/>
        <v>309.58904109589042</v>
      </c>
      <c r="V91" s="57">
        <f t="shared" si="32"/>
        <v>-1.5</v>
      </c>
      <c r="W91" s="57">
        <f t="shared" si="33"/>
        <v>-246</v>
      </c>
      <c r="X91" s="78"/>
      <c r="Y91" s="78"/>
      <c r="Z91" s="79"/>
    </row>
    <row r="92" spans="1:55" s="14" customFormat="1" x14ac:dyDescent="0.2">
      <c r="A92" s="24">
        <v>19</v>
      </c>
      <c r="B92" s="4" t="s">
        <v>3</v>
      </c>
      <c r="C92" s="9">
        <v>0.5</v>
      </c>
      <c r="D92" s="40">
        <v>3</v>
      </c>
      <c r="E92" s="2">
        <v>11.9</v>
      </c>
      <c r="F92" s="2">
        <v>230</v>
      </c>
      <c r="G92" s="2">
        <v>25.9</v>
      </c>
      <c r="H92" s="2">
        <v>997</v>
      </c>
      <c r="I92" s="2">
        <v>27.1</v>
      </c>
      <c r="J92" s="2">
        <v>1123</v>
      </c>
      <c r="K92" s="3"/>
      <c r="L92" s="3">
        <v>3</v>
      </c>
      <c r="M92" s="17">
        <f t="shared" si="23"/>
        <v>2.5</v>
      </c>
      <c r="N92" s="54">
        <f t="shared" si="24"/>
        <v>13.999999999999998</v>
      </c>
      <c r="O92" s="55">
        <f t="shared" si="25"/>
        <v>54.054054054054049</v>
      </c>
      <c r="P92" s="56">
        <f t="shared" si="26"/>
        <v>767</v>
      </c>
      <c r="Q92" s="55">
        <f t="shared" si="27"/>
        <v>76.930792377131397</v>
      </c>
      <c r="R92" s="54">
        <f t="shared" si="28"/>
        <v>15.200000000000001</v>
      </c>
      <c r="S92" s="57">
        <f t="shared" si="29"/>
        <v>127.73109243697481</v>
      </c>
      <c r="T92" s="3">
        <f t="shared" si="30"/>
        <v>893</v>
      </c>
      <c r="U92" s="57">
        <f t="shared" si="31"/>
        <v>388.26086956521738</v>
      </c>
      <c r="V92" s="57">
        <f t="shared" si="32"/>
        <v>-1.2000000000000028</v>
      </c>
      <c r="W92" s="57">
        <f t="shared" si="33"/>
        <v>-126</v>
      </c>
      <c r="X92" s="78"/>
      <c r="Y92" s="78"/>
      <c r="Z92" s="79"/>
      <c r="AC92" s="14" t="s">
        <v>194</v>
      </c>
      <c r="AD92" s="14" t="s">
        <v>195</v>
      </c>
      <c r="AE92" s="14" t="s">
        <v>196</v>
      </c>
      <c r="AH92" s="14" t="s">
        <v>195</v>
      </c>
      <c r="AI92" s="14" t="s">
        <v>201</v>
      </c>
      <c r="AS92" s="14" t="s">
        <v>204</v>
      </c>
      <c r="BB92" s="14" t="s">
        <v>207</v>
      </c>
    </row>
    <row r="93" spans="1:55" s="14" customFormat="1" x14ac:dyDescent="0.2">
      <c r="A93" s="24">
        <v>43</v>
      </c>
      <c r="B93" s="4" t="s">
        <v>2</v>
      </c>
      <c r="C93" s="9">
        <v>1</v>
      </c>
      <c r="D93" s="40">
        <v>4</v>
      </c>
      <c r="E93" s="2">
        <v>20</v>
      </c>
      <c r="F93" s="2">
        <v>929</v>
      </c>
      <c r="G93" s="58"/>
      <c r="H93" s="58"/>
      <c r="I93" s="2">
        <v>31</v>
      </c>
      <c r="J93" s="2">
        <v>1504</v>
      </c>
      <c r="K93" s="3" t="s">
        <v>21</v>
      </c>
      <c r="L93" s="3">
        <v>3</v>
      </c>
      <c r="M93" s="17">
        <f t="shared" si="23"/>
        <v>3</v>
      </c>
      <c r="N93" s="54"/>
      <c r="O93" s="55"/>
      <c r="P93" s="56"/>
      <c r="Q93" s="55"/>
      <c r="R93" s="54">
        <f t="shared" si="28"/>
        <v>11</v>
      </c>
      <c r="S93" s="57">
        <f t="shared" si="29"/>
        <v>55.000000000000007</v>
      </c>
      <c r="T93" s="3">
        <f t="shared" si="30"/>
        <v>575</v>
      </c>
      <c r="U93" s="57">
        <f t="shared" si="31"/>
        <v>61.894510226049512</v>
      </c>
      <c r="V93" s="57"/>
      <c r="W93" s="57"/>
      <c r="X93" s="78"/>
      <c r="Y93" s="78"/>
      <c r="Z93" s="79"/>
      <c r="AC93" s="14" t="s">
        <v>193</v>
      </c>
      <c r="AD93" s="14">
        <f>CORREL(M2:M96,R2:R96)</f>
        <v>0.22634591007399987</v>
      </c>
      <c r="AE93" s="14">
        <f>CORREL(M2:M96,T2:T96)</f>
        <v>0.27346775262798917</v>
      </c>
      <c r="AG93" s="14" t="s">
        <v>193</v>
      </c>
      <c r="AH93" s="14">
        <f>CORREL(C2:C96,E2:E96)</f>
        <v>0.23480459431319617</v>
      </c>
      <c r="AI93" s="14">
        <f>CORREL(C2:C96,F2:F96)</f>
        <v>0.25394107281005801</v>
      </c>
      <c r="AS93" s="14" t="s">
        <v>122</v>
      </c>
      <c r="AT93" s="14" t="s">
        <v>205</v>
      </c>
      <c r="BB93" s="14" t="s">
        <v>122</v>
      </c>
      <c r="BC93" s="14" t="s">
        <v>205</v>
      </c>
    </row>
    <row r="94" spans="1:55" s="14" customFormat="1" x14ac:dyDescent="0.2">
      <c r="A94" s="24">
        <v>43</v>
      </c>
      <c r="B94" s="4" t="s">
        <v>3</v>
      </c>
      <c r="C94" s="9">
        <v>0</v>
      </c>
      <c r="D94" s="40">
        <v>4.5</v>
      </c>
      <c r="E94" s="2">
        <v>3.7</v>
      </c>
      <c r="F94" s="2">
        <v>158</v>
      </c>
      <c r="G94" s="2">
        <v>25.3</v>
      </c>
      <c r="H94" s="2">
        <v>1042</v>
      </c>
      <c r="I94" s="2">
        <v>31</v>
      </c>
      <c r="J94" s="2">
        <v>1531</v>
      </c>
      <c r="K94" s="3"/>
      <c r="L94" s="3">
        <v>3</v>
      </c>
      <c r="M94" s="17">
        <f t="shared" si="23"/>
        <v>4.5</v>
      </c>
      <c r="N94" s="54">
        <f t="shared" ref="N94:N100" si="34">G94-E94</f>
        <v>21.6</v>
      </c>
      <c r="O94" s="55">
        <f t="shared" ref="O94:O100" si="35">N94/G94*100</f>
        <v>85.37549407114625</v>
      </c>
      <c r="P94" s="56">
        <f t="shared" ref="P94:P100" si="36">H94-F94</f>
        <v>884</v>
      </c>
      <c r="Q94" s="55">
        <f t="shared" ref="Q94:Q100" si="37">P94/H94*100</f>
        <v>84.836852207293674</v>
      </c>
      <c r="R94" s="54">
        <f t="shared" si="28"/>
        <v>27.3</v>
      </c>
      <c r="S94" s="57">
        <f t="shared" si="29"/>
        <v>737.83783783783781</v>
      </c>
      <c r="T94" s="3">
        <f t="shared" si="30"/>
        <v>1373</v>
      </c>
      <c r="U94" s="57">
        <f t="shared" si="31"/>
        <v>868.98734177215181</v>
      </c>
      <c r="V94" s="57">
        <f t="shared" ref="V94:W100" si="38">G94-I94</f>
        <v>-5.6999999999999993</v>
      </c>
      <c r="W94" s="57">
        <f t="shared" si="38"/>
        <v>-489</v>
      </c>
      <c r="X94" s="58"/>
      <c r="Y94" s="58"/>
      <c r="Z94" s="59"/>
      <c r="AC94" s="18" t="s">
        <v>197</v>
      </c>
      <c r="AD94" s="3">
        <f>CORREL(M12:M98,R12:R98)</f>
        <v>0.23290585243260353</v>
      </c>
      <c r="AE94" s="3">
        <f>CORREL(M12:M98,T12:T98)</f>
        <v>0.28475081098619226</v>
      </c>
      <c r="AG94" s="18" t="s">
        <v>197</v>
      </c>
      <c r="AH94" s="3">
        <f>CORREL(C12:C98,E12:E98)</f>
        <v>0.21246348707485815</v>
      </c>
      <c r="AS94" s="3" t="s">
        <v>193</v>
      </c>
      <c r="AT94" s="3">
        <v>-0.13</v>
      </c>
      <c r="BB94" s="3" t="s">
        <v>193</v>
      </c>
      <c r="BC94" s="3">
        <v>-0.03</v>
      </c>
    </row>
    <row r="95" spans="1:55" s="14" customFormat="1" x14ac:dyDescent="0.2">
      <c r="A95" s="24">
        <v>100</v>
      </c>
      <c r="B95" s="4" t="s">
        <v>2</v>
      </c>
      <c r="C95" s="9">
        <v>0.5</v>
      </c>
      <c r="D95" s="40">
        <v>3</v>
      </c>
      <c r="E95" s="2">
        <v>6.9</v>
      </c>
      <c r="F95" s="2">
        <v>174</v>
      </c>
      <c r="G95" s="2">
        <v>22.4</v>
      </c>
      <c r="H95" s="2">
        <v>932</v>
      </c>
      <c r="I95" s="2">
        <v>22.9</v>
      </c>
      <c r="J95" s="2">
        <v>895</v>
      </c>
      <c r="K95" s="3"/>
      <c r="L95" s="3">
        <v>3</v>
      </c>
      <c r="M95" s="17">
        <f t="shared" si="23"/>
        <v>2.5</v>
      </c>
      <c r="N95" s="54">
        <f t="shared" si="34"/>
        <v>15.499999999999998</v>
      </c>
      <c r="O95" s="55">
        <f t="shared" si="35"/>
        <v>69.196428571428569</v>
      </c>
      <c r="P95" s="56">
        <f t="shared" si="36"/>
        <v>758</v>
      </c>
      <c r="Q95" s="55">
        <f t="shared" si="37"/>
        <v>81.330472103004297</v>
      </c>
      <c r="R95" s="54">
        <f t="shared" si="28"/>
        <v>15.999999999999998</v>
      </c>
      <c r="S95" s="57">
        <f t="shared" si="29"/>
        <v>231.88405797101444</v>
      </c>
      <c r="T95" s="3">
        <f t="shared" si="30"/>
        <v>721</v>
      </c>
      <c r="U95" s="57">
        <f t="shared" si="31"/>
        <v>414.36781609195401</v>
      </c>
      <c r="V95" s="57">
        <f t="shared" si="38"/>
        <v>-0.5</v>
      </c>
      <c r="W95" s="57">
        <f t="shared" si="38"/>
        <v>37</v>
      </c>
      <c r="X95" s="58"/>
      <c r="Y95" s="58"/>
      <c r="Z95" s="59"/>
      <c r="AC95" s="18" t="s">
        <v>198</v>
      </c>
      <c r="AD95" s="3">
        <f>CORREL(M14:M100,R14:R100)</f>
        <v>0.23162593932333406</v>
      </c>
      <c r="AE95" s="3">
        <f>CORREL(M14:M100,T14:T100)</f>
        <v>0.28250855641413203</v>
      </c>
      <c r="AG95" s="18" t="s">
        <v>198</v>
      </c>
      <c r="AS95" s="3" t="s">
        <v>197</v>
      </c>
      <c r="AT95" s="3">
        <v>0.73</v>
      </c>
      <c r="BB95" s="3" t="s">
        <v>197</v>
      </c>
      <c r="BC95" s="3">
        <v>0.62</v>
      </c>
    </row>
    <row r="96" spans="1:55" s="14" customFormat="1" x14ac:dyDescent="0.2">
      <c r="A96" s="24">
        <v>100</v>
      </c>
      <c r="B96" s="4" t="s">
        <v>3</v>
      </c>
      <c r="C96" s="9">
        <v>0.5</v>
      </c>
      <c r="D96" s="40">
        <v>3</v>
      </c>
      <c r="E96" s="2">
        <v>8.4</v>
      </c>
      <c r="F96" s="2">
        <v>333</v>
      </c>
      <c r="G96" s="2">
        <v>22.2</v>
      </c>
      <c r="H96" s="2">
        <v>923</v>
      </c>
      <c r="I96" s="2">
        <v>23.1</v>
      </c>
      <c r="J96" s="2">
        <v>903</v>
      </c>
      <c r="K96" s="3"/>
      <c r="L96" s="3">
        <v>3</v>
      </c>
      <c r="M96" s="17">
        <f t="shared" si="23"/>
        <v>2.5</v>
      </c>
      <c r="N96" s="54">
        <f t="shared" si="34"/>
        <v>13.799999999999999</v>
      </c>
      <c r="O96" s="55">
        <f t="shared" si="35"/>
        <v>62.162162162162161</v>
      </c>
      <c r="P96" s="56">
        <f t="shared" si="36"/>
        <v>590</v>
      </c>
      <c r="Q96" s="55">
        <f t="shared" si="37"/>
        <v>63.921993499458281</v>
      </c>
      <c r="R96" s="54">
        <f t="shared" si="28"/>
        <v>14.700000000000001</v>
      </c>
      <c r="S96" s="57">
        <f t="shared" si="29"/>
        <v>175</v>
      </c>
      <c r="T96" s="3">
        <f t="shared" si="30"/>
        <v>570</v>
      </c>
      <c r="U96" s="57">
        <f t="shared" si="31"/>
        <v>171.17117117117118</v>
      </c>
      <c r="V96" s="57">
        <f t="shared" si="38"/>
        <v>-0.90000000000000213</v>
      </c>
      <c r="W96" s="57">
        <f t="shared" si="38"/>
        <v>20</v>
      </c>
      <c r="X96" s="58"/>
      <c r="Y96" s="58"/>
      <c r="Z96" s="59"/>
      <c r="AG96" s="18" t="s">
        <v>206</v>
      </c>
      <c r="AS96" s="3" t="s">
        <v>198</v>
      </c>
      <c r="AT96" s="3">
        <v>0.74</v>
      </c>
      <c r="BB96" s="3" t="s">
        <v>198</v>
      </c>
      <c r="BC96" s="3">
        <v>0.6</v>
      </c>
    </row>
    <row r="97" spans="1:61" s="14" customFormat="1" x14ac:dyDescent="0.2">
      <c r="A97" s="24">
        <v>121</v>
      </c>
      <c r="B97" s="4" t="s">
        <v>2</v>
      </c>
      <c r="C97" s="9">
        <v>1</v>
      </c>
      <c r="D97" s="40">
        <v>2</v>
      </c>
      <c r="E97" s="2">
        <v>10</v>
      </c>
      <c r="F97" s="2">
        <v>406</v>
      </c>
      <c r="G97" s="2">
        <v>24.4</v>
      </c>
      <c r="H97" s="2">
        <v>1057</v>
      </c>
      <c r="I97" s="2">
        <v>22.2</v>
      </c>
      <c r="J97" s="2">
        <v>872</v>
      </c>
      <c r="K97" s="3"/>
      <c r="L97" s="3">
        <v>3</v>
      </c>
      <c r="M97" s="17">
        <f t="shared" si="23"/>
        <v>1</v>
      </c>
      <c r="N97" s="54">
        <f t="shared" si="34"/>
        <v>14.399999999999999</v>
      </c>
      <c r="O97" s="55">
        <f t="shared" si="35"/>
        <v>59.016393442622949</v>
      </c>
      <c r="P97" s="56">
        <f t="shared" si="36"/>
        <v>651</v>
      </c>
      <c r="Q97" s="55">
        <f t="shared" si="37"/>
        <v>61.589403973509938</v>
      </c>
      <c r="R97" s="54">
        <f t="shared" si="28"/>
        <v>12.2</v>
      </c>
      <c r="S97" s="57">
        <f t="shared" si="29"/>
        <v>122</v>
      </c>
      <c r="T97" s="3">
        <f t="shared" si="30"/>
        <v>466</v>
      </c>
      <c r="U97" s="57">
        <f t="shared" si="31"/>
        <v>114.77832512315271</v>
      </c>
      <c r="V97" s="57">
        <f t="shared" si="38"/>
        <v>2.1999999999999993</v>
      </c>
      <c r="W97" s="57">
        <f t="shared" si="38"/>
        <v>185</v>
      </c>
      <c r="X97" s="58"/>
      <c r="Y97" s="58"/>
      <c r="Z97" s="59"/>
      <c r="AV97" s="14" t="s">
        <v>92</v>
      </c>
      <c r="AW97" s="14" t="s">
        <v>216</v>
      </c>
      <c r="AX97" s="14" t="s">
        <v>217</v>
      </c>
      <c r="AY97" s="18" t="s">
        <v>218</v>
      </c>
      <c r="AZ97" s="18" t="s">
        <v>211</v>
      </c>
      <c r="BE97" s="14" t="s">
        <v>92</v>
      </c>
      <c r="BF97" s="14" t="s">
        <v>216</v>
      </c>
      <c r="BG97" s="14" t="s">
        <v>217</v>
      </c>
      <c r="BH97" s="18" t="s">
        <v>218</v>
      </c>
      <c r="BI97" s="18" t="s">
        <v>211</v>
      </c>
    </row>
    <row r="98" spans="1:61" x14ac:dyDescent="0.2">
      <c r="A98" s="24">
        <v>121</v>
      </c>
      <c r="B98" s="12" t="s">
        <v>3</v>
      </c>
      <c r="C98" s="13">
        <v>1</v>
      </c>
      <c r="D98" s="41">
        <v>2</v>
      </c>
      <c r="E98" s="16">
        <v>10</v>
      </c>
      <c r="F98" s="16">
        <v>305</v>
      </c>
      <c r="G98" s="16">
        <v>24.9</v>
      </c>
      <c r="H98" s="16">
        <v>1061</v>
      </c>
      <c r="I98" s="16">
        <v>14.4</v>
      </c>
      <c r="J98" s="16">
        <v>581</v>
      </c>
      <c r="K98" s="14"/>
      <c r="L98" s="14">
        <v>3</v>
      </c>
      <c r="M98" s="18">
        <f t="shared" si="23"/>
        <v>1</v>
      </c>
      <c r="N98" s="65">
        <f t="shared" si="34"/>
        <v>14.899999999999999</v>
      </c>
      <c r="O98" s="66">
        <f t="shared" si="35"/>
        <v>59.839357429718874</v>
      </c>
      <c r="P98" s="67">
        <f t="shared" si="36"/>
        <v>756</v>
      </c>
      <c r="Q98" s="66">
        <f t="shared" si="37"/>
        <v>71.253534401508006</v>
      </c>
      <c r="R98" s="65">
        <f t="shared" si="28"/>
        <v>4.4000000000000004</v>
      </c>
      <c r="S98" s="68">
        <f t="shared" ref="S98:S100" si="39">R98/E98*100</f>
        <v>44.000000000000007</v>
      </c>
      <c r="T98" s="14">
        <f t="shared" si="30"/>
        <v>276</v>
      </c>
      <c r="U98" s="68">
        <f t="shared" ref="U98:U100" si="40">T98/F98*100</f>
        <v>90.491803278688522</v>
      </c>
      <c r="V98" s="68">
        <f t="shared" si="38"/>
        <v>10.499999999999998</v>
      </c>
      <c r="W98" s="68">
        <f t="shared" si="38"/>
        <v>480</v>
      </c>
      <c r="AC98" s="14"/>
      <c r="AD98" s="14"/>
      <c r="AE98" s="14"/>
      <c r="AF98" s="14"/>
      <c r="AG98" s="14"/>
      <c r="AH98" s="14"/>
      <c r="AR98" s="3" t="s">
        <v>193</v>
      </c>
      <c r="AS98" s="3">
        <v>1</v>
      </c>
      <c r="AT98" s="3" t="s">
        <v>71</v>
      </c>
      <c r="AU98" s="3" t="s">
        <v>44</v>
      </c>
      <c r="AV98" s="3">
        <v>-0.1222</v>
      </c>
      <c r="AW98" s="3">
        <v>43</v>
      </c>
      <c r="AX98" s="3">
        <v>-0.40760000000000002</v>
      </c>
      <c r="AY98" s="3">
        <v>0.18490000000000001</v>
      </c>
      <c r="AZ98" s="3">
        <v>0.43490000000000001</v>
      </c>
      <c r="BB98" s="3">
        <v>1</v>
      </c>
      <c r="BC98" s="3" t="s">
        <v>73</v>
      </c>
      <c r="BD98" s="3" t="s">
        <v>44</v>
      </c>
      <c r="BE98" s="3">
        <v>-0.03</v>
      </c>
      <c r="BF98" s="3">
        <v>43</v>
      </c>
      <c r="BG98" s="3">
        <v>-0.32729999999999998</v>
      </c>
      <c r="BH98" s="3">
        <v>0.27279999999999999</v>
      </c>
      <c r="BI98" s="3">
        <v>0.8488</v>
      </c>
    </row>
    <row r="99" spans="1:61" x14ac:dyDescent="0.2">
      <c r="A99" s="85">
        <v>152</v>
      </c>
      <c r="B99" s="4" t="s">
        <v>2</v>
      </c>
      <c r="C99" s="9">
        <v>0.5</v>
      </c>
      <c r="D99" s="40">
        <v>4</v>
      </c>
      <c r="E99" s="19">
        <v>8.6999999999999993</v>
      </c>
      <c r="F99" s="19">
        <v>256</v>
      </c>
      <c r="G99" s="19">
        <v>19.399999999999999</v>
      </c>
      <c r="H99" s="19">
        <v>708</v>
      </c>
      <c r="I99" s="19">
        <v>21.7</v>
      </c>
      <c r="J99" s="19">
        <v>883</v>
      </c>
      <c r="L99" s="18">
        <v>3</v>
      </c>
      <c r="M99" s="18">
        <f t="shared" si="23"/>
        <v>3.5</v>
      </c>
      <c r="N99" s="69">
        <f t="shared" si="34"/>
        <v>10.7</v>
      </c>
      <c r="O99" s="57">
        <f t="shared" si="35"/>
        <v>55.154639175257735</v>
      </c>
      <c r="P99" s="70">
        <f t="shared" si="36"/>
        <v>452</v>
      </c>
      <c r="Q99" s="57">
        <f t="shared" si="37"/>
        <v>63.841807909604519</v>
      </c>
      <c r="R99" s="69">
        <f t="shared" si="28"/>
        <v>13</v>
      </c>
      <c r="S99" s="57">
        <f t="shared" si="39"/>
        <v>149.42528735632186</v>
      </c>
      <c r="T99" s="18">
        <f t="shared" si="30"/>
        <v>627</v>
      </c>
      <c r="U99" s="57">
        <f t="shared" si="40"/>
        <v>244.921875</v>
      </c>
      <c r="V99" s="57">
        <f t="shared" si="38"/>
        <v>-2.3000000000000007</v>
      </c>
      <c r="W99" s="57">
        <f t="shared" si="38"/>
        <v>-175</v>
      </c>
      <c r="AR99" s="3" t="s">
        <v>197</v>
      </c>
      <c r="AS99" s="3">
        <v>2</v>
      </c>
      <c r="AT99" s="3" t="s">
        <v>71</v>
      </c>
      <c r="AU99" s="3" t="s">
        <v>44</v>
      </c>
      <c r="AV99" s="3">
        <v>0.73099999999999998</v>
      </c>
      <c r="AW99" s="3">
        <v>25</v>
      </c>
      <c r="AX99" s="3">
        <v>0.47220000000000001</v>
      </c>
      <c r="AY99" s="3">
        <v>0.87370000000000003</v>
      </c>
      <c r="AZ99" s="3" t="s">
        <v>85</v>
      </c>
      <c r="BB99" s="3">
        <v>2</v>
      </c>
      <c r="BC99" s="3" t="s">
        <v>73</v>
      </c>
      <c r="BD99" s="3" t="s">
        <v>44</v>
      </c>
      <c r="BE99" s="3">
        <v>0.61929999999999996</v>
      </c>
      <c r="BF99" s="3">
        <v>25</v>
      </c>
      <c r="BG99" s="3">
        <v>0.29670000000000002</v>
      </c>
      <c r="BH99" s="3">
        <v>0.81499999999999995</v>
      </c>
      <c r="BI99" s="3">
        <v>1E-3</v>
      </c>
    </row>
    <row r="100" spans="1:61" x14ac:dyDescent="0.2">
      <c r="A100" s="85">
        <v>152</v>
      </c>
      <c r="B100" s="4" t="s">
        <v>3</v>
      </c>
      <c r="C100" s="9">
        <v>0</v>
      </c>
      <c r="D100" s="40">
        <v>3</v>
      </c>
      <c r="E100" s="19">
        <v>0.8</v>
      </c>
      <c r="F100" s="19">
        <v>50</v>
      </c>
      <c r="G100" s="19">
        <v>14.2</v>
      </c>
      <c r="H100" s="19">
        <v>519</v>
      </c>
      <c r="I100" s="19">
        <v>22.4</v>
      </c>
      <c r="J100" s="19">
        <v>849</v>
      </c>
      <c r="L100" s="18">
        <v>3</v>
      </c>
      <c r="M100" s="18">
        <f t="shared" si="23"/>
        <v>3</v>
      </c>
      <c r="N100" s="69">
        <f t="shared" si="34"/>
        <v>13.399999999999999</v>
      </c>
      <c r="O100" s="57">
        <f t="shared" si="35"/>
        <v>94.366197183098592</v>
      </c>
      <c r="P100" s="70">
        <f t="shared" si="36"/>
        <v>469</v>
      </c>
      <c r="Q100" s="57">
        <f t="shared" si="37"/>
        <v>90.366088631984582</v>
      </c>
      <c r="R100" s="69">
        <f t="shared" si="28"/>
        <v>21.599999999999998</v>
      </c>
      <c r="S100" s="57">
        <f t="shared" si="39"/>
        <v>2699.9999999999995</v>
      </c>
      <c r="T100" s="18">
        <f t="shared" si="30"/>
        <v>799</v>
      </c>
      <c r="U100" s="57">
        <f t="shared" si="40"/>
        <v>1598</v>
      </c>
      <c r="V100" s="57">
        <f t="shared" si="38"/>
        <v>-8.1999999999999993</v>
      </c>
      <c r="W100" s="57">
        <f t="shared" si="38"/>
        <v>-330</v>
      </c>
      <c r="AR100" s="3" t="s">
        <v>198</v>
      </c>
      <c r="AS100" s="3">
        <v>3</v>
      </c>
      <c r="AT100" s="3" t="s">
        <v>71</v>
      </c>
      <c r="AU100" s="3" t="s">
        <v>44</v>
      </c>
      <c r="AV100" s="3">
        <v>0.74199999999999999</v>
      </c>
      <c r="AW100" s="3">
        <v>13</v>
      </c>
      <c r="AX100" s="3">
        <v>0.32319999999999999</v>
      </c>
      <c r="AY100" s="3">
        <v>0.91779999999999995</v>
      </c>
      <c r="AZ100" s="3">
        <v>3.7000000000000002E-3</v>
      </c>
      <c r="BB100" s="3">
        <v>3</v>
      </c>
      <c r="BC100" s="3" t="s">
        <v>73</v>
      </c>
      <c r="BD100" s="3" t="s">
        <v>44</v>
      </c>
      <c r="BE100" s="3">
        <v>0.6008</v>
      </c>
      <c r="BF100" s="3">
        <v>13</v>
      </c>
      <c r="BG100" s="3">
        <v>7.4399999999999994E-2</v>
      </c>
      <c r="BH100" s="3">
        <v>0.86529999999999996</v>
      </c>
      <c r="BI100" s="3">
        <v>2.9899999999999999E-2</v>
      </c>
    </row>
    <row r="101" spans="1:61" x14ac:dyDescent="0.2">
      <c r="K101" s="3" t="s">
        <v>246</v>
      </c>
    </row>
    <row r="102" spans="1:61" x14ac:dyDescent="0.2">
      <c r="A102" s="85" t="s">
        <v>178</v>
      </c>
      <c r="B102" s="4">
        <f>COUNTIF(B2:B100,"OD")</f>
        <v>51</v>
      </c>
    </row>
    <row r="103" spans="1:61" x14ac:dyDescent="0.2">
      <c r="A103" s="85" t="s">
        <v>179</v>
      </c>
      <c r="B103" s="4">
        <f>COUNTIF(B2:B100,"OS")</f>
        <v>48</v>
      </c>
    </row>
  </sheetData>
  <sortState ref="A2:Y100">
    <sortCondition ref="L2:L100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="98" zoomScaleNormal="98" workbookViewId="0">
      <selection activeCell="C23" sqref="C23"/>
    </sheetView>
  </sheetViews>
  <sheetFormatPr defaultRowHeight="12.75" x14ac:dyDescent="0.2"/>
  <cols>
    <col min="1" max="16384" width="9.140625" style="17"/>
  </cols>
  <sheetData>
    <row r="1" spans="1:25" ht="15" x14ac:dyDescent="0.2">
      <c r="A1" s="101" t="s">
        <v>0</v>
      </c>
      <c r="B1" s="101" t="s">
        <v>1</v>
      </c>
      <c r="C1" s="46" t="s">
        <v>59</v>
      </c>
      <c r="D1" s="46" t="s">
        <v>60</v>
      </c>
      <c r="E1" s="48" t="s">
        <v>61</v>
      </c>
      <c r="F1" s="48" t="s">
        <v>62</v>
      </c>
      <c r="G1" s="48" t="s">
        <v>63</v>
      </c>
      <c r="H1" s="48" t="s">
        <v>64</v>
      </c>
      <c r="I1" s="48" t="s">
        <v>65</v>
      </c>
      <c r="J1" s="48" t="s">
        <v>66</v>
      </c>
      <c r="K1" s="48" t="s">
        <v>4</v>
      </c>
      <c r="L1" s="48" t="s">
        <v>24</v>
      </c>
      <c r="M1" s="48" t="s">
        <v>44</v>
      </c>
      <c r="N1" s="102" t="s">
        <v>67</v>
      </c>
      <c r="O1" s="103" t="s">
        <v>68</v>
      </c>
      <c r="P1" s="48" t="s">
        <v>69</v>
      </c>
      <c r="Q1" s="103" t="s">
        <v>70</v>
      </c>
      <c r="R1" s="102" t="s">
        <v>71</v>
      </c>
      <c r="S1" s="103" t="s">
        <v>72</v>
      </c>
      <c r="T1" s="103" t="s">
        <v>73</v>
      </c>
      <c r="U1" s="103" t="s">
        <v>74</v>
      </c>
      <c r="V1" s="103" t="s">
        <v>75</v>
      </c>
      <c r="W1" s="103" t="s">
        <v>31</v>
      </c>
    </row>
    <row r="2" spans="1:25" s="18" customFormat="1" ht="15" x14ac:dyDescent="0.2">
      <c r="A2" s="87">
        <v>5</v>
      </c>
      <c r="B2" s="99" t="s">
        <v>2</v>
      </c>
      <c r="C2" s="41">
        <v>0</v>
      </c>
      <c r="D2" s="41">
        <v>3.5</v>
      </c>
      <c r="E2" s="18">
        <v>7.3</v>
      </c>
      <c r="F2" s="18">
        <v>156</v>
      </c>
      <c r="G2" s="18">
        <v>23.3</v>
      </c>
      <c r="H2" s="18">
        <v>870</v>
      </c>
      <c r="L2" s="18">
        <v>3</v>
      </c>
      <c r="M2" s="17">
        <f>D2-C2</f>
        <v>3.5</v>
      </c>
      <c r="N2" s="104">
        <f t="shared" ref="N2:N19" si="0">G2-E2</f>
        <v>16</v>
      </c>
      <c r="O2" s="105">
        <f t="shared" ref="O2:O19" si="1">N2/G2*100</f>
        <v>68.669527896995703</v>
      </c>
      <c r="P2" s="106">
        <f t="shared" ref="P2:P19" si="2">H2-F2</f>
        <v>714</v>
      </c>
      <c r="Q2" s="105">
        <f t="shared" ref="Q2:Q19" si="3">P2/H2*100</f>
        <v>82.068965517241381</v>
      </c>
      <c r="R2" s="69"/>
      <c r="S2" s="71"/>
      <c r="U2" s="71"/>
      <c r="V2" s="71"/>
      <c r="W2" s="92"/>
    </row>
    <row r="3" spans="1:25" s="18" customFormat="1" ht="15" x14ac:dyDescent="0.2">
      <c r="A3" s="87">
        <v>5</v>
      </c>
      <c r="B3" s="100" t="s">
        <v>3</v>
      </c>
      <c r="C3" s="40">
        <v>0</v>
      </c>
      <c r="D3" s="40">
        <v>3.5</v>
      </c>
      <c r="E3" s="17">
        <v>8</v>
      </c>
      <c r="F3" s="17">
        <v>202</v>
      </c>
      <c r="G3" s="17">
        <v>24</v>
      </c>
      <c r="H3" s="17">
        <v>834</v>
      </c>
      <c r="I3" s="17"/>
      <c r="J3" s="17"/>
      <c r="K3" s="17" t="s">
        <v>99</v>
      </c>
      <c r="L3" s="17">
        <v>3</v>
      </c>
      <c r="M3" s="17">
        <f>D3-C3</f>
        <v>3.5</v>
      </c>
      <c r="N3" s="69">
        <f t="shared" si="0"/>
        <v>16</v>
      </c>
      <c r="O3" s="107">
        <f t="shared" si="1"/>
        <v>66.666666666666657</v>
      </c>
      <c r="P3" s="106">
        <f t="shared" si="2"/>
        <v>632</v>
      </c>
      <c r="Q3" s="107">
        <f t="shared" si="3"/>
        <v>75.779376498800957</v>
      </c>
      <c r="R3" s="104"/>
      <c r="S3" s="92"/>
      <c r="T3" s="17"/>
      <c r="U3" s="92"/>
      <c r="V3" s="92"/>
      <c r="W3" s="92"/>
    </row>
    <row r="4" spans="1:25" s="18" customFormat="1" ht="15" x14ac:dyDescent="0.2">
      <c r="A4" s="86">
        <v>8</v>
      </c>
      <c r="B4" s="100" t="s">
        <v>2</v>
      </c>
      <c r="C4" s="40">
        <v>3.5</v>
      </c>
      <c r="D4" s="40"/>
      <c r="E4" s="20">
        <v>3.2</v>
      </c>
      <c r="F4" s="20">
        <v>216</v>
      </c>
      <c r="G4" s="20">
        <v>21.4</v>
      </c>
      <c r="H4" s="20">
        <v>923</v>
      </c>
      <c r="I4" s="20"/>
      <c r="J4" s="17"/>
      <c r="K4" s="17"/>
      <c r="L4" s="17">
        <v>1</v>
      </c>
      <c r="M4" s="17"/>
      <c r="N4" s="104">
        <f t="shared" si="0"/>
        <v>18.2</v>
      </c>
      <c r="O4" s="107">
        <f t="shared" si="1"/>
        <v>85.046728971962608</v>
      </c>
      <c r="P4" s="106">
        <f t="shared" si="2"/>
        <v>707</v>
      </c>
      <c r="Q4" s="107">
        <f t="shared" si="3"/>
        <v>76.598049837486457</v>
      </c>
      <c r="R4" s="104"/>
      <c r="S4" s="92"/>
      <c r="T4" s="17"/>
      <c r="U4" s="92"/>
      <c r="V4" s="92"/>
      <c r="W4" s="71"/>
      <c r="Y4" s="17"/>
    </row>
    <row r="5" spans="1:25" ht="15" x14ac:dyDescent="0.2">
      <c r="A5" s="87">
        <v>8</v>
      </c>
      <c r="B5" s="100" t="s">
        <v>3</v>
      </c>
      <c r="C5" s="40">
        <v>3.5</v>
      </c>
      <c r="D5" s="40"/>
      <c r="E5" s="20">
        <v>11.8</v>
      </c>
      <c r="F5" s="20">
        <v>400</v>
      </c>
      <c r="G5" s="20">
        <v>22.5</v>
      </c>
      <c r="H5" s="20">
        <v>950</v>
      </c>
      <c r="I5" s="20"/>
      <c r="L5" s="17">
        <v>1</v>
      </c>
      <c r="N5" s="104">
        <f t="shared" si="0"/>
        <v>10.7</v>
      </c>
      <c r="O5" s="107">
        <f t="shared" si="1"/>
        <v>47.55555555555555</v>
      </c>
      <c r="P5" s="106">
        <f t="shared" si="2"/>
        <v>550</v>
      </c>
      <c r="Q5" s="107">
        <f t="shared" si="3"/>
        <v>57.894736842105267</v>
      </c>
      <c r="R5" s="104"/>
      <c r="S5" s="92"/>
      <c r="U5" s="92"/>
      <c r="V5" s="92"/>
      <c r="W5" s="92"/>
    </row>
    <row r="6" spans="1:25" ht="15" x14ac:dyDescent="0.2">
      <c r="A6" s="87">
        <v>21</v>
      </c>
      <c r="B6" s="100" t="s">
        <v>3</v>
      </c>
      <c r="C6" s="40">
        <v>3</v>
      </c>
      <c r="D6" s="40">
        <v>5</v>
      </c>
      <c r="E6" s="20">
        <v>15.6</v>
      </c>
      <c r="F6" s="20">
        <v>355</v>
      </c>
      <c r="G6" s="20">
        <v>26.7</v>
      </c>
      <c r="H6" s="20">
        <v>979</v>
      </c>
      <c r="I6" s="20"/>
      <c r="K6" s="17" t="s">
        <v>8</v>
      </c>
      <c r="L6" s="17">
        <v>2</v>
      </c>
      <c r="M6" s="17">
        <f>D6-C6</f>
        <v>2</v>
      </c>
      <c r="N6" s="104">
        <f t="shared" si="0"/>
        <v>11.1</v>
      </c>
      <c r="O6" s="107">
        <f t="shared" si="1"/>
        <v>41.573033707865171</v>
      </c>
      <c r="P6" s="106">
        <f t="shared" si="2"/>
        <v>624</v>
      </c>
      <c r="Q6" s="107">
        <f t="shared" si="3"/>
        <v>63.738508682328913</v>
      </c>
      <c r="R6" s="104"/>
      <c r="S6" s="92"/>
      <c r="U6" s="92"/>
      <c r="V6" s="92"/>
      <c r="W6" s="92"/>
    </row>
    <row r="7" spans="1:25" ht="15" x14ac:dyDescent="0.2">
      <c r="A7" s="87">
        <v>23</v>
      </c>
      <c r="B7" s="100" t="s">
        <v>2</v>
      </c>
      <c r="C7" s="40">
        <v>0.5</v>
      </c>
      <c r="D7" s="40"/>
      <c r="E7" s="17">
        <v>8.1</v>
      </c>
      <c r="F7" s="17">
        <v>271</v>
      </c>
      <c r="G7" s="17">
        <v>24.8</v>
      </c>
      <c r="H7" s="17">
        <v>1061</v>
      </c>
      <c r="L7" s="17">
        <v>1</v>
      </c>
      <c r="N7" s="104">
        <f t="shared" si="0"/>
        <v>16.700000000000003</v>
      </c>
      <c r="O7" s="107">
        <f t="shared" si="1"/>
        <v>67.338709677419359</v>
      </c>
      <c r="P7" s="106">
        <f t="shared" si="2"/>
        <v>790</v>
      </c>
      <c r="Q7" s="107">
        <f t="shared" si="3"/>
        <v>74.458058435438261</v>
      </c>
      <c r="R7" s="104"/>
      <c r="S7" s="92"/>
      <c r="U7" s="92"/>
      <c r="V7" s="92"/>
      <c r="W7" s="92"/>
    </row>
    <row r="8" spans="1:25" ht="15" x14ac:dyDescent="0.2">
      <c r="A8" s="87">
        <v>23</v>
      </c>
      <c r="B8" s="100" t="s">
        <v>3</v>
      </c>
      <c r="C8" s="40">
        <v>0</v>
      </c>
      <c r="D8" s="40"/>
      <c r="E8" s="17">
        <v>2.6</v>
      </c>
      <c r="F8" s="17">
        <v>136</v>
      </c>
      <c r="G8" s="17">
        <v>24.8</v>
      </c>
      <c r="H8" s="17">
        <v>1022</v>
      </c>
      <c r="L8" s="17">
        <v>1</v>
      </c>
      <c r="N8" s="104">
        <f t="shared" si="0"/>
        <v>22.2</v>
      </c>
      <c r="O8" s="107">
        <f t="shared" si="1"/>
        <v>89.516129032258064</v>
      </c>
      <c r="P8" s="106">
        <f t="shared" si="2"/>
        <v>886</v>
      </c>
      <c r="Q8" s="107">
        <f t="shared" si="3"/>
        <v>86.692759295499016</v>
      </c>
      <c r="R8" s="104"/>
      <c r="S8" s="92"/>
      <c r="U8" s="92"/>
      <c r="V8" s="92"/>
      <c r="W8" s="92"/>
      <c r="Y8" s="18"/>
    </row>
    <row r="9" spans="1:25" ht="15" x14ac:dyDescent="0.2">
      <c r="A9" s="87">
        <v>24</v>
      </c>
      <c r="B9" s="100" t="s">
        <v>3</v>
      </c>
      <c r="C9" s="40">
        <v>2</v>
      </c>
      <c r="D9" s="40">
        <v>3</v>
      </c>
      <c r="E9" s="20">
        <v>11.9</v>
      </c>
      <c r="F9" s="20">
        <v>253</v>
      </c>
      <c r="G9" s="20">
        <v>24.4</v>
      </c>
      <c r="H9" s="20">
        <v>922</v>
      </c>
      <c r="K9" s="17" t="s">
        <v>8</v>
      </c>
      <c r="L9" s="17">
        <v>2</v>
      </c>
      <c r="M9" s="17">
        <f>D9-C9</f>
        <v>1</v>
      </c>
      <c r="N9" s="104">
        <f t="shared" si="0"/>
        <v>12.499999999999998</v>
      </c>
      <c r="O9" s="107">
        <f t="shared" si="1"/>
        <v>51.229508196721305</v>
      </c>
      <c r="P9" s="106">
        <f t="shared" si="2"/>
        <v>669</v>
      </c>
      <c r="Q9" s="107">
        <f t="shared" si="3"/>
        <v>72.559652928416483</v>
      </c>
      <c r="R9" s="104"/>
      <c r="S9" s="92"/>
      <c r="U9" s="92"/>
      <c r="V9" s="92"/>
      <c r="W9" s="92"/>
    </row>
    <row r="10" spans="1:25" ht="15" x14ac:dyDescent="0.2">
      <c r="A10" s="86">
        <v>26</v>
      </c>
      <c r="B10" s="100" t="s">
        <v>2</v>
      </c>
      <c r="C10" s="40">
        <v>4</v>
      </c>
      <c r="D10" s="40">
        <v>4</v>
      </c>
      <c r="E10" s="17">
        <v>3.8</v>
      </c>
      <c r="F10" s="17">
        <v>113</v>
      </c>
      <c r="G10" s="17">
        <v>25.4</v>
      </c>
      <c r="H10" s="17">
        <v>970</v>
      </c>
      <c r="L10" s="17">
        <v>1</v>
      </c>
      <c r="M10" s="17">
        <f>D10-C10</f>
        <v>0</v>
      </c>
      <c r="N10" s="104">
        <f t="shared" si="0"/>
        <v>21.599999999999998</v>
      </c>
      <c r="O10" s="107">
        <f t="shared" si="1"/>
        <v>85.039370078740149</v>
      </c>
      <c r="P10" s="106">
        <f t="shared" si="2"/>
        <v>857</v>
      </c>
      <c r="Q10" s="107">
        <f t="shared" si="3"/>
        <v>88.350515463917517</v>
      </c>
      <c r="R10" s="104"/>
      <c r="S10" s="92"/>
      <c r="U10" s="92"/>
      <c r="V10" s="92"/>
      <c r="W10" s="92"/>
    </row>
    <row r="11" spans="1:25" ht="15" x14ac:dyDescent="0.2">
      <c r="A11" s="87">
        <v>26</v>
      </c>
      <c r="B11" s="100" t="s">
        <v>3</v>
      </c>
      <c r="C11" s="40">
        <v>3</v>
      </c>
      <c r="D11" s="40">
        <v>3.5</v>
      </c>
      <c r="E11" s="17">
        <v>5</v>
      </c>
      <c r="F11" s="17">
        <v>142</v>
      </c>
      <c r="G11" s="17">
        <v>25</v>
      </c>
      <c r="H11" s="17">
        <v>952</v>
      </c>
      <c r="L11" s="17">
        <v>1</v>
      </c>
      <c r="M11" s="17">
        <f>D11-C11</f>
        <v>0.5</v>
      </c>
      <c r="N11" s="104">
        <f t="shared" si="0"/>
        <v>20</v>
      </c>
      <c r="O11" s="107">
        <f t="shared" si="1"/>
        <v>80</v>
      </c>
      <c r="P11" s="106">
        <f t="shared" si="2"/>
        <v>810</v>
      </c>
      <c r="Q11" s="107">
        <f t="shared" si="3"/>
        <v>85.084033613445371</v>
      </c>
      <c r="R11" s="104"/>
      <c r="S11" s="92"/>
      <c r="U11" s="92"/>
      <c r="V11" s="92"/>
      <c r="W11" s="92"/>
    </row>
    <row r="12" spans="1:25" ht="15" x14ac:dyDescent="0.2">
      <c r="A12" s="86">
        <v>32</v>
      </c>
      <c r="B12" s="100" t="s">
        <v>2</v>
      </c>
      <c r="C12" s="40">
        <v>-2</v>
      </c>
      <c r="D12" s="40">
        <v>1</v>
      </c>
      <c r="E12" s="20">
        <v>3</v>
      </c>
      <c r="F12" s="20">
        <v>125</v>
      </c>
      <c r="G12" s="20">
        <v>22.2</v>
      </c>
      <c r="H12" s="20">
        <v>755</v>
      </c>
      <c r="L12" s="17">
        <v>3</v>
      </c>
      <c r="M12" s="17">
        <f>D12-C12</f>
        <v>3</v>
      </c>
      <c r="N12" s="104">
        <f t="shared" si="0"/>
        <v>19.2</v>
      </c>
      <c r="O12" s="107">
        <f t="shared" si="1"/>
        <v>86.486486486486484</v>
      </c>
      <c r="P12" s="106">
        <f t="shared" si="2"/>
        <v>630</v>
      </c>
      <c r="Q12" s="107">
        <f t="shared" si="3"/>
        <v>83.443708609271525</v>
      </c>
      <c r="R12" s="104"/>
      <c r="S12" s="92"/>
      <c r="U12" s="92"/>
      <c r="V12" s="92"/>
      <c r="W12" s="92"/>
    </row>
    <row r="13" spans="1:25" ht="15" x14ac:dyDescent="0.2">
      <c r="A13" s="87">
        <v>32</v>
      </c>
      <c r="B13" s="100" t="s">
        <v>3</v>
      </c>
      <c r="C13" s="40">
        <v>-2</v>
      </c>
      <c r="D13" s="40">
        <v>1.5</v>
      </c>
      <c r="E13" s="20">
        <v>8.9</v>
      </c>
      <c r="F13" s="20">
        <v>232</v>
      </c>
      <c r="G13" s="20">
        <v>21.9</v>
      </c>
      <c r="H13" s="20">
        <v>868</v>
      </c>
      <c r="L13" s="17">
        <v>3</v>
      </c>
      <c r="M13" s="17">
        <f>D13-C13</f>
        <v>3.5</v>
      </c>
      <c r="N13" s="104">
        <f t="shared" si="0"/>
        <v>12.999999999999998</v>
      </c>
      <c r="O13" s="107">
        <f t="shared" si="1"/>
        <v>59.3607305936073</v>
      </c>
      <c r="P13" s="106">
        <f t="shared" si="2"/>
        <v>636</v>
      </c>
      <c r="Q13" s="107">
        <f t="shared" si="3"/>
        <v>73.271889400921665</v>
      </c>
      <c r="R13" s="104"/>
      <c r="S13" s="92"/>
      <c r="U13" s="92"/>
      <c r="V13" s="92"/>
      <c r="W13" s="92"/>
    </row>
    <row r="14" spans="1:25" ht="15" x14ac:dyDescent="0.2">
      <c r="A14" s="87">
        <v>35</v>
      </c>
      <c r="B14" s="100" t="s">
        <v>2</v>
      </c>
      <c r="C14" s="40">
        <v>0.25</v>
      </c>
      <c r="D14" s="40"/>
      <c r="E14" s="20">
        <v>6.7</v>
      </c>
      <c r="F14" s="20">
        <v>161</v>
      </c>
      <c r="G14" s="20">
        <v>25.2</v>
      </c>
      <c r="H14" s="20">
        <v>989</v>
      </c>
      <c r="L14" s="17">
        <v>2</v>
      </c>
      <c r="N14" s="104">
        <f t="shared" si="0"/>
        <v>18.5</v>
      </c>
      <c r="O14" s="107">
        <f t="shared" si="1"/>
        <v>73.412698412698418</v>
      </c>
      <c r="P14" s="106">
        <f t="shared" si="2"/>
        <v>828</v>
      </c>
      <c r="Q14" s="107">
        <f t="shared" si="3"/>
        <v>83.720930232558146</v>
      </c>
      <c r="R14" s="104"/>
      <c r="S14" s="92"/>
      <c r="U14" s="92"/>
      <c r="V14" s="92"/>
      <c r="W14" s="92"/>
    </row>
    <row r="15" spans="1:25" ht="15" x14ac:dyDescent="0.2">
      <c r="A15" s="87">
        <v>35</v>
      </c>
      <c r="B15" s="100" t="s">
        <v>3</v>
      </c>
      <c r="C15" s="40">
        <v>0</v>
      </c>
      <c r="D15" s="40"/>
      <c r="E15" s="20">
        <v>2.6</v>
      </c>
      <c r="F15" s="20">
        <v>56</v>
      </c>
      <c r="G15" s="20">
        <v>21.5</v>
      </c>
      <c r="H15" s="20">
        <v>910</v>
      </c>
      <c r="L15" s="17">
        <v>2</v>
      </c>
      <c r="N15" s="104">
        <f t="shared" si="0"/>
        <v>18.899999999999999</v>
      </c>
      <c r="O15" s="107">
        <f t="shared" si="1"/>
        <v>87.906976744186039</v>
      </c>
      <c r="P15" s="106">
        <f t="shared" si="2"/>
        <v>854</v>
      </c>
      <c r="Q15" s="107">
        <f t="shared" si="3"/>
        <v>93.84615384615384</v>
      </c>
      <c r="R15" s="104"/>
      <c r="S15" s="92"/>
      <c r="U15" s="92"/>
      <c r="V15" s="92"/>
      <c r="W15" s="92"/>
    </row>
    <row r="16" spans="1:25" ht="15" x14ac:dyDescent="0.2">
      <c r="A16" s="87">
        <v>64</v>
      </c>
      <c r="B16" s="100" t="s">
        <v>2</v>
      </c>
      <c r="C16" s="40">
        <v>1.5</v>
      </c>
      <c r="D16" s="40">
        <v>2</v>
      </c>
      <c r="E16" s="20">
        <v>3.7</v>
      </c>
      <c r="F16" s="20">
        <v>192</v>
      </c>
      <c r="G16" s="20">
        <v>25.4</v>
      </c>
      <c r="H16" s="20">
        <v>974</v>
      </c>
      <c r="L16" s="17">
        <v>1</v>
      </c>
      <c r="M16" s="17">
        <f>D16-C16</f>
        <v>0.5</v>
      </c>
      <c r="N16" s="104">
        <f t="shared" si="0"/>
        <v>21.7</v>
      </c>
      <c r="O16" s="107">
        <f t="shared" si="1"/>
        <v>85.433070866141733</v>
      </c>
      <c r="P16" s="106">
        <f t="shared" si="2"/>
        <v>782</v>
      </c>
      <c r="Q16" s="107">
        <f t="shared" si="3"/>
        <v>80.28747433264887</v>
      </c>
      <c r="R16" s="104"/>
      <c r="S16" s="92"/>
      <c r="U16" s="92"/>
      <c r="V16" s="92"/>
      <c r="W16" s="92"/>
    </row>
    <row r="17" spans="1:23" ht="15" x14ac:dyDescent="0.2">
      <c r="A17" s="87">
        <v>64</v>
      </c>
      <c r="B17" s="100" t="s">
        <v>3</v>
      </c>
      <c r="C17" s="40">
        <v>1</v>
      </c>
      <c r="D17" s="40">
        <v>2</v>
      </c>
      <c r="E17" s="20">
        <v>11.4</v>
      </c>
      <c r="F17" s="20">
        <v>375</v>
      </c>
      <c r="G17" s="20">
        <v>25.4</v>
      </c>
      <c r="H17" s="20">
        <v>1016</v>
      </c>
      <c r="L17" s="17">
        <v>1</v>
      </c>
      <c r="M17" s="17">
        <f>D17-C17</f>
        <v>1</v>
      </c>
      <c r="N17" s="104">
        <f t="shared" si="0"/>
        <v>13.999999999999998</v>
      </c>
      <c r="O17" s="107">
        <f t="shared" si="1"/>
        <v>55.11811023622046</v>
      </c>
      <c r="P17" s="106">
        <f t="shared" si="2"/>
        <v>641</v>
      </c>
      <c r="Q17" s="107">
        <f t="shared" si="3"/>
        <v>63.090551181102363</v>
      </c>
      <c r="R17" s="104"/>
      <c r="S17" s="92"/>
      <c r="U17" s="92"/>
      <c r="V17" s="92"/>
      <c r="W17" s="92"/>
    </row>
    <row r="18" spans="1:23" ht="15" x14ac:dyDescent="0.2">
      <c r="A18" s="86">
        <v>69</v>
      </c>
      <c r="B18" s="100" t="s">
        <v>2</v>
      </c>
      <c r="C18" s="40">
        <v>3</v>
      </c>
      <c r="D18" s="40">
        <v>2</v>
      </c>
      <c r="E18" s="20">
        <v>1.7</v>
      </c>
      <c r="F18" s="20">
        <v>26</v>
      </c>
      <c r="G18" s="20">
        <v>25.1</v>
      </c>
      <c r="H18" s="20">
        <v>996</v>
      </c>
      <c r="L18" s="17">
        <v>1</v>
      </c>
      <c r="M18" s="17">
        <f>D18-C18</f>
        <v>-1</v>
      </c>
      <c r="N18" s="104">
        <f t="shared" si="0"/>
        <v>23.400000000000002</v>
      </c>
      <c r="O18" s="107">
        <f t="shared" si="1"/>
        <v>93.227091633466145</v>
      </c>
      <c r="P18" s="106">
        <f t="shared" si="2"/>
        <v>970</v>
      </c>
      <c r="Q18" s="107">
        <f t="shared" si="3"/>
        <v>97.389558232931734</v>
      </c>
      <c r="R18" s="104"/>
      <c r="S18" s="92"/>
      <c r="U18" s="92"/>
      <c r="V18" s="92"/>
      <c r="W18" s="92"/>
    </row>
    <row r="19" spans="1:23" ht="15" x14ac:dyDescent="0.2">
      <c r="A19" s="87">
        <v>69</v>
      </c>
      <c r="B19" s="100" t="s">
        <v>3</v>
      </c>
      <c r="C19" s="40">
        <v>3</v>
      </c>
      <c r="D19" s="40">
        <v>2.25</v>
      </c>
      <c r="E19" s="20">
        <v>3.4</v>
      </c>
      <c r="F19" s="20">
        <v>43</v>
      </c>
      <c r="G19" s="20">
        <v>26</v>
      </c>
      <c r="H19" s="20">
        <v>1001</v>
      </c>
      <c r="L19" s="17">
        <v>1</v>
      </c>
      <c r="M19" s="17">
        <f>D19-C19</f>
        <v>-0.75</v>
      </c>
      <c r="N19" s="104">
        <f t="shared" si="0"/>
        <v>22.6</v>
      </c>
      <c r="O19" s="107">
        <f t="shared" si="1"/>
        <v>86.92307692307692</v>
      </c>
      <c r="P19" s="106">
        <f t="shared" si="2"/>
        <v>958</v>
      </c>
      <c r="Q19" s="107">
        <f t="shared" si="3"/>
        <v>95.704295704295703</v>
      </c>
      <c r="R19" s="104"/>
      <c r="S19" s="92"/>
      <c r="U19" s="92"/>
      <c r="V19" s="92"/>
      <c r="W19" s="92"/>
    </row>
    <row r="20" spans="1:23" ht="15" x14ac:dyDescent="0.2">
      <c r="A20" s="86">
        <v>75</v>
      </c>
      <c r="B20" s="100" t="s">
        <v>2</v>
      </c>
      <c r="C20" s="40"/>
      <c r="D20" s="40"/>
      <c r="E20" s="100">
        <v>8.6</v>
      </c>
      <c r="F20" s="100">
        <v>159</v>
      </c>
      <c r="G20" s="100">
        <v>25.1</v>
      </c>
      <c r="H20" s="100">
        <v>958</v>
      </c>
      <c r="K20" s="17" t="s">
        <v>22</v>
      </c>
      <c r="L20" s="17">
        <v>2</v>
      </c>
      <c r="N20" s="108"/>
      <c r="O20" s="92"/>
      <c r="Q20" s="92"/>
      <c r="R20" s="92"/>
      <c r="S20" s="92"/>
      <c r="U20" s="92"/>
    </row>
    <row r="21" spans="1:23" ht="15" x14ac:dyDescent="0.2">
      <c r="A21" s="87">
        <v>75</v>
      </c>
      <c r="B21" s="100" t="s">
        <v>3</v>
      </c>
      <c r="C21" s="40"/>
      <c r="D21" s="40"/>
      <c r="E21" s="100">
        <v>4</v>
      </c>
      <c r="F21" s="100">
        <v>48</v>
      </c>
      <c r="G21" s="100">
        <v>24.9</v>
      </c>
      <c r="H21" s="100">
        <v>948</v>
      </c>
      <c r="L21" s="17">
        <v>2</v>
      </c>
      <c r="N21" s="108"/>
      <c r="O21" s="92"/>
      <c r="Q21" s="92"/>
      <c r="R21" s="92"/>
      <c r="S21" s="92"/>
      <c r="U21" s="92"/>
    </row>
    <row r="24" spans="1:23" ht="15" x14ac:dyDescent="0.2">
      <c r="A24" s="109"/>
      <c r="B24" s="100"/>
      <c r="C24" s="40"/>
      <c r="D24" s="40"/>
      <c r="I24" s="20"/>
      <c r="J24" s="20"/>
      <c r="L24" s="20"/>
      <c r="M24" s="20"/>
      <c r="N24" s="108"/>
      <c r="O24" s="92"/>
      <c r="Q24" s="92"/>
      <c r="R24" s="92"/>
      <c r="S24" s="92"/>
      <c r="U24" s="92"/>
    </row>
    <row r="25" spans="1:23" ht="15" x14ac:dyDescent="0.2">
      <c r="A25" s="109"/>
      <c r="B25" s="100"/>
      <c r="C25" s="40"/>
      <c r="D25" s="40"/>
      <c r="I25" s="20"/>
      <c r="J25" s="20"/>
      <c r="L25" s="20"/>
      <c r="M25" s="20"/>
      <c r="N25" s="108"/>
      <c r="O25" s="92"/>
      <c r="Q25" s="92"/>
      <c r="R25" s="92"/>
      <c r="S25" s="92"/>
      <c r="U25" s="92"/>
    </row>
    <row r="26" spans="1:23" ht="15" x14ac:dyDescent="0.2">
      <c r="A26" s="100"/>
      <c r="B26" s="100"/>
      <c r="C26" s="40"/>
      <c r="D26" s="40"/>
      <c r="N26" s="108"/>
      <c r="O26" s="92"/>
      <c r="Q26" s="92"/>
      <c r="R26" s="92"/>
      <c r="S26" s="92"/>
      <c r="U26" s="92"/>
    </row>
    <row r="27" spans="1:23" x14ac:dyDescent="0.2">
      <c r="N27" s="108"/>
      <c r="O27" s="92"/>
      <c r="Q27" s="92"/>
      <c r="R27" s="92"/>
      <c r="S27" s="92"/>
      <c r="U27" s="92"/>
    </row>
    <row r="28" spans="1:23" x14ac:dyDescent="0.2">
      <c r="N28" s="108"/>
      <c r="O28" s="92"/>
      <c r="Q28" s="92"/>
      <c r="R28" s="92"/>
      <c r="S28" s="92"/>
      <c r="U28" s="92"/>
    </row>
    <row r="29" spans="1:23" x14ac:dyDescent="0.2">
      <c r="N29" s="108"/>
      <c r="O29" s="92"/>
      <c r="Q29" s="92"/>
      <c r="R29" s="92"/>
      <c r="S29" s="92"/>
      <c r="U29" s="92"/>
    </row>
    <row r="30" spans="1:23" x14ac:dyDescent="0.2">
      <c r="N30" s="108"/>
      <c r="O30" s="92"/>
      <c r="Q30" s="92"/>
      <c r="R30" s="92"/>
      <c r="S30" s="92"/>
      <c r="U30" s="92"/>
    </row>
    <row r="31" spans="1:23" x14ac:dyDescent="0.2">
      <c r="N31" s="108"/>
      <c r="O31" s="92"/>
      <c r="Q31" s="92"/>
      <c r="R31" s="92"/>
      <c r="S31" s="92"/>
      <c r="U31" s="9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="80" zoomScaleNormal="80" workbookViewId="0">
      <selection sqref="A1:D1048576"/>
    </sheetView>
  </sheetViews>
  <sheetFormatPr defaultRowHeight="12.75" x14ac:dyDescent="0.2"/>
  <cols>
    <col min="1" max="1" width="10.5703125" style="1" bestFit="1" customWidth="1"/>
    <col min="2" max="2" width="10.5703125" style="7" customWidth="1"/>
    <col min="3" max="3" width="10.5703125" style="1" bestFit="1" customWidth="1"/>
    <col min="4" max="4" width="10.5703125" style="7" customWidth="1"/>
    <col min="6" max="6" width="11.42578125" style="7" customWidth="1"/>
    <col min="7" max="7" width="11" style="7" customWidth="1"/>
    <col min="8" max="8" width="12" style="7" customWidth="1"/>
    <col min="9" max="9" width="12.5703125" style="7" customWidth="1"/>
    <col min="10" max="11" width="9.140625" style="7"/>
    <col min="12" max="12" width="13.85546875" customWidth="1"/>
    <col min="13" max="13" width="12.5703125" customWidth="1"/>
  </cols>
  <sheetData>
    <row r="1" spans="1:17" x14ac:dyDescent="0.2">
      <c r="A1" s="1" t="s">
        <v>2</v>
      </c>
      <c r="B1" s="7" t="s">
        <v>13</v>
      </c>
      <c r="C1" s="1" t="s">
        <v>3</v>
      </c>
      <c r="D1" s="7" t="s">
        <v>14</v>
      </c>
      <c r="E1" t="s">
        <v>15</v>
      </c>
      <c r="F1" s="7" t="s">
        <v>10</v>
      </c>
      <c r="G1" s="7" t="s">
        <v>11</v>
      </c>
      <c r="H1" s="7" t="s">
        <v>16</v>
      </c>
      <c r="I1" s="7" t="s">
        <v>12</v>
      </c>
      <c r="J1" s="7" t="s">
        <v>17</v>
      </c>
      <c r="K1" s="7" t="s">
        <v>18</v>
      </c>
      <c r="L1" s="7" t="s">
        <v>117</v>
      </c>
      <c r="M1" s="7" t="s">
        <v>242</v>
      </c>
      <c r="N1" s="7" t="s">
        <v>241</v>
      </c>
      <c r="O1" s="7" t="s">
        <v>243</v>
      </c>
    </row>
    <row r="2" spans="1:17" x14ac:dyDescent="0.2">
      <c r="A2" s="1">
        <v>2</v>
      </c>
      <c r="B2" s="7">
        <v>1.3888888888888889E-3</v>
      </c>
      <c r="C2" s="1">
        <v>2.2599999999999998</v>
      </c>
      <c r="D2" s="7">
        <v>1.689814814814815E-3</v>
      </c>
      <c r="E2" s="7">
        <f>SUM(B2,D2)</f>
        <v>3.0787037037037042E-3</v>
      </c>
      <c r="F2" s="7">
        <f>AVERAGE(B:B)</f>
        <v>2.3407493141289434E-3</v>
      </c>
      <c r="G2" s="7">
        <f>AVERAGE(D:D)</f>
        <v>2.0942873677248677E-3</v>
      </c>
      <c r="H2" s="7">
        <f>AVERAGE(B:B,D:D)</f>
        <v>2.2152777777777778E-3</v>
      </c>
      <c r="I2" s="7">
        <f>AVERAGE(E:E)</f>
        <v>4.4310897435897428E-3</v>
      </c>
      <c r="J2" s="7">
        <f>MIN(B:B,D:D)</f>
        <v>5.3240740740740744E-4</v>
      </c>
      <c r="K2" s="7">
        <f>MAX(B:B,D:D)</f>
        <v>6.1574074074074074E-3</v>
      </c>
      <c r="L2" s="7">
        <f>MEDIAN(B:B,D:D)</f>
        <v>1.7534722222222222E-3</v>
      </c>
      <c r="M2">
        <f>_xlfn.STDEV.P(A2:A59, C2:C59)</f>
        <v>1.7528206406666655</v>
      </c>
      <c r="N2">
        <f>_xlfn.CONFIDENCE.T(0.05,M3,104)</f>
        <v>1.073771624789432</v>
      </c>
      <c r="O2">
        <f>PRODUCT(60,1.07)</f>
        <v>64.2</v>
      </c>
      <c r="P2" s="39">
        <v>0.17708333333333334</v>
      </c>
      <c r="Q2" s="39">
        <v>8.819444444444445E-2</v>
      </c>
    </row>
    <row r="3" spans="1:17" x14ac:dyDescent="0.2">
      <c r="A3" s="1">
        <v>1.2</v>
      </c>
      <c r="B3" s="7">
        <v>9.2592592592592585E-4</v>
      </c>
      <c r="C3" s="1">
        <v>1.35</v>
      </c>
      <c r="D3" s="7">
        <v>1.0995370370370371E-3</v>
      </c>
      <c r="E3" s="7">
        <f t="shared" ref="E3:E59" si="0">SUM(B3,D3)</f>
        <v>2.0254629629629629E-3</v>
      </c>
      <c r="H3" s="7" t="s">
        <v>79</v>
      </c>
      <c r="I3" s="7">
        <f>STDEV(E:E)</f>
        <v>2.4111331313908706E-3</v>
      </c>
      <c r="M3">
        <f>PRODUCT(3.15,M2)</f>
        <v>5.5213850180999966</v>
      </c>
      <c r="O3" t="s">
        <v>244</v>
      </c>
    </row>
    <row r="4" spans="1:17" x14ac:dyDescent="0.2">
      <c r="A4" s="1">
        <v>5.01</v>
      </c>
      <c r="B4" s="7">
        <v>3.483796296296296E-3</v>
      </c>
      <c r="C4" s="1">
        <v>3.58</v>
      </c>
      <c r="D4" s="7">
        <v>2.7546296296296294E-3</v>
      </c>
      <c r="E4" s="7">
        <f t="shared" si="0"/>
        <v>6.238425925925925E-3</v>
      </c>
      <c r="H4" s="7">
        <f>STDEV(E2:E59)</f>
        <v>2.4111331313908706E-3</v>
      </c>
      <c r="J4" s="7" t="s">
        <v>19</v>
      </c>
      <c r="K4" s="7" t="s">
        <v>20</v>
      </c>
      <c r="L4" t="s">
        <v>118</v>
      </c>
    </row>
    <row r="5" spans="1:17" x14ac:dyDescent="0.2">
      <c r="A5" s="1">
        <v>2</v>
      </c>
      <c r="B5" s="7">
        <v>1.3888888888888889E-3</v>
      </c>
      <c r="C5" s="1">
        <v>2.35</v>
      </c>
      <c r="D5" s="7">
        <v>1.7939814814814815E-3</v>
      </c>
      <c r="E5" s="7">
        <f t="shared" si="0"/>
        <v>3.1828703703703706E-3</v>
      </c>
      <c r="J5" s="7">
        <f>MIN(E:E)</f>
        <v>1.3657407407407407E-3</v>
      </c>
      <c r="K5" s="7">
        <f>MAX(E:E)</f>
        <v>1.2280092592592592E-2</v>
      </c>
      <c r="L5" s="7">
        <f>MEDIAN(E:E)</f>
        <v>3.518518518518518E-3</v>
      </c>
    </row>
    <row r="6" spans="1:17" x14ac:dyDescent="0.2">
      <c r="A6" s="1">
        <v>2.2200000000000002</v>
      </c>
      <c r="B6" s="7">
        <v>1.6435185185185183E-3</v>
      </c>
      <c r="C6" s="1">
        <v>2.2999999999999998</v>
      </c>
      <c r="D6" s="7">
        <v>1.736111111111111E-3</v>
      </c>
      <c r="E6" s="7">
        <f t="shared" si="0"/>
        <v>3.3796296296296291E-3</v>
      </c>
    </row>
    <row r="7" spans="1:17" x14ac:dyDescent="0.2">
      <c r="C7" s="1">
        <v>3.25</v>
      </c>
      <c r="D7" s="7">
        <v>2.3726851851851851E-3</v>
      </c>
      <c r="E7" s="7"/>
      <c r="H7"/>
    </row>
    <row r="8" spans="1:17" x14ac:dyDescent="0.2">
      <c r="A8" s="1">
        <v>5.53</v>
      </c>
      <c r="B8" s="7">
        <v>4.0856481481481481E-3</v>
      </c>
      <c r="C8" s="1">
        <v>4.25</v>
      </c>
      <c r="D8" s="7">
        <v>3.0671296296296297E-3</v>
      </c>
      <c r="E8" s="7">
        <f t="shared" si="0"/>
        <v>7.1527777777777779E-3</v>
      </c>
      <c r="I8" t="s">
        <v>77</v>
      </c>
      <c r="J8" t="s">
        <v>78</v>
      </c>
      <c r="K8"/>
      <c r="M8" t="s">
        <v>239</v>
      </c>
      <c r="N8" t="s">
        <v>240</v>
      </c>
    </row>
    <row r="9" spans="1:17" x14ac:dyDescent="0.2">
      <c r="A9" s="1">
        <v>2</v>
      </c>
      <c r="B9" s="7">
        <v>1.3888888888888889E-3</v>
      </c>
      <c r="C9" s="1">
        <v>2.25</v>
      </c>
      <c r="D9" s="7">
        <v>1.6782407407407406E-3</v>
      </c>
      <c r="E9" s="7">
        <f t="shared" si="0"/>
        <v>3.0671296296296297E-3</v>
      </c>
      <c r="H9" t="s">
        <v>76</v>
      </c>
      <c r="I9" s="7">
        <f>I2</f>
        <v>4.4310897435897428E-3</v>
      </c>
      <c r="J9" s="7">
        <f>I3</f>
        <v>2.4111331313908706E-3</v>
      </c>
      <c r="K9" s="1">
        <v>3.47</v>
      </c>
      <c r="L9" s="1">
        <v>6.23</v>
      </c>
      <c r="M9">
        <f>_xlfn.CONFIDENCE.T(0.05,K9,52)</f>
        <v>0.96605416908118591</v>
      </c>
      <c r="N9">
        <f>PRODUCT(M9,60)</f>
        <v>57.963250144871154</v>
      </c>
      <c r="O9" s="39">
        <v>0.30624999999999997</v>
      </c>
      <c r="P9" s="39">
        <v>0.22569444444444445</v>
      </c>
    </row>
    <row r="10" spans="1:17" x14ac:dyDescent="0.2">
      <c r="A10" s="1">
        <v>1.3</v>
      </c>
      <c r="B10" s="7">
        <v>1.0416666666666667E-3</v>
      </c>
      <c r="C10" s="1">
        <v>1.2</v>
      </c>
      <c r="D10" s="7">
        <v>9.2592592592592585E-4</v>
      </c>
      <c r="E10" s="7">
        <f t="shared" si="0"/>
        <v>1.9675925925925924E-3</v>
      </c>
      <c r="H10" s="7" t="s">
        <v>96</v>
      </c>
      <c r="I10" s="7">
        <v>8.4490740740740741E-3</v>
      </c>
      <c r="J10" s="7">
        <v>2.0138888888888888E-3</v>
      </c>
      <c r="K10">
        <v>2.9</v>
      </c>
      <c r="L10" s="1">
        <v>12.1</v>
      </c>
    </row>
    <row r="11" spans="1:17" x14ac:dyDescent="0.2">
      <c r="A11" s="1">
        <v>2.44</v>
      </c>
      <c r="B11" s="7">
        <v>1.8981481481481482E-3</v>
      </c>
      <c r="C11" s="1">
        <v>2</v>
      </c>
      <c r="D11" s="7">
        <v>1.3888888888888889E-3</v>
      </c>
      <c r="E11" s="7">
        <f t="shared" si="0"/>
        <v>3.2870370370370371E-3</v>
      </c>
      <c r="H11" s="7" t="s">
        <v>97</v>
      </c>
      <c r="I11" s="7">
        <v>1.3078703703703703E-2</v>
      </c>
      <c r="J11" s="7">
        <v>2.6388888888888885E-3</v>
      </c>
      <c r="K11">
        <v>3.8</v>
      </c>
      <c r="L11" s="1">
        <v>18.5</v>
      </c>
    </row>
    <row r="12" spans="1:17" x14ac:dyDescent="0.2">
      <c r="A12" s="1">
        <v>1.2</v>
      </c>
      <c r="B12" s="7">
        <v>9.2592592592592585E-4</v>
      </c>
      <c r="C12" s="1">
        <v>2.3199999999999998</v>
      </c>
      <c r="D12" s="7">
        <v>1.7592592592592592E-3</v>
      </c>
      <c r="E12" s="7">
        <f t="shared" si="0"/>
        <v>2.685185185185185E-3</v>
      </c>
    </row>
    <row r="13" spans="1:17" x14ac:dyDescent="0.2">
      <c r="A13" s="1">
        <v>3</v>
      </c>
      <c r="B13" s="7">
        <v>2.0833333333333333E-3</v>
      </c>
      <c r="C13" s="1">
        <v>2.4</v>
      </c>
      <c r="D13" s="7">
        <v>1.8518518518518517E-3</v>
      </c>
      <c r="E13" s="7">
        <f t="shared" si="0"/>
        <v>3.9351851851851848E-3</v>
      </c>
      <c r="H13" s="7" t="s">
        <v>98</v>
      </c>
    </row>
    <row r="14" spans="1:17" x14ac:dyDescent="0.2">
      <c r="A14" s="1">
        <v>1.34</v>
      </c>
      <c r="B14" s="7">
        <v>1.0879629629629629E-3</v>
      </c>
      <c r="C14" s="1">
        <v>1.43</v>
      </c>
      <c r="D14" s="7">
        <v>1.1921296296296296E-3</v>
      </c>
      <c r="E14" s="7">
        <f t="shared" si="0"/>
        <v>2.2800925925925922E-3</v>
      </c>
    </row>
    <row r="15" spans="1:17" x14ac:dyDescent="0.2">
      <c r="A15" s="1">
        <v>4.45</v>
      </c>
      <c r="B15" s="7">
        <v>3.2986111111111111E-3</v>
      </c>
      <c r="C15" s="1">
        <v>5.45</v>
      </c>
      <c r="D15" s="7">
        <v>3.9930555555555561E-3</v>
      </c>
      <c r="E15" s="7">
        <f t="shared" si="0"/>
        <v>7.2916666666666668E-3</v>
      </c>
    </row>
    <row r="16" spans="1:17" x14ac:dyDescent="0.2">
      <c r="A16" s="1">
        <v>1.3</v>
      </c>
      <c r="B16" s="7">
        <v>1.0416666666666667E-3</v>
      </c>
      <c r="C16" s="1">
        <v>2</v>
      </c>
      <c r="D16" s="7">
        <v>1.3888888888888889E-3</v>
      </c>
      <c r="E16" s="7">
        <f t="shared" si="0"/>
        <v>2.4305555555555556E-3</v>
      </c>
    </row>
    <row r="17" spans="1:5" x14ac:dyDescent="0.2">
      <c r="A17" s="1">
        <v>1.2</v>
      </c>
      <c r="B17" s="7">
        <v>9.2592592592592585E-4</v>
      </c>
      <c r="C17" s="1">
        <v>1.17</v>
      </c>
      <c r="D17" s="7">
        <v>8.9120370370370362E-4</v>
      </c>
      <c r="E17" s="7">
        <f t="shared" si="0"/>
        <v>1.8171296296296295E-3</v>
      </c>
    </row>
    <row r="18" spans="1:5" x14ac:dyDescent="0.2">
      <c r="A18" s="1">
        <v>4</v>
      </c>
      <c r="B18" s="7">
        <v>2.7777777777777779E-3</v>
      </c>
      <c r="C18" s="1">
        <v>3.32</v>
      </c>
      <c r="D18" s="7">
        <v>2.4537037037037036E-3</v>
      </c>
      <c r="E18" s="7">
        <f t="shared" si="0"/>
        <v>5.2314814814814811E-3</v>
      </c>
    </row>
    <row r="19" spans="1:5" x14ac:dyDescent="0.2">
      <c r="A19" s="1">
        <v>1.37</v>
      </c>
      <c r="B19" s="7">
        <v>1.1226851851851851E-3</v>
      </c>
      <c r="C19" s="1">
        <v>2.31</v>
      </c>
      <c r="D19" s="7">
        <v>1.7476851851851852E-3</v>
      </c>
      <c r="E19" s="7">
        <f t="shared" si="0"/>
        <v>2.8703703703703703E-3</v>
      </c>
    </row>
    <row r="20" spans="1:5" x14ac:dyDescent="0.2">
      <c r="A20" s="1">
        <v>1.35</v>
      </c>
      <c r="B20" s="7">
        <v>1.0995370370370371E-3</v>
      </c>
      <c r="C20" s="1">
        <v>1.2</v>
      </c>
      <c r="D20" s="7">
        <v>9.2592592592592585E-4</v>
      </c>
      <c r="E20" s="7">
        <f t="shared" si="0"/>
        <v>2.0254629629629629E-3</v>
      </c>
    </row>
    <row r="21" spans="1:5" x14ac:dyDescent="0.2">
      <c r="C21" s="1">
        <v>2.2000000000000002</v>
      </c>
      <c r="D21" s="7">
        <v>1.6203703703703703E-3</v>
      </c>
      <c r="E21" s="7"/>
    </row>
    <row r="22" spans="1:5" x14ac:dyDescent="0.2">
      <c r="A22" s="1">
        <v>3.21</v>
      </c>
      <c r="B22" s="7">
        <v>2.3263888888888887E-3</v>
      </c>
      <c r="C22" s="1">
        <v>1.55</v>
      </c>
      <c r="D22" s="7">
        <v>1.3310185185185185E-3</v>
      </c>
      <c r="E22" s="7">
        <f t="shared" si="0"/>
        <v>3.657407407407407E-3</v>
      </c>
    </row>
    <row r="23" spans="1:5" x14ac:dyDescent="0.2">
      <c r="A23" s="1">
        <v>5.2</v>
      </c>
      <c r="B23" s="7">
        <v>3.7037037037037034E-3</v>
      </c>
      <c r="C23" s="1">
        <v>4.05</v>
      </c>
      <c r="D23" s="7">
        <v>2.8356481481481479E-3</v>
      </c>
      <c r="E23" s="7">
        <f t="shared" si="0"/>
        <v>6.5393518518518517E-3</v>
      </c>
    </row>
    <row r="24" spans="1:5" x14ac:dyDescent="0.2">
      <c r="A24" s="1">
        <v>1.46</v>
      </c>
      <c r="B24" s="7">
        <v>1.2268518518518518E-3</v>
      </c>
      <c r="C24" s="8">
        <v>0.46</v>
      </c>
      <c r="D24" s="7">
        <v>5.3240740740740744E-4</v>
      </c>
      <c r="E24" s="7">
        <f t="shared" si="0"/>
        <v>1.7592592592592592E-3</v>
      </c>
    </row>
    <row r="25" spans="1:5" x14ac:dyDescent="0.2">
      <c r="A25" s="1">
        <v>3.27</v>
      </c>
      <c r="B25" s="7">
        <v>2.3958333333333336E-3</v>
      </c>
      <c r="C25" s="1">
        <v>2.2400000000000002</v>
      </c>
      <c r="D25" s="7">
        <v>1.6666666666666668E-3</v>
      </c>
      <c r="E25" s="7">
        <f t="shared" si="0"/>
        <v>4.0625000000000001E-3</v>
      </c>
    </row>
    <row r="26" spans="1:5" x14ac:dyDescent="0.2">
      <c r="A26" s="1">
        <v>3.2</v>
      </c>
      <c r="B26" s="7">
        <v>2.3148148148148151E-3</v>
      </c>
      <c r="C26" s="1">
        <v>2.58</v>
      </c>
      <c r="D26" s="7">
        <v>2.0601851851851853E-3</v>
      </c>
      <c r="E26" s="7">
        <f t="shared" si="0"/>
        <v>4.3750000000000004E-3</v>
      </c>
    </row>
    <row r="27" spans="1:5" x14ac:dyDescent="0.2">
      <c r="A27" s="1">
        <v>6.36</v>
      </c>
      <c r="B27" s="7">
        <v>4.5833333333333334E-3</v>
      </c>
      <c r="C27" s="1">
        <v>5.16</v>
      </c>
      <c r="D27" s="7">
        <v>3.6574074074074074E-3</v>
      </c>
      <c r="E27" s="7">
        <f t="shared" si="0"/>
        <v>8.2407407407407412E-3</v>
      </c>
    </row>
    <row r="28" spans="1:5" x14ac:dyDescent="0.2">
      <c r="A28" s="1">
        <v>5.36</v>
      </c>
      <c r="B28" s="7">
        <v>3.8888888888888883E-3</v>
      </c>
      <c r="C28" s="1">
        <v>4.5199999999999996</v>
      </c>
      <c r="D28" s="7">
        <v>3.37962962962963E-3</v>
      </c>
      <c r="E28" s="7">
        <f t="shared" si="0"/>
        <v>7.2685185185185179E-3</v>
      </c>
    </row>
    <row r="29" spans="1:5" x14ac:dyDescent="0.2">
      <c r="A29" s="1">
        <v>0.56000000000000005</v>
      </c>
      <c r="B29" s="7">
        <v>6.4814814814814813E-4</v>
      </c>
      <c r="C29" s="1">
        <v>1.02</v>
      </c>
      <c r="D29" s="7">
        <v>7.175925925925927E-4</v>
      </c>
      <c r="E29" s="7">
        <f t="shared" si="0"/>
        <v>1.3657407407407407E-3</v>
      </c>
    </row>
    <row r="30" spans="1:5" x14ac:dyDescent="0.2">
      <c r="A30" s="1">
        <v>5.36</v>
      </c>
      <c r="B30" s="7">
        <v>3.8888888888888883E-3</v>
      </c>
      <c r="C30" s="1">
        <v>5.09</v>
      </c>
      <c r="D30" s="7">
        <v>3.5763888888888894E-3</v>
      </c>
      <c r="E30" s="7">
        <f t="shared" si="0"/>
        <v>7.4652777777777773E-3</v>
      </c>
    </row>
    <row r="31" spans="1:5" x14ac:dyDescent="0.2">
      <c r="A31" s="1">
        <v>3</v>
      </c>
      <c r="B31" s="7">
        <v>2.0833333333333333E-3</v>
      </c>
      <c r="C31" s="1">
        <v>3.15</v>
      </c>
      <c r="D31" s="7">
        <v>2.2569444444444447E-3</v>
      </c>
      <c r="E31" s="7">
        <f t="shared" si="0"/>
        <v>4.340277777777778E-3</v>
      </c>
    </row>
    <row r="32" spans="1:5" x14ac:dyDescent="0.2">
      <c r="A32" s="1">
        <v>4.26</v>
      </c>
      <c r="B32" s="7">
        <v>3.0787037037037037E-3</v>
      </c>
      <c r="C32" s="1">
        <v>3</v>
      </c>
      <c r="D32" s="7">
        <v>2.0833333333333333E-3</v>
      </c>
      <c r="E32" s="7">
        <f t="shared" si="0"/>
        <v>5.162037037037037E-3</v>
      </c>
    </row>
    <row r="33" spans="1:5" x14ac:dyDescent="0.2">
      <c r="A33" s="1">
        <v>2.23</v>
      </c>
      <c r="B33" s="7">
        <v>1.6550925925925926E-3</v>
      </c>
      <c r="C33" s="1">
        <v>1.2</v>
      </c>
      <c r="D33" s="7">
        <v>9.2592592592592585E-4</v>
      </c>
      <c r="E33" s="7">
        <f t="shared" si="0"/>
        <v>2.5810185185185185E-3</v>
      </c>
    </row>
    <row r="34" spans="1:5" x14ac:dyDescent="0.2">
      <c r="A34" s="1">
        <v>5.13</v>
      </c>
      <c r="B34" s="7">
        <v>3.6226851851851854E-3</v>
      </c>
      <c r="C34" s="1">
        <v>4.1500000000000004</v>
      </c>
      <c r="D34" s="7">
        <v>2.9513888888888888E-3</v>
      </c>
      <c r="E34" s="7">
        <f t="shared" si="0"/>
        <v>6.5740740740740742E-3</v>
      </c>
    </row>
    <row r="35" spans="1:5" x14ac:dyDescent="0.2">
      <c r="A35" s="1">
        <v>8.49</v>
      </c>
      <c r="B35" s="7">
        <v>6.122685185185185E-3</v>
      </c>
      <c r="C35" s="1">
        <v>8.52</v>
      </c>
      <c r="D35" s="7">
        <v>6.1574074074074074E-3</v>
      </c>
      <c r="E35" s="7">
        <f t="shared" si="0"/>
        <v>1.2280092592592592E-2</v>
      </c>
    </row>
    <row r="36" spans="1:5" x14ac:dyDescent="0.2">
      <c r="C36" s="1">
        <v>3.2</v>
      </c>
      <c r="D36" s="7">
        <v>2.3148148148148151E-3</v>
      </c>
      <c r="E36" s="7"/>
    </row>
    <row r="37" spans="1:5" x14ac:dyDescent="0.2">
      <c r="A37" s="1">
        <v>1.2</v>
      </c>
      <c r="B37" s="7">
        <v>9.2592592592592585E-4</v>
      </c>
      <c r="C37" s="1">
        <v>1.18</v>
      </c>
      <c r="D37" s="7">
        <v>9.0277777777777784E-4</v>
      </c>
      <c r="E37" s="7">
        <f t="shared" si="0"/>
        <v>1.8287037037037037E-3</v>
      </c>
    </row>
    <row r="38" spans="1:5" x14ac:dyDescent="0.2">
      <c r="A38" s="1">
        <v>1.4</v>
      </c>
      <c r="B38" s="7">
        <v>1.1574074074074073E-3</v>
      </c>
      <c r="C38" s="1">
        <v>1.55</v>
      </c>
      <c r="D38" s="7">
        <v>1.3310185185185185E-3</v>
      </c>
      <c r="E38" s="7">
        <f t="shared" si="0"/>
        <v>2.488425925925926E-3</v>
      </c>
    </row>
    <row r="39" spans="1:5" x14ac:dyDescent="0.2">
      <c r="A39" s="1">
        <v>1.3</v>
      </c>
      <c r="B39" s="7">
        <v>1.0416666666666667E-3</v>
      </c>
      <c r="E39" s="7"/>
    </row>
    <row r="40" spans="1:5" x14ac:dyDescent="0.2">
      <c r="A40" s="1">
        <v>6.25</v>
      </c>
      <c r="B40" s="7">
        <v>4.4560185185185189E-3</v>
      </c>
      <c r="E40" s="7"/>
    </row>
    <row r="41" spans="1:5" x14ac:dyDescent="0.2">
      <c r="A41" s="1">
        <v>0.55000000000000004</v>
      </c>
      <c r="B41" s="7">
        <v>6.3657407407407402E-4</v>
      </c>
      <c r="C41" s="1">
        <v>1.06</v>
      </c>
      <c r="D41" s="7">
        <v>7.6388888888888893E-4</v>
      </c>
      <c r="E41" s="7">
        <f t="shared" si="0"/>
        <v>1.4004629629629629E-3</v>
      </c>
    </row>
    <row r="42" spans="1:5" x14ac:dyDescent="0.2">
      <c r="A42" s="1">
        <v>2.12</v>
      </c>
      <c r="B42" s="7">
        <v>1.5277777777777779E-3</v>
      </c>
      <c r="C42" s="1">
        <v>2.1</v>
      </c>
      <c r="D42" s="7">
        <v>1.5046296296296294E-3</v>
      </c>
      <c r="E42" s="7">
        <f t="shared" si="0"/>
        <v>3.0324074074074073E-3</v>
      </c>
    </row>
    <row r="43" spans="1:5" x14ac:dyDescent="0.2">
      <c r="A43" s="1">
        <v>2.4500000000000002</v>
      </c>
      <c r="B43" s="7">
        <v>1.9097222222222222E-3</v>
      </c>
      <c r="C43" s="1">
        <v>2.0499999999999998</v>
      </c>
      <c r="D43" s="7">
        <v>1.4467592592592594E-3</v>
      </c>
      <c r="E43" s="7">
        <f t="shared" si="0"/>
        <v>3.3564814814814816E-3</v>
      </c>
    </row>
    <row r="44" spans="1:5" x14ac:dyDescent="0.2">
      <c r="A44" s="1">
        <v>5</v>
      </c>
      <c r="B44" s="7">
        <v>3.472222222222222E-3</v>
      </c>
      <c r="C44" s="1">
        <v>4.49</v>
      </c>
      <c r="D44" s="7">
        <v>3.3449074074074071E-3</v>
      </c>
      <c r="E44" s="7">
        <f t="shared" si="0"/>
        <v>6.8171296296296296E-3</v>
      </c>
    </row>
    <row r="45" spans="1:5" x14ac:dyDescent="0.2">
      <c r="A45" s="1">
        <v>3.22</v>
      </c>
      <c r="B45" s="7">
        <v>2.3379629629629631E-3</v>
      </c>
      <c r="C45" s="1">
        <v>1.56</v>
      </c>
      <c r="D45" s="7">
        <v>1.3425925925925925E-3</v>
      </c>
      <c r="E45" s="7">
        <f t="shared" si="0"/>
        <v>3.6805555555555558E-3</v>
      </c>
    </row>
    <row r="46" spans="1:5" x14ac:dyDescent="0.2">
      <c r="A46" s="1">
        <v>4.29</v>
      </c>
      <c r="B46" s="7">
        <v>3.1134259259259257E-3</v>
      </c>
      <c r="C46" s="1">
        <v>4.3600000000000003</v>
      </c>
      <c r="D46" s="7">
        <v>3.1944444444444442E-3</v>
      </c>
      <c r="E46" s="7">
        <f t="shared" si="0"/>
        <v>6.3078703703703699E-3</v>
      </c>
    </row>
    <row r="47" spans="1:5" x14ac:dyDescent="0.2">
      <c r="A47" s="1">
        <v>5.17</v>
      </c>
      <c r="B47" s="7">
        <v>3.6689814814814814E-3</v>
      </c>
      <c r="C47" s="1">
        <v>4.34</v>
      </c>
      <c r="D47" s="7">
        <v>3.1712962962962958E-3</v>
      </c>
      <c r="E47" s="7">
        <f t="shared" si="0"/>
        <v>6.8402777777777767E-3</v>
      </c>
    </row>
    <row r="48" spans="1:5" x14ac:dyDescent="0.2">
      <c r="A48" s="1">
        <v>2</v>
      </c>
      <c r="B48" s="7">
        <v>1.3888888888888889E-3</v>
      </c>
      <c r="C48" s="1">
        <v>2.04</v>
      </c>
      <c r="D48" s="7">
        <v>1.4351851851851854E-3</v>
      </c>
      <c r="E48" s="7">
        <f t="shared" si="0"/>
        <v>2.8240740740740743E-3</v>
      </c>
    </row>
    <row r="49" spans="1:5" x14ac:dyDescent="0.2">
      <c r="A49" s="1">
        <v>2.1</v>
      </c>
      <c r="B49" s="7">
        <v>1.5046296296296294E-3</v>
      </c>
      <c r="C49" s="1">
        <v>2.11</v>
      </c>
      <c r="D49" s="7">
        <v>1.5162037037037036E-3</v>
      </c>
      <c r="E49" s="7">
        <f t="shared" si="0"/>
        <v>3.0208333333333328E-3</v>
      </c>
    </row>
    <row r="50" spans="1:5" x14ac:dyDescent="0.2">
      <c r="A50" s="1">
        <v>2</v>
      </c>
      <c r="B50" s="7">
        <v>1.3888888888888889E-3</v>
      </c>
      <c r="C50" s="1">
        <v>1.3</v>
      </c>
      <c r="D50" s="7">
        <v>1.0416666666666667E-3</v>
      </c>
      <c r="E50" s="7">
        <f t="shared" si="0"/>
        <v>2.4305555555555556E-3</v>
      </c>
    </row>
    <row r="51" spans="1:5" x14ac:dyDescent="0.2">
      <c r="A51" s="1">
        <v>2.09</v>
      </c>
      <c r="B51" s="7">
        <v>1.4930555555555556E-3</v>
      </c>
      <c r="C51" s="1">
        <v>2.08</v>
      </c>
      <c r="D51" s="7">
        <v>1.4814814814814814E-3</v>
      </c>
      <c r="E51" s="7">
        <f t="shared" si="0"/>
        <v>2.9745370370370368E-3</v>
      </c>
    </row>
    <row r="52" spans="1:5" x14ac:dyDescent="0.2">
      <c r="A52" s="1">
        <v>5.33</v>
      </c>
      <c r="B52" s="7">
        <v>3.8541666666666668E-3</v>
      </c>
      <c r="C52" s="1">
        <v>5.21</v>
      </c>
      <c r="D52" s="7">
        <v>3.7152777777777774E-3</v>
      </c>
      <c r="E52" s="7">
        <f t="shared" si="0"/>
        <v>7.5694444444444446E-3</v>
      </c>
    </row>
    <row r="53" spans="1:5" x14ac:dyDescent="0.2">
      <c r="A53" s="1">
        <v>7.42</v>
      </c>
      <c r="B53" s="7">
        <v>5.347222222222222E-3</v>
      </c>
      <c r="C53" s="1">
        <v>5.34</v>
      </c>
      <c r="D53" s="7">
        <v>3.8657407407407408E-3</v>
      </c>
      <c r="E53" s="7">
        <f t="shared" si="0"/>
        <v>9.2129629629629627E-3</v>
      </c>
    </row>
    <row r="54" spans="1:5" x14ac:dyDescent="0.2">
      <c r="A54" s="1">
        <v>4.0999999999999996</v>
      </c>
      <c r="B54" s="7">
        <v>2.8935185185185188E-3</v>
      </c>
      <c r="C54" s="1">
        <v>2.38</v>
      </c>
      <c r="D54" s="7">
        <v>1.8287037037037037E-3</v>
      </c>
      <c r="E54" s="7">
        <f t="shared" si="0"/>
        <v>4.7222222222222223E-3</v>
      </c>
    </row>
    <row r="55" spans="1:5" x14ac:dyDescent="0.2">
      <c r="A55" s="1">
        <v>6.08</v>
      </c>
      <c r="B55" s="7">
        <v>4.2592592592592595E-3</v>
      </c>
      <c r="C55" s="1">
        <v>4.4800000000000004</v>
      </c>
      <c r="D55" s="7">
        <v>3.3333333333333335E-3</v>
      </c>
      <c r="E55" s="7">
        <f t="shared" si="0"/>
        <v>7.5925925925925935E-3</v>
      </c>
    </row>
    <row r="56" spans="1:5" x14ac:dyDescent="0.2">
      <c r="C56" s="1">
        <v>2.06</v>
      </c>
      <c r="D56" s="7">
        <v>1.4583333333333334E-3</v>
      </c>
      <c r="E56" s="7"/>
    </row>
    <row r="57" spans="1:5" x14ac:dyDescent="0.2">
      <c r="A57" s="1">
        <v>2.2400000000000002</v>
      </c>
      <c r="B57" s="7">
        <v>1.6666666666666668E-3</v>
      </c>
      <c r="C57" s="1">
        <v>2</v>
      </c>
      <c r="D57" s="7">
        <v>1.3888888888888889E-3</v>
      </c>
      <c r="E57" s="7">
        <f t="shared" si="0"/>
        <v>3.0555555555555557E-3</v>
      </c>
    </row>
    <row r="58" spans="1:5" x14ac:dyDescent="0.2">
      <c r="A58" s="1">
        <v>3.08</v>
      </c>
      <c r="B58" s="7">
        <v>2.1759259259259258E-3</v>
      </c>
      <c r="C58" s="1">
        <v>2.1</v>
      </c>
      <c r="D58" s="7">
        <v>1.5046296296296294E-3</v>
      </c>
      <c r="E58" s="7">
        <f t="shared" si="0"/>
        <v>3.680555555555555E-3</v>
      </c>
    </row>
    <row r="59" spans="1:5" x14ac:dyDescent="0.2">
      <c r="A59" s="1">
        <v>4.22</v>
      </c>
      <c r="B59" s="7">
        <v>3.0324074074074073E-3</v>
      </c>
      <c r="C59" s="1">
        <v>7.06</v>
      </c>
      <c r="D59" s="7">
        <v>4.9305555555555552E-3</v>
      </c>
      <c r="E59" s="7">
        <f t="shared" si="0"/>
        <v>7.9629629629629634E-3</v>
      </c>
    </row>
    <row r="60" spans="1:5" x14ac:dyDescent="0.2">
      <c r="E60" s="7"/>
    </row>
  </sheetData>
  <pageMargins left="0.7" right="0.7" top="0.75" bottom="0.75" header="0.3" footer="0.3"/>
  <pageSetup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zoomScale="98" zoomScaleNormal="98" workbookViewId="0">
      <selection activeCell="A6" sqref="A6"/>
    </sheetView>
  </sheetViews>
  <sheetFormatPr defaultRowHeight="12.75" x14ac:dyDescent="0.2"/>
  <sheetData>
    <row r="2" spans="1:5" x14ac:dyDescent="0.2">
      <c r="A2" t="s">
        <v>251</v>
      </c>
      <c r="B2">
        <v>250</v>
      </c>
      <c r="C2">
        <v>300</v>
      </c>
      <c r="D2">
        <v>13000</v>
      </c>
      <c r="E2">
        <v>26000</v>
      </c>
    </row>
    <row r="3" spans="1:5" ht="15" x14ac:dyDescent="0.2">
      <c r="A3" s="15" t="s">
        <v>248</v>
      </c>
    </row>
    <row r="4" spans="1:5" ht="15" x14ac:dyDescent="0.2">
      <c r="A4" s="15" t="s">
        <v>249</v>
      </c>
    </row>
    <row r="5" spans="1:5" ht="15" x14ac:dyDescent="0.2">
      <c r="A5" s="15" t="s">
        <v>264</v>
      </c>
    </row>
    <row r="6" spans="1:5" x14ac:dyDescent="0.2">
      <c r="A6" t="s">
        <v>250</v>
      </c>
    </row>
  </sheetData>
  <pageMargins left="0.7" right="0.7" top="0.75" bottom="0.75" header="0.3" footer="0.3"/>
  <pageSetup orientation="portrait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zoomScaleNormal="100" workbookViewId="0">
      <selection activeCell="E38" sqref="C38:E38"/>
    </sheetView>
  </sheetViews>
  <sheetFormatPr defaultRowHeight="12.75" x14ac:dyDescent="0.2"/>
  <cols>
    <col min="1" max="1" width="16.140625" customWidth="1"/>
    <col min="2" max="2" width="17.140625" customWidth="1"/>
    <col min="9" max="9" width="9.140625" style="22"/>
    <col min="12" max="12" width="17.28515625" customWidth="1"/>
    <col min="20" max="20" width="10.140625" customWidth="1"/>
    <col min="21" max="23" width="12.42578125" bestFit="1" customWidth="1"/>
  </cols>
  <sheetData>
    <row r="1" spans="1:24" x14ac:dyDescent="0.2">
      <c r="A1" s="31" t="s">
        <v>188</v>
      </c>
      <c r="B1" s="30"/>
      <c r="C1" s="30"/>
      <c r="D1" s="30"/>
      <c r="E1" s="30"/>
      <c r="F1" s="30"/>
      <c r="G1" s="10" t="s">
        <v>24</v>
      </c>
      <c r="H1" t="s">
        <v>107</v>
      </c>
      <c r="I1" s="22" t="s">
        <v>1</v>
      </c>
      <c r="J1" t="s">
        <v>101</v>
      </c>
      <c r="K1" t="s">
        <v>102</v>
      </c>
      <c r="L1" t="s">
        <v>113</v>
      </c>
      <c r="M1" t="s">
        <v>103</v>
      </c>
      <c r="N1" t="s">
        <v>104</v>
      </c>
      <c r="O1" t="s">
        <v>113</v>
      </c>
      <c r="P1" t="s">
        <v>105</v>
      </c>
      <c r="Q1" t="s">
        <v>106</v>
      </c>
      <c r="R1" t="s">
        <v>113</v>
      </c>
      <c r="U1" t="s">
        <v>108</v>
      </c>
      <c r="V1" t="s">
        <v>109</v>
      </c>
      <c r="W1" t="s">
        <v>95</v>
      </c>
    </row>
    <row r="2" spans="1:24" x14ac:dyDescent="0.2">
      <c r="A2" s="30" t="s">
        <v>60</v>
      </c>
      <c r="B2" s="30">
        <v>3.3662790698</v>
      </c>
      <c r="C2" s="30" t="s">
        <v>81</v>
      </c>
      <c r="D2" s="30">
        <v>6.1321534378000004</v>
      </c>
      <c r="E2" s="30"/>
      <c r="F2" s="30" t="s">
        <v>93</v>
      </c>
      <c r="G2" s="3">
        <v>1</v>
      </c>
      <c r="H2">
        <f>SVF!A2</f>
        <v>1</v>
      </c>
      <c r="I2" s="22" t="str">
        <f>SVF!B2</f>
        <v>OD</v>
      </c>
      <c r="J2">
        <f>IF(SVF!L2=1,IF(SVF!C2="", "",SVF!C2),"")</f>
        <v>3</v>
      </c>
      <c r="K2">
        <f>IF(SVF!L2=1,IF(SVF!D2="", "",SVF!D2),"")</f>
        <v>4</v>
      </c>
      <c r="L2">
        <f>IF(J2="","",IF(K2="","",(K2-J2)))</f>
        <v>1</v>
      </c>
      <c r="M2" t="str">
        <f>IF(SVF!L2=2,IF(SVF!C2="", "",SVF!C2),"")</f>
        <v/>
      </c>
      <c r="N2" t="str">
        <f>IF(SVF!L2=2,IF(SVF!D2="", "",SVF!D2),"")</f>
        <v/>
      </c>
      <c r="O2" t="str">
        <f>IF(M2="","",IF(N2="","",(N2-M2)))</f>
        <v/>
      </c>
      <c r="P2" t="str">
        <f>IF(SVF!L2=3,IF(SVF!C2="", "",SVF!C2),"")</f>
        <v/>
      </c>
      <c r="Q2" t="str">
        <f>IF(SVF!L2=3,IF(SVF!D2="", "",SVF!D2),"")</f>
        <v/>
      </c>
      <c r="R2" t="str">
        <f>IF(P2="","",IF(Q2="","",(Q2-P2)))</f>
        <v/>
      </c>
      <c r="T2" s="23" t="s">
        <v>100</v>
      </c>
      <c r="U2">
        <f>AVERAGE(J:J)</f>
        <v>2.389344262295082</v>
      </c>
      <c r="V2">
        <f>AVERAGE(M:M)</f>
        <v>-0.15</v>
      </c>
      <c r="W2">
        <f>AVERAGE(P:P)</f>
        <v>0.42307692307692307</v>
      </c>
    </row>
    <row r="3" spans="1:24" x14ac:dyDescent="0.2">
      <c r="A3" s="30" t="s">
        <v>59</v>
      </c>
      <c r="B3" s="30">
        <v>2.6104651162999999</v>
      </c>
      <c r="C3" s="30" t="s">
        <v>82</v>
      </c>
      <c r="D3" s="30">
        <v>42</v>
      </c>
      <c r="E3" s="30"/>
      <c r="F3" s="30"/>
      <c r="G3" s="3">
        <v>1</v>
      </c>
      <c r="H3">
        <f>SVF!A3</f>
        <v>1</v>
      </c>
      <c r="I3" s="22" t="str">
        <f>SVF!B3</f>
        <v>OS</v>
      </c>
      <c r="J3">
        <f>IF(SVF!L3=1,IF(SVF!C3="", "",SVF!C3),"")</f>
        <v>3</v>
      </c>
      <c r="K3">
        <f>IF(SVF!L3=1,IF(SVF!D3="", "",SVF!D3),"")</f>
        <v>4</v>
      </c>
      <c r="L3">
        <f t="shared" ref="L3:L5" si="0">IF(J3="","",IF(K3="","",(K3-J3)))</f>
        <v>1</v>
      </c>
      <c r="M3" t="str">
        <f>IF(SVF!L3=2,IF(SVF!C3="", "",SVF!C3),"")</f>
        <v/>
      </c>
      <c r="N3" t="str">
        <f>IF(SVF!L3=2,IF(SVF!D3="", "",SVF!D3),"")</f>
        <v/>
      </c>
      <c r="O3" t="str">
        <f t="shared" ref="O3:O66" si="1">IF(M3="","",IF(N3="","",(N3-M3)))</f>
        <v/>
      </c>
      <c r="P3" t="str">
        <f>IF(SVF!L3=3,IF(SVF!C3="", "",SVF!C3),"")</f>
        <v/>
      </c>
      <c r="Q3" t="str">
        <f>IF(SVF!L3=3,IF(SVF!D3="", "",SVF!D3),"")</f>
        <v/>
      </c>
      <c r="R3" t="str">
        <f t="shared" ref="R3:R66" si="2">IF(P3="","",IF(Q3="","",(Q3-P3)))</f>
        <v/>
      </c>
      <c r="T3" t="s">
        <v>111</v>
      </c>
      <c r="U3">
        <f>STDEV(J:J)</f>
        <v>1.0815927589323366</v>
      </c>
      <c r="V3">
        <f>STDEV(M:M)</f>
        <v>1.6024070435857842</v>
      </c>
      <c r="W3">
        <f>STDEV(P:P)</f>
        <v>0.81256163474311915</v>
      </c>
    </row>
    <row r="4" spans="1:24" x14ac:dyDescent="0.2">
      <c r="A4" s="30" t="s">
        <v>83</v>
      </c>
      <c r="B4" s="30">
        <v>0.75581395350000002</v>
      </c>
      <c r="C4" s="38" t="s">
        <v>84</v>
      </c>
      <c r="D4" s="38"/>
      <c r="E4" s="38" t="s">
        <v>85</v>
      </c>
      <c r="F4" s="30"/>
      <c r="G4" s="3">
        <v>1</v>
      </c>
      <c r="H4">
        <f>SVF!A4</f>
        <v>3</v>
      </c>
      <c r="I4" s="22" t="str">
        <f>SVF!B4</f>
        <v>OD</v>
      </c>
      <c r="J4">
        <f>IF(SVF!L4=1,IF(SVF!C4="", "",SVF!C4),"")</f>
        <v>1</v>
      </c>
      <c r="K4">
        <f>IF(SVF!L4=1,IF(SVF!D4="", "",SVF!D4),"")</f>
        <v>2</v>
      </c>
      <c r="L4">
        <f t="shared" si="0"/>
        <v>1</v>
      </c>
      <c r="M4" t="str">
        <f>IF(SVF!L4=2,IF(SVF!C4="", "",SVF!C4),"")</f>
        <v/>
      </c>
      <c r="N4" t="str">
        <f>IF(SVF!L4=2,IF(SVF!D4="", "",SVF!D4),"")</f>
        <v/>
      </c>
      <c r="O4" t="str">
        <f t="shared" si="1"/>
        <v/>
      </c>
      <c r="P4" t="str">
        <f>IF(SVF!L4=3,IF(SVF!C4="", "",SVF!C4),"")</f>
        <v/>
      </c>
      <c r="Q4" t="str">
        <f>IF(SVF!L4=3,IF(SVF!D4="", "",SVF!D4),"")</f>
        <v/>
      </c>
      <c r="R4" t="str">
        <f t="shared" si="2"/>
        <v/>
      </c>
      <c r="T4" t="s">
        <v>115</v>
      </c>
      <c r="U4">
        <f>U3/SQRT(U12)</f>
        <v>0.1384837622117093</v>
      </c>
      <c r="V4">
        <f>V3/SQRT(V12)</f>
        <v>0.32048140871715686</v>
      </c>
      <c r="W4">
        <f>W3/SQRT(W12)</f>
        <v>0.2253640491185506</v>
      </c>
    </row>
    <row r="5" spans="1:24" x14ac:dyDescent="0.2">
      <c r="A5" s="30" t="s">
        <v>86</v>
      </c>
      <c r="B5" s="30">
        <v>0.12325424679999999</v>
      </c>
      <c r="C5" s="30" t="s">
        <v>87</v>
      </c>
      <c r="D5" s="30"/>
      <c r="E5" s="30" t="s">
        <v>85</v>
      </c>
      <c r="F5" s="30"/>
      <c r="G5" s="3">
        <v>1</v>
      </c>
      <c r="H5">
        <f>SVF!A5</f>
        <v>3</v>
      </c>
      <c r="I5" s="22" t="str">
        <f>SVF!B5</f>
        <v>OS</v>
      </c>
      <c r="J5">
        <f>IF(SVF!L5=1,IF(SVF!C5="", "",SVF!C5),"")</f>
        <v>1</v>
      </c>
      <c r="K5">
        <f>IF(SVF!L5=1,IF(SVF!D5="", "",SVF!D5),"")</f>
        <v>2</v>
      </c>
      <c r="L5">
        <f t="shared" si="0"/>
        <v>1</v>
      </c>
      <c r="M5" t="str">
        <f>IF(SVF!L5=2,IF(SVF!C5="", "",SVF!C5),"")</f>
        <v/>
      </c>
      <c r="N5" t="str">
        <f>IF(SVF!L5=2,IF(SVF!D5="", "",SVF!D5),"")</f>
        <v/>
      </c>
      <c r="O5" t="str">
        <f t="shared" si="1"/>
        <v/>
      </c>
      <c r="P5" t="str">
        <f>IF(SVF!L5=3,IF(SVF!C5="", "",SVF!C5),"")</f>
        <v/>
      </c>
      <c r="Q5" t="str">
        <f>IF(SVF!L5=3,IF(SVF!D5="", "",SVF!D5),"")</f>
        <v/>
      </c>
      <c r="R5" t="str">
        <f t="shared" si="2"/>
        <v/>
      </c>
      <c r="T5" s="23" t="s">
        <v>110</v>
      </c>
      <c r="U5">
        <f>AVERAGE(K:K)</f>
        <v>3.3662790697674421</v>
      </c>
      <c r="V5">
        <f>AVERAGE(N:N)</f>
        <v>2.93</v>
      </c>
      <c r="W5">
        <f>AVERAGE(Q:Q)</f>
        <v>3.1923076923076925</v>
      </c>
    </row>
    <row r="6" spans="1:24" x14ac:dyDescent="0.2">
      <c r="A6" s="30" t="s">
        <v>88</v>
      </c>
      <c r="B6" s="30">
        <v>1.0045510938</v>
      </c>
      <c r="C6" s="30" t="s">
        <v>89</v>
      </c>
      <c r="D6" s="30"/>
      <c r="E6" s="30">
        <v>1</v>
      </c>
      <c r="F6" s="30"/>
      <c r="G6" s="3">
        <v>1</v>
      </c>
      <c r="H6">
        <f>SVF!A6</f>
        <v>6</v>
      </c>
      <c r="I6" s="22" t="str">
        <f>SVF!B6</f>
        <v>OD</v>
      </c>
      <c r="J6">
        <f>IF(SVF!L6=1,IF(SVF!C6="", "",SVF!C6),"")</f>
        <v>4</v>
      </c>
      <c r="K6" t="str">
        <f>IF(SVF!L6=1,IF(SVF!D6="", "",SVF!D6),"")</f>
        <v/>
      </c>
      <c r="L6" t="str">
        <f>IF(J6="","",IF(K6="","",(K6-J6)))</f>
        <v/>
      </c>
      <c r="M6" t="str">
        <f>IF(SVF!L6=2,IF(SVF!C6="", "",SVF!C6),"")</f>
        <v/>
      </c>
      <c r="N6" t="str">
        <f>IF(SVF!L6=2,IF(SVF!D6="", "",SVF!D6),"")</f>
        <v/>
      </c>
      <c r="O6" t="str">
        <f t="shared" si="1"/>
        <v/>
      </c>
      <c r="P6" t="str">
        <f>IF(SVF!L6=3,IF(SVF!C6="", "",SVF!C6),"")</f>
        <v/>
      </c>
      <c r="Q6" t="str">
        <f>IF(SVF!L6=3,IF(SVF!D6="", "",SVF!D6),"")</f>
        <v/>
      </c>
      <c r="R6" t="str">
        <f t="shared" si="2"/>
        <v/>
      </c>
      <c r="T6" t="s">
        <v>111</v>
      </c>
      <c r="U6">
        <f>STDEV(K:K)</f>
        <v>0.94860304120827632</v>
      </c>
      <c r="V6">
        <f>STDEV(N:N)</f>
        <v>0.74833147735478822</v>
      </c>
      <c r="W6">
        <f>STDEV(Q:Q)</f>
        <v>0.72279727270922778</v>
      </c>
    </row>
    <row r="7" spans="1:24" x14ac:dyDescent="0.2">
      <c r="A7" s="30" t="s">
        <v>90</v>
      </c>
      <c r="B7" s="30">
        <v>0.50707681309999997</v>
      </c>
      <c r="C7" s="30"/>
      <c r="D7" s="30"/>
      <c r="E7" s="30"/>
      <c r="F7" s="30"/>
      <c r="G7" s="3">
        <v>1</v>
      </c>
      <c r="H7">
        <f>SVF!A7</f>
        <v>6</v>
      </c>
      <c r="I7" s="22" t="str">
        <f>SVF!B7</f>
        <v>OS</v>
      </c>
      <c r="J7">
        <f>IF(SVF!L7=1,IF(SVF!C7="", "",SVF!C7),"")</f>
        <v>3.5</v>
      </c>
      <c r="K7" t="str">
        <f>IF(SVF!L7=1,IF(SVF!D7="", "",SVF!D7),"")</f>
        <v/>
      </c>
      <c r="L7" t="str">
        <f>IF(J7="","",IF(K7="","",(K7-J7)))</f>
        <v/>
      </c>
      <c r="M7" t="str">
        <f>IF(SVF!L7=2,IF(SVF!C7="", "",SVF!C7),"")</f>
        <v/>
      </c>
      <c r="N7" t="str">
        <f>IF(SVF!L7=2,IF(SVF!D7="", "",SVF!D7),"")</f>
        <v/>
      </c>
      <c r="O7" t="str">
        <f t="shared" si="1"/>
        <v/>
      </c>
      <c r="P7" t="str">
        <f>IF(SVF!L7=3,IF(SVF!C7="", "",SVF!C7),"")</f>
        <v/>
      </c>
      <c r="Q7" t="str">
        <f>IF(SVF!L7=3,IF(SVF!D7="", "",SVF!D7),"")</f>
        <v/>
      </c>
      <c r="R7" t="str">
        <f t="shared" si="2"/>
        <v/>
      </c>
      <c r="T7" t="s">
        <v>115</v>
      </c>
      <c r="U7">
        <f>U6/SQRT(U12)</f>
        <v>0.12145617369116406</v>
      </c>
      <c r="V7">
        <f>V6/SQRT(V12)</f>
        <v>0.14966629547095764</v>
      </c>
      <c r="W7">
        <f>W6/SQRT(W12)</f>
        <v>0.20046789450143457</v>
      </c>
    </row>
    <row r="8" spans="1:24" x14ac:dyDescent="0.2">
      <c r="A8" s="30" t="s">
        <v>91</v>
      </c>
      <c r="B8" s="30">
        <v>43</v>
      </c>
      <c r="C8" s="30"/>
      <c r="D8" s="30"/>
      <c r="E8" s="30"/>
      <c r="F8" s="30"/>
      <c r="G8" s="3">
        <v>1</v>
      </c>
      <c r="H8">
        <f>SVF!A8</f>
        <v>7</v>
      </c>
      <c r="I8" s="22" t="str">
        <f>SVF!B8</f>
        <v>OD</v>
      </c>
      <c r="J8">
        <f>IF(SVF!L8=1,IF(SVF!C8="", "",SVF!C8),"")</f>
        <v>3.5</v>
      </c>
      <c r="K8">
        <f>IF(SVF!L8=1,IF(SVF!D8="", "",SVF!D8),"")</f>
        <v>5</v>
      </c>
      <c r="L8">
        <f t="shared" ref="L8" si="3">IF(J8="","",IF(K8="","",(K8-J8)))</f>
        <v>1.5</v>
      </c>
      <c r="M8" t="str">
        <f>IF(SVF!L8=2,IF(SVF!C8="", "",SVF!C8),"")</f>
        <v/>
      </c>
      <c r="N8" t="str">
        <f>IF(SVF!L8=2,IF(SVF!D8="", "",SVF!D8),"")</f>
        <v/>
      </c>
      <c r="O8" t="str">
        <f t="shared" si="1"/>
        <v/>
      </c>
      <c r="P8" t="str">
        <f>IF(SVF!L8=3,IF(SVF!C8="", "",SVF!C8),"")</f>
        <v/>
      </c>
      <c r="Q8" t="str">
        <f>IF(SVF!L8=3,IF(SVF!D8="", "",SVF!D8),"")</f>
        <v/>
      </c>
      <c r="R8" t="str">
        <f t="shared" si="2"/>
        <v/>
      </c>
      <c r="S8">
        <v>0.98</v>
      </c>
      <c r="T8" s="23" t="s">
        <v>112</v>
      </c>
      <c r="U8">
        <f>AVERAGE(L:L)</f>
        <v>1.7159090909090908</v>
      </c>
      <c r="V8">
        <f>AVERAGE(O:O)</f>
        <v>3.9230769230769229</v>
      </c>
      <c r="W8">
        <f>AVERAGE(R:R)</f>
        <v>3.5</v>
      </c>
    </row>
    <row r="9" spans="1:24" x14ac:dyDescent="0.2">
      <c r="A9" s="30" t="s">
        <v>92</v>
      </c>
      <c r="B9" s="30">
        <v>0.61707686979999998</v>
      </c>
      <c r="C9" s="30"/>
      <c r="D9" s="30"/>
      <c r="E9" s="30"/>
      <c r="F9" s="30"/>
      <c r="G9" s="3">
        <v>1</v>
      </c>
      <c r="H9">
        <f>SVF!A9</f>
        <v>7</v>
      </c>
      <c r="I9" s="22" t="str">
        <f>SVF!B9</f>
        <v>OS</v>
      </c>
      <c r="J9">
        <f>IF(SVF!L9=1,IF(SVF!C9="", "",SVF!C9),"")</f>
        <v>3.5</v>
      </c>
      <c r="K9">
        <f>IF(SVF!L9=1,IF(SVF!D9="", "",SVF!D9),"")</f>
        <v>5</v>
      </c>
      <c r="L9">
        <f>IF(J9="","",IF(K9="","",(K9-J9)))</f>
        <v>1.5</v>
      </c>
      <c r="M9" t="str">
        <f>IF(SVF!L9=2,IF(SVF!C9="", "",SVF!C9),"")</f>
        <v/>
      </c>
      <c r="N9" t="str">
        <f>IF(SVF!L9=2,IF(SVF!D9="", "",SVF!D9),"")</f>
        <v/>
      </c>
      <c r="O9" t="str">
        <f t="shared" si="1"/>
        <v/>
      </c>
      <c r="P9" t="str">
        <f>IF(SVF!L9=3,IF(SVF!C9="", "",SVF!C9),"")</f>
        <v/>
      </c>
      <c r="Q9" t="str">
        <f>IF(SVF!L9=3,IF(SVF!D9="", "",SVF!D9),"")</f>
        <v/>
      </c>
      <c r="R9" t="str">
        <f t="shared" si="2"/>
        <v/>
      </c>
      <c r="T9" t="s">
        <v>111</v>
      </c>
      <c r="U9">
        <f>STDEV(L:L)</f>
        <v>6.418448815784517</v>
      </c>
      <c r="V9">
        <f>STDEV(O:O)</f>
        <v>4.5633152590902757</v>
      </c>
      <c r="W9">
        <f>STDEV(R:R)</f>
        <v>2.9417420270727606</v>
      </c>
    </row>
    <row r="10" spans="1:24" x14ac:dyDescent="0.2">
      <c r="A10" s="30"/>
      <c r="B10" s="30" t="s">
        <v>59</v>
      </c>
      <c r="C10" s="30" t="s">
        <v>60</v>
      </c>
      <c r="D10" s="30"/>
      <c r="E10" s="30"/>
      <c r="F10" s="30"/>
      <c r="G10" s="3">
        <v>1</v>
      </c>
      <c r="H10">
        <f>SVF!A10</f>
        <v>9</v>
      </c>
      <c r="I10" s="22" t="str">
        <f>SVF!B10</f>
        <v>OD</v>
      </c>
      <c r="J10">
        <f>IF(SVF!L10=1,IF(SVF!C10="", "",SVF!C10),"")</f>
        <v>2.5</v>
      </c>
      <c r="K10">
        <f>IF(SVF!L10=1,IF(SVF!D10="", "",SVF!D10),"")</f>
        <v>4</v>
      </c>
      <c r="L10">
        <f t="shared" ref="L10:L12" si="4">IF(J10="","",IF(K10="","",(K10-J10)))</f>
        <v>1.5</v>
      </c>
      <c r="M10" t="str">
        <f>IF(SVF!L10=2,IF(SVF!C10="", "",SVF!C10),"")</f>
        <v/>
      </c>
      <c r="N10" t="str">
        <f>IF(SVF!L10=2,IF(SVF!D10="", "",SVF!D10),"")</f>
        <v/>
      </c>
      <c r="O10" t="str">
        <f t="shared" si="1"/>
        <v/>
      </c>
      <c r="P10" t="str">
        <f>IF(SVF!L10=3,IF(SVF!C10="", "",SVF!C10),"")</f>
        <v/>
      </c>
      <c r="Q10" t="str">
        <f>IF(SVF!L10=3,IF(SVF!D10="", "",SVF!D10),"")</f>
        <v/>
      </c>
      <c r="R10" t="str">
        <f t="shared" si="2"/>
        <v/>
      </c>
      <c r="T10" t="s">
        <v>115</v>
      </c>
      <c r="U10">
        <f>U9/SQRT(U12)</f>
        <v>0.82179816038204057</v>
      </c>
      <c r="V10">
        <f>V9/SQRT(V12)</f>
        <v>0.91266305181805518</v>
      </c>
      <c r="W10">
        <f>W9/SQRT(W12)</f>
        <v>0.81589243983063187</v>
      </c>
    </row>
    <row r="11" spans="1:24" x14ac:dyDescent="0.2">
      <c r="A11" s="30" t="s">
        <v>183</v>
      </c>
      <c r="B11" s="30">
        <v>2.6104651162999999</v>
      </c>
      <c r="C11" s="30">
        <v>3.3662790698</v>
      </c>
      <c r="D11" s="30"/>
      <c r="E11" s="30"/>
      <c r="F11" s="30"/>
      <c r="G11" s="3">
        <v>1</v>
      </c>
      <c r="H11">
        <f>SVF!A11</f>
        <v>9</v>
      </c>
      <c r="I11" s="22" t="str">
        <f>SVF!B11</f>
        <v>OS</v>
      </c>
      <c r="J11">
        <f>IF(SVF!L11=1,IF(SVF!C11="", "",SVF!C11),"")</f>
        <v>2.75</v>
      </c>
      <c r="K11">
        <f>IF(SVF!L11=1,IF(SVF!D11="", "",SVF!D11),"")</f>
        <v>4</v>
      </c>
      <c r="L11">
        <f t="shared" si="4"/>
        <v>1.25</v>
      </c>
      <c r="M11" t="str">
        <f>IF(SVF!L11=2,IF(SVF!C11="", "",SVF!C11),"")</f>
        <v/>
      </c>
      <c r="N11" t="str">
        <f>IF(SVF!L11=2,IF(SVF!D11="", "",SVF!D11),"")</f>
        <v/>
      </c>
      <c r="O11" t="str">
        <f t="shared" si="1"/>
        <v/>
      </c>
      <c r="P11" t="str">
        <f>IF(SVF!L11=3,IF(SVF!C11="", "",SVF!C11),"")</f>
        <v/>
      </c>
      <c r="Q11" t="str">
        <f>IF(SVF!L11=3,IF(SVF!D11="", "",SVF!D11),"")</f>
        <v/>
      </c>
      <c r="R11" t="str">
        <f t="shared" si="2"/>
        <v/>
      </c>
    </row>
    <row r="12" spans="1:24" x14ac:dyDescent="0.2">
      <c r="A12" s="30" t="s">
        <v>184</v>
      </c>
      <c r="B12" s="30">
        <v>0.89526254059999999</v>
      </c>
      <c r="C12" s="30">
        <v>0.94860304120000005</v>
      </c>
      <c r="D12" s="30"/>
      <c r="E12" s="30"/>
      <c r="F12" s="30"/>
      <c r="G12" s="3">
        <v>2</v>
      </c>
      <c r="H12">
        <f>SVF!A12</f>
        <v>12</v>
      </c>
      <c r="I12" s="22" t="str">
        <f>SVF!B12</f>
        <v>OS</v>
      </c>
      <c r="J12">
        <f>IF(SVF!L12=1,IF(SVF!C12="", "",SVF!C12),"")</f>
        <v>1</v>
      </c>
      <c r="K12">
        <f>IF(SVF!L12=1,IF(SVF!D12="", "",SVF!D12),"")</f>
        <v>2</v>
      </c>
      <c r="L12">
        <f t="shared" si="4"/>
        <v>1</v>
      </c>
      <c r="M12" t="str">
        <f>IF(SVF!L12=2,IF(SVF!C12="", "",SVF!C12),"")</f>
        <v/>
      </c>
      <c r="N12" t="str">
        <f>IF(SVF!L12=2,IF(SVF!D12="", "",SVF!D12),"")</f>
        <v/>
      </c>
      <c r="O12" t="str">
        <f t="shared" si="1"/>
        <v/>
      </c>
      <c r="P12" t="str">
        <f>IF(SVF!L12=3,IF(SVF!C12="", "",SVF!C12),"")</f>
        <v/>
      </c>
      <c r="Q12" t="str">
        <f>IF(SVF!L12=3,IF(SVF!D12="", "",SVF!D12),"")</f>
        <v/>
      </c>
      <c r="R12" t="str">
        <f t="shared" si="2"/>
        <v/>
      </c>
      <c r="T12" t="s">
        <v>114</v>
      </c>
      <c r="U12" s="5">
        <f>COUNT(J:J)</f>
        <v>61</v>
      </c>
      <c r="V12">
        <f>COUNT(M:M)</f>
        <v>25</v>
      </c>
      <c r="W12">
        <f>COUNT(P:P)</f>
        <v>13</v>
      </c>
      <c r="X12">
        <f>SUM(U12:W12)</f>
        <v>99</v>
      </c>
    </row>
    <row r="13" spans="1:24" x14ac:dyDescent="0.2">
      <c r="A13" s="30" t="s">
        <v>185</v>
      </c>
      <c r="B13" s="30">
        <v>0.1365262575</v>
      </c>
      <c r="C13" s="30">
        <v>0.14466060759999999</v>
      </c>
      <c r="D13" s="30"/>
      <c r="E13" s="30"/>
      <c r="F13" s="30"/>
      <c r="G13" s="3">
        <v>2</v>
      </c>
      <c r="H13">
        <f>SVF!A13</f>
        <v>13</v>
      </c>
      <c r="I13" s="22" t="str">
        <f>SVF!B13</f>
        <v>OD</v>
      </c>
      <c r="J13">
        <f>IF(SVF!L13=1,IF(SVF!C13="", "",SVF!C13),"")</f>
        <v>3</v>
      </c>
      <c r="K13">
        <f>IF(SVF!L13=1,IF(SVF!D13="", "",SVF!D13),"")</f>
        <v>2</v>
      </c>
      <c r="L13">
        <f>IF(J13="","",IF(K13="","",(K13-J13)))</f>
        <v>-1</v>
      </c>
      <c r="M13" t="str">
        <f>IF(SVF!L13=2,IF(SVF!C13="", "",SVF!C13),"")</f>
        <v/>
      </c>
      <c r="N13" t="str">
        <f>IF(SVF!L13=2,IF(SVF!D13="", "",SVF!D13),"")</f>
        <v/>
      </c>
      <c r="O13" t="str">
        <f t="shared" si="1"/>
        <v/>
      </c>
      <c r="P13" t="str">
        <f>IF(SVF!L13=3,IF(SVF!C13="", "",SVF!C13),"")</f>
        <v/>
      </c>
      <c r="Q13" t="str">
        <f>IF(SVF!L13=3,IF(SVF!D13="", "",SVF!D13),"")</f>
        <v/>
      </c>
      <c r="R13" t="str">
        <f t="shared" si="2"/>
        <v/>
      </c>
      <c r="T13" t="s">
        <v>123</v>
      </c>
      <c r="U13">
        <v>43</v>
      </c>
      <c r="V13">
        <v>25</v>
      </c>
      <c r="W13">
        <v>13</v>
      </c>
      <c r="X13">
        <v>81</v>
      </c>
    </row>
    <row r="14" spans="1:24" x14ac:dyDescent="0.2">
      <c r="A14" s="30" t="s">
        <v>186</v>
      </c>
      <c r="B14" s="30">
        <v>2.8859862585</v>
      </c>
      <c r="C14" s="30">
        <v>3.6582159951</v>
      </c>
      <c r="D14" s="30"/>
      <c r="E14" s="30"/>
      <c r="F14" s="30"/>
      <c r="G14" s="3">
        <v>3</v>
      </c>
      <c r="H14">
        <f>SVF!A14</f>
        <v>13</v>
      </c>
      <c r="I14" s="22" t="str">
        <f>SVF!B14</f>
        <v>OS</v>
      </c>
      <c r="J14">
        <f>IF(SVF!L14=1,IF(SVF!C14="", "",SVF!C14),"")</f>
        <v>2.75</v>
      </c>
      <c r="K14">
        <f>IF(SVF!L14=1,IF(SVF!D14="", "",SVF!D14),"")</f>
        <v>1</v>
      </c>
      <c r="L14">
        <f>IF(J14="","",IF(K14="","",(K14-J14)))</f>
        <v>-1.75</v>
      </c>
      <c r="M14" t="str">
        <f>IF(SVF!L14=2,IF(SVF!C14="", "",SVF!C14),"")</f>
        <v/>
      </c>
      <c r="N14" t="str">
        <f>IF(SVF!L14=2,IF(SVF!D14="", "",SVF!D14),"")</f>
        <v/>
      </c>
      <c r="O14" t="str">
        <f t="shared" si="1"/>
        <v/>
      </c>
      <c r="P14" t="str">
        <f>IF(SVF!L14=3,IF(SVF!C14="", "",SVF!C14),"")</f>
        <v/>
      </c>
      <c r="Q14" t="str">
        <f>IF(SVF!L14=3,IF(SVF!D14="", "",SVF!D14),"")</f>
        <v/>
      </c>
      <c r="R14" t="str">
        <f t="shared" si="2"/>
        <v/>
      </c>
    </row>
    <row r="15" spans="1:24" x14ac:dyDescent="0.2">
      <c r="A15" s="30" t="s">
        <v>187</v>
      </c>
      <c r="B15" s="30">
        <v>2.3349439740000002</v>
      </c>
      <c r="C15" s="30">
        <v>3.0743421445000001</v>
      </c>
      <c r="D15" s="30"/>
      <c r="E15" s="30"/>
      <c r="F15" s="30"/>
      <c r="G15" s="3">
        <v>1</v>
      </c>
      <c r="H15">
        <f>SVF!A15</f>
        <v>14</v>
      </c>
      <c r="I15" s="22" t="str">
        <f>SVF!B15</f>
        <v>OD</v>
      </c>
      <c r="J15">
        <f>IF(SVF!L15=1,IF(SVF!C15="", "",SVF!C15),"")</f>
        <v>2</v>
      </c>
      <c r="K15">
        <f>IF(SVF!L15=1,IF(SVF!D15="", "",SVF!D15),"")</f>
        <v>3.5</v>
      </c>
      <c r="L15">
        <f>IF(J15="","",IF(K15="","",(K15-J15)))</f>
        <v>1.5</v>
      </c>
      <c r="M15" t="str">
        <f>IF(SVF!L15=2,IF(SVF!C15="", "",SVF!C15),"")</f>
        <v/>
      </c>
      <c r="N15" t="str">
        <f>IF(SVF!L15=2,IF(SVF!D15="", "",SVF!D15),"")</f>
        <v/>
      </c>
      <c r="O15" t="str">
        <f t="shared" si="1"/>
        <v/>
      </c>
      <c r="P15" t="str">
        <f>IF(SVF!L15=3,IF(SVF!C15="", "",SVF!C15),"")</f>
        <v/>
      </c>
      <c r="Q15" t="str">
        <f>IF(SVF!L15=3,IF(SVF!D15="", "",SVF!D15),"")</f>
        <v/>
      </c>
      <c r="R15" t="str">
        <f t="shared" si="2"/>
        <v/>
      </c>
      <c r="T15" t="s">
        <v>116</v>
      </c>
      <c r="U15">
        <f>TTEST(J:J,K:K,1,1)</f>
        <v>1.2817649430496335E-7</v>
      </c>
      <c r="V15">
        <f>TTEST(M:M,N:N,1,1)</f>
        <v>3.2581273843159053E-10</v>
      </c>
      <c r="W15">
        <f>TTEST(P:P,Q:Q,1,1)</f>
        <v>6.666760802077008E-7</v>
      </c>
    </row>
    <row r="16" spans="1:24" x14ac:dyDescent="0.2">
      <c r="A16" s="30" t="s">
        <v>91</v>
      </c>
      <c r="B16" s="30">
        <v>43</v>
      </c>
      <c r="C16" s="30">
        <v>43</v>
      </c>
      <c r="D16" s="30"/>
      <c r="E16" s="30"/>
      <c r="F16" s="30"/>
      <c r="G16" s="3">
        <v>1</v>
      </c>
      <c r="H16">
        <f>SVF!A16</f>
        <v>14</v>
      </c>
      <c r="I16" s="22" t="str">
        <f>SVF!B16</f>
        <v>OS</v>
      </c>
      <c r="J16">
        <f>IF(SVF!L16=1,IF(SVF!C16="", "",SVF!C16),"")</f>
        <v>2</v>
      </c>
      <c r="K16">
        <f>IF(SVF!L16=1,IF(SVF!D16="", "",SVF!D16),"")</f>
        <v>3</v>
      </c>
      <c r="L16">
        <f t="shared" ref="L16:L79" si="5">IF(J16="","",IF(K16="","",(K16-J16)))</f>
        <v>1</v>
      </c>
      <c r="M16" t="str">
        <f>IF(SVF!L16=2,IF(SVF!C16="", "",SVF!C16),"")</f>
        <v/>
      </c>
      <c r="N16" t="str">
        <f>IF(SVF!L16=2,IF(SVF!D16="", "",SVF!D16),"")</f>
        <v/>
      </c>
      <c r="O16" t="str">
        <f t="shared" si="1"/>
        <v/>
      </c>
      <c r="P16" t="str">
        <f>IF(SVF!L16=3,IF(SVF!C16="", "",SVF!C16),"")</f>
        <v/>
      </c>
      <c r="Q16" t="str">
        <f>IF(SVF!L16=3,IF(SVF!D16="", "",SVF!D16),"")</f>
        <v/>
      </c>
      <c r="R16" t="str">
        <f t="shared" si="2"/>
        <v/>
      </c>
    </row>
    <row r="17" spans="1:18" x14ac:dyDescent="0.2">
      <c r="A17" s="30"/>
      <c r="B17" s="30"/>
      <c r="C17" s="30"/>
      <c r="D17" s="30"/>
      <c r="E17" s="30"/>
      <c r="F17" s="30"/>
      <c r="G17" s="3">
        <v>1</v>
      </c>
      <c r="H17">
        <f>SVF!A17</f>
        <v>16</v>
      </c>
      <c r="I17" s="22" t="str">
        <f>SVF!B17</f>
        <v>OD</v>
      </c>
      <c r="J17">
        <f>IF(SVF!L17=1,IF(SVF!C17="", "",SVF!C17),"")</f>
        <v>3</v>
      </c>
      <c r="K17">
        <f>IF(SVF!L17=1,IF(SVF!D17="", "",SVF!D17),"")</f>
        <v>5</v>
      </c>
      <c r="L17">
        <f t="shared" si="5"/>
        <v>2</v>
      </c>
      <c r="M17" t="str">
        <f>IF(SVF!L17=2,IF(SVF!C17="", "",SVF!C17),"")</f>
        <v/>
      </c>
      <c r="N17" t="str">
        <f>IF(SVF!L17=2,IF(SVF!D17="", "",SVF!D17),"")</f>
        <v/>
      </c>
      <c r="O17" t="str">
        <f t="shared" si="1"/>
        <v/>
      </c>
      <c r="P17" t="str">
        <f>IF(SVF!L17=3,IF(SVF!C17="", "",SVF!C17),"")</f>
        <v/>
      </c>
      <c r="Q17" t="str">
        <f>IF(SVF!L17=3,IF(SVF!D17="", "",SVF!D17),"")</f>
        <v/>
      </c>
      <c r="R17" t="str">
        <f t="shared" si="2"/>
        <v/>
      </c>
    </row>
    <row r="18" spans="1:18" x14ac:dyDescent="0.2">
      <c r="A18" s="30"/>
      <c r="B18" s="30"/>
      <c r="C18" s="30"/>
      <c r="D18" s="30"/>
      <c r="E18" s="30"/>
      <c r="F18" s="30"/>
      <c r="G18" s="3">
        <v>1</v>
      </c>
      <c r="H18">
        <f>SVF!A18</f>
        <v>16</v>
      </c>
      <c r="I18" s="22" t="str">
        <f>SVF!B18</f>
        <v>OS</v>
      </c>
      <c r="J18">
        <f>IF(SVF!L18=1,IF(SVF!C18="", "",SVF!C18),"")</f>
        <v>2.75</v>
      </c>
      <c r="K18">
        <f>IF(SVF!L18=1,IF(SVF!D18="", "",SVF!D18),"")</f>
        <v>4.5</v>
      </c>
      <c r="L18">
        <f t="shared" si="5"/>
        <v>1.75</v>
      </c>
      <c r="M18" t="str">
        <f>IF(SVF!L18=2,IF(SVF!C18="", "",SVF!C18),"")</f>
        <v/>
      </c>
      <c r="N18" t="str">
        <f>IF(SVF!L18=2,IF(SVF!D18="", "",SVF!D18),"")</f>
        <v/>
      </c>
      <c r="O18" t="str">
        <f t="shared" si="1"/>
        <v/>
      </c>
      <c r="P18" t="str">
        <f>IF(SVF!L18=3,IF(SVF!C18="", "",SVF!C18),"")</f>
        <v/>
      </c>
      <c r="Q18" t="str">
        <f>IF(SVF!L18=3,IF(SVF!D18="", "",SVF!D18),"")</f>
        <v/>
      </c>
      <c r="R18" t="str">
        <f t="shared" si="2"/>
        <v/>
      </c>
    </row>
    <row r="19" spans="1:18" x14ac:dyDescent="0.2">
      <c r="A19" s="30" t="s">
        <v>60</v>
      </c>
      <c r="B19" s="30">
        <v>2.93</v>
      </c>
      <c r="C19" s="30" t="s">
        <v>81</v>
      </c>
      <c r="D19" s="30">
        <v>9.8563154071000003</v>
      </c>
      <c r="E19" s="30"/>
      <c r="F19" s="30" t="s">
        <v>94</v>
      </c>
      <c r="G19" s="3">
        <v>1</v>
      </c>
      <c r="H19">
        <f>SVF!A19</f>
        <v>17</v>
      </c>
      <c r="I19" s="22" t="str">
        <f>SVF!B19</f>
        <v>OD</v>
      </c>
      <c r="J19">
        <f>IF(SVF!L19=1,IF(SVF!C19="", "",SVF!C19),"")</f>
        <v>2</v>
      </c>
      <c r="K19">
        <f>IF(SVF!L19=1,IF(SVF!D19="", "",SVF!D19),"")</f>
        <v>3</v>
      </c>
      <c r="L19">
        <f t="shared" si="5"/>
        <v>1</v>
      </c>
      <c r="M19" t="str">
        <f>IF(SVF!L19=2,IF(SVF!C19="", "",SVF!C19),"")</f>
        <v/>
      </c>
      <c r="N19" t="str">
        <f>IF(SVF!L19=2,IF(SVF!D19="", "",SVF!D19),"")</f>
        <v/>
      </c>
      <c r="O19" t="str">
        <f t="shared" si="1"/>
        <v/>
      </c>
      <c r="P19" t="str">
        <f>IF(SVF!L19=3,IF(SVF!C19="", "",SVF!C19),"")</f>
        <v/>
      </c>
      <c r="Q19" t="str">
        <f>IF(SVF!L19=3,IF(SVF!D19="", "",SVF!D19),"")</f>
        <v/>
      </c>
      <c r="R19" t="str">
        <f t="shared" si="2"/>
        <v/>
      </c>
    </row>
    <row r="20" spans="1:18" x14ac:dyDescent="0.2">
      <c r="A20" s="30" t="s">
        <v>59</v>
      </c>
      <c r="B20" s="30">
        <v>-0.15</v>
      </c>
      <c r="C20" s="30" t="s">
        <v>82</v>
      </c>
      <c r="D20" s="30">
        <v>24</v>
      </c>
      <c r="E20" s="30"/>
      <c r="F20" s="30"/>
      <c r="G20" s="3">
        <v>2</v>
      </c>
      <c r="H20">
        <f>SVF!A20</f>
        <v>17</v>
      </c>
      <c r="I20" s="22" t="str">
        <f>SVF!B20</f>
        <v>OS</v>
      </c>
      <c r="J20">
        <f>IF(SVF!L20=1,IF(SVF!C20="", "",SVF!C20),"")</f>
        <v>1</v>
      </c>
      <c r="K20">
        <f>IF(SVF!L20=1,IF(SVF!D20="", "",SVF!D20),"")</f>
        <v>3</v>
      </c>
      <c r="L20">
        <f t="shared" si="5"/>
        <v>2</v>
      </c>
      <c r="M20" t="str">
        <f>IF(SVF!L20=2,IF(SVF!C20="", "",SVF!C20),"")</f>
        <v/>
      </c>
      <c r="N20" t="str">
        <f>IF(SVF!L20=2,IF(SVF!D20="", "",SVF!D20),"")</f>
        <v/>
      </c>
      <c r="O20" t="str">
        <f t="shared" si="1"/>
        <v/>
      </c>
      <c r="P20" t="str">
        <f>IF(SVF!L20=3,IF(SVF!C20="", "",SVF!C20),"")</f>
        <v/>
      </c>
      <c r="Q20" t="str">
        <f>IF(SVF!L20=3,IF(SVF!D20="", "",SVF!D20),"")</f>
        <v/>
      </c>
      <c r="R20" t="str">
        <f t="shared" si="2"/>
        <v/>
      </c>
    </row>
    <row r="21" spans="1:18" x14ac:dyDescent="0.2">
      <c r="A21" s="30" t="s">
        <v>83</v>
      </c>
      <c r="B21" s="30">
        <v>3.08</v>
      </c>
      <c r="C21" s="38" t="s">
        <v>84</v>
      </c>
      <c r="D21" s="38"/>
      <c r="E21" s="38" t="s">
        <v>85</v>
      </c>
      <c r="F21" s="30"/>
      <c r="G21" s="3">
        <v>1</v>
      </c>
      <c r="H21">
        <f>SVF!A21</f>
        <v>22</v>
      </c>
      <c r="I21" s="22" t="str">
        <f>SVF!B21</f>
        <v>OD</v>
      </c>
      <c r="J21">
        <f>IF(SVF!L21=1,IF(SVF!C21="", "",SVF!C21),"")</f>
        <v>2.5</v>
      </c>
      <c r="K21">
        <f>IF(SVF!L21=1,IF(SVF!D21="", "",SVF!D21),"")</f>
        <v>4</v>
      </c>
      <c r="L21">
        <f t="shared" si="5"/>
        <v>1.5</v>
      </c>
      <c r="M21" t="str">
        <f>IF(SVF!L21=2,IF(SVF!C21="", "",SVF!C21),"")</f>
        <v/>
      </c>
      <c r="N21" t="str">
        <f>IF(SVF!L21=2,IF(SVF!D21="", "",SVF!D21),"")</f>
        <v/>
      </c>
      <c r="O21" t="str">
        <f t="shared" si="1"/>
        <v/>
      </c>
      <c r="P21" t="str">
        <f>IF(SVF!L21=3,IF(SVF!C21="", "",SVF!C21),"")</f>
        <v/>
      </c>
      <c r="Q21" t="str">
        <f>IF(SVF!L21=3,IF(SVF!D21="", "",SVF!D21),"")</f>
        <v/>
      </c>
      <c r="R21" t="str">
        <f t="shared" si="2"/>
        <v/>
      </c>
    </row>
    <row r="22" spans="1:18" x14ac:dyDescent="0.2">
      <c r="A22" s="30" t="s">
        <v>86</v>
      </c>
      <c r="B22" s="30">
        <v>0.31248999979999997</v>
      </c>
      <c r="C22" s="30" t="s">
        <v>87</v>
      </c>
      <c r="D22" s="30"/>
      <c r="E22" s="30" t="s">
        <v>85</v>
      </c>
      <c r="F22" s="30"/>
      <c r="G22" s="3">
        <v>1</v>
      </c>
      <c r="H22">
        <f>SVF!A22</f>
        <v>22</v>
      </c>
      <c r="I22" s="22" t="str">
        <f>SVF!B22</f>
        <v>OS</v>
      </c>
      <c r="J22">
        <f>IF(SVF!L22=1,IF(SVF!C22="", "",SVF!C22),"")</f>
        <v>2.5</v>
      </c>
      <c r="K22">
        <f>IF(SVF!L22=1,IF(SVF!D22="", "",SVF!D22),"")</f>
        <v>4</v>
      </c>
      <c r="L22">
        <f t="shared" si="5"/>
        <v>1.5</v>
      </c>
      <c r="M22" t="str">
        <f>IF(SVF!L22=2,IF(SVF!C22="", "",SVF!C22),"")</f>
        <v/>
      </c>
      <c r="N22" t="str">
        <f>IF(SVF!L22=2,IF(SVF!D22="", "",SVF!D22),"")</f>
        <v/>
      </c>
      <c r="O22" t="str">
        <f t="shared" si="1"/>
        <v/>
      </c>
      <c r="P22" t="str">
        <f>IF(SVF!L22=3,IF(SVF!C22="", "",SVF!C22),"")</f>
        <v/>
      </c>
      <c r="Q22" t="str">
        <f>IF(SVF!L22=3,IF(SVF!D22="", "",SVF!D22),"")</f>
        <v/>
      </c>
      <c r="R22" t="str">
        <f t="shared" si="2"/>
        <v/>
      </c>
    </row>
    <row r="23" spans="1:18" x14ac:dyDescent="0.2">
      <c r="A23" s="30" t="s">
        <v>88</v>
      </c>
      <c r="B23" s="30">
        <v>3.7249476611999999</v>
      </c>
      <c r="C23" s="30" t="s">
        <v>89</v>
      </c>
      <c r="D23" s="30"/>
      <c r="E23" s="30">
        <v>1</v>
      </c>
      <c r="F23" s="30"/>
      <c r="G23" s="3">
        <v>1</v>
      </c>
      <c r="H23">
        <f>SVF!A23</f>
        <v>25</v>
      </c>
      <c r="I23" s="22" t="str">
        <f>SVF!B23</f>
        <v>OD</v>
      </c>
      <c r="J23">
        <f>IF(SVF!L23=1,IF(SVF!C23="", "",SVF!C23),"")</f>
        <v>2.5</v>
      </c>
      <c r="K23">
        <f>IF(SVF!L23=1,IF(SVF!D23="", "",SVF!D23),"")</f>
        <v>3.5</v>
      </c>
      <c r="L23">
        <f t="shared" si="5"/>
        <v>1</v>
      </c>
      <c r="M23" t="str">
        <f>IF(SVF!L23=2,IF(SVF!C23="", "",SVF!C23),"")</f>
        <v/>
      </c>
      <c r="N23" t="str">
        <f>IF(SVF!L23=2,IF(SVF!D23="", "",SVF!D23),"")</f>
        <v/>
      </c>
      <c r="O23" t="str">
        <f t="shared" si="1"/>
        <v/>
      </c>
      <c r="P23" t="str">
        <f>IF(SVF!L23=3,IF(SVF!C23="", "",SVF!C23),"")</f>
        <v/>
      </c>
      <c r="Q23" t="str">
        <f>IF(SVF!L23=3,IF(SVF!D23="", "",SVF!D23),"")</f>
        <v/>
      </c>
      <c r="R23" t="str">
        <f t="shared" si="2"/>
        <v/>
      </c>
    </row>
    <row r="24" spans="1:18" x14ac:dyDescent="0.2">
      <c r="A24" s="30" t="s">
        <v>90</v>
      </c>
      <c r="B24" s="30">
        <v>2.4350523387999998</v>
      </c>
      <c r="C24" s="30"/>
      <c r="D24" s="30"/>
      <c r="E24" s="30"/>
      <c r="F24" s="30"/>
      <c r="G24" s="3">
        <v>1</v>
      </c>
      <c r="H24">
        <f>SVF!A24</f>
        <v>25</v>
      </c>
      <c r="I24" s="22" t="str">
        <f>SVF!B24</f>
        <v>OS</v>
      </c>
      <c r="J24">
        <f>IF(SVF!L24=1,IF(SVF!C24="", "",SVF!C24),"")</f>
        <v>3</v>
      </c>
      <c r="K24">
        <f>IF(SVF!L24=1,IF(SVF!D24="", "",SVF!D24),"")</f>
        <v>3.5</v>
      </c>
      <c r="L24">
        <f t="shared" si="5"/>
        <v>0.5</v>
      </c>
      <c r="M24" t="str">
        <f>IF(SVF!L24=2,IF(SVF!C24="", "",SVF!C24),"")</f>
        <v/>
      </c>
      <c r="N24" t="str">
        <f>IF(SVF!L24=2,IF(SVF!D24="", "",SVF!D24),"")</f>
        <v/>
      </c>
      <c r="O24" t="str">
        <f t="shared" si="1"/>
        <v/>
      </c>
      <c r="P24" t="str">
        <f>IF(SVF!L24=3,IF(SVF!C24="", "",SVF!C24),"")</f>
        <v/>
      </c>
      <c r="Q24" t="str">
        <f>IF(SVF!L24=3,IF(SVF!D24="", "",SVF!D24),"")</f>
        <v/>
      </c>
      <c r="R24" t="str">
        <f t="shared" si="2"/>
        <v/>
      </c>
    </row>
    <row r="25" spans="1:18" x14ac:dyDescent="0.2">
      <c r="A25" s="30" t="s">
        <v>91</v>
      </c>
      <c r="B25" s="30">
        <v>25</v>
      </c>
      <c r="C25" s="30"/>
      <c r="D25" s="30"/>
      <c r="E25" s="30"/>
      <c r="F25" s="30"/>
      <c r="G25" s="3">
        <v>3</v>
      </c>
      <c r="H25">
        <f>SVF!A25</f>
        <v>27</v>
      </c>
      <c r="I25" s="22" t="str">
        <f>SVF!B25</f>
        <v>OD</v>
      </c>
      <c r="J25">
        <f>IF(SVF!L25=1,IF(SVF!C25="", "",SVF!C25),"")</f>
        <v>2</v>
      </c>
      <c r="K25" t="str">
        <f>IF(SVF!L25=1,IF(SVF!D25="", "",SVF!D25),"")</f>
        <v/>
      </c>
      <c r="L25" t="str">
        <f t="shared" si="5"/>
        <v/>
      </c>
      <c r="M25" t="str">
        <f>IF(SVF!L25=2,IF(SVF!C25="", "",SVF!C25),"")</f>
        <v/>
      </c>
      <c r="N25" t="str">
        <f>IF(SVF!L25=2,IF(SVF!D25="", "",SVF!D25),"")</f>
        <v/>
      </c>
      <c r="O25" t="str">
        <f t="shared" si="1"/>
        <v/>
      </c>
      <c r="P25" t="str">
        <f>IF(SVF!L25=3,IF(SVF!C25="", "",SVF!C25),"")</f>
        <v/>
      </c>
      <c r="Q25" t="str">
        <f>IF(SVF!L25=3,IF(SVF!D25="", "",SVF!D25),"")</f>
        <v/>
      </c>
      <c r="R25" t="str">
        <f t="shared" si="2"/>
        <v/>
      </c>
    </row>
    <row r="26" spans="1:18" x14ac:dyDescent="0.2">
      <c r="A26" s="30" t="s">
        <v>92</v>
      </c>
      <c r="B26" s="30">
        <v>0.28623143449999999</v>
      </c>
      <c r="C26" s="30"/>
      <c r="D26" s="30"/>
      <c r="E26" s="30"/>
      <c r="F26" s="30"/>
      <c r="G26" s="3">
        <v>3</v>
      </c>
      <c r="H26">
        <f>SVF!A26</f>
        <v>27</v>
      </c>
      <c r="I26" s="22" t="str">
        <f>SVF!B26</f>
        <v>OS</v>
      </c>
      <c r="J26">
        <f>IF(SVF!L26=1,IF(SVF!C26="", "",SVF!C26),"")</f>
        <v>1</v>
      </c>
      <c r="K26" t="str">
        <f>IF(SVF!L26=1,IF(SVF!D26="", "",SVF!D26),"")</f>
        <v/>
      </c>
      <c r="L26" t="str">
        <f t="shared" si="5"/>
        <v/>
      </c>
      <c r="M26" t="str">
        <f>IF(SVF!L26=2,IF(SVF!C26="", "",SVF!C26),"")</f>
        <v/>
      </c>
      <c r="N26" t="str">
        <f>IF(SVF!L26=2,IF(SVF!D26="", "",SVF!D26),"")</f>
        <v/>
      </c>
      <c r="O26" t="str">
        <f t="shared" si="1"/>
        <v/>
      </c>
      <c r="P26" t="str">
        <f>IF(SVF!L26=3,IF(SVF!C26="", "",SVF!C26),"")</f>
        <v/>
      </c>
      <c r="Q26" t="str">
        <f>IF(SVF!L26=3,IF(SVF!D26="", "",SVF!D26),"")</f>
        <v/>
      </c>
      <c r="R26" t="str">
        <f t="shared" si="2"/>
        <v/>
      </c>
    </row>
    <row r="27" spans="1:18" x14ac:dyDescent="0.2">
      <c r="A27" s="30"/>
      <c r="B27" s="30" t="s">
        <v>59</v>
      </c>
      <c r="C27" s="30" t="s">
        <v>60</v>
      </c>
      <c r="D27" s="30"/>
      <c r="E27" s="30"/>
      <c r="F27" s="30"/>
      <c r="G27" s="3">
        <v>3</v>
      </c>
      <c r="H27">
        <f>SVF!A27</f>
        <v>30</v>
      </c>
      <c r="I27" s="22" t="str">
        <f>SVF!B27</f>
        <v>OD</v>
      </c>
      <c r="J27">
        <f>IF(SVF!L27=1,IF(SVF!C27="", "",SVF!C27),"")</f>
        <v>3</v>
      </c>
      <c r="K27" t="str">
        <f>IF(SVF!L27=1,IF(SVF!D27="", "",SVF!D27),"")</f>
        <v/>
      </c>
      <c r="L27" t="str">
        <f t="shared" si="5"/>
        <v/>
      </c>
      <c r="M27" t="str">
        <f>IF(SVF!L27=2,IF(SVF!C27="", "",SVF!C27),"")</f>
        <v/>
      </c>
      <c r="N27" t="str">
        <f>IF(SVF!L27=2,IF(SVF!D27="", "",SVF!D27),"")</f>
        <v/>
      </c>
      <c r="O27" t="str">
        <f t="shared" si="1"/>
        <v/>
      </c>
      <c r="P27" t="str">
        <f>IF(SVF!L27=3,IF(SVF!C27="", "",SVF!C27),"")</f>
        <v/>
      </c>
      <c r="Q27" t="str">
        <f>IF(SVF!L27=3,IF(SVF!D27="", "",SVF!D27),"")</f>
        <v/>
      </c>
      <c r="R27" t="str">
        <f t="shared" si="2"/>
        <v/>
      </c>
    </row>
    <row r="28" spans="1:18" x14ac:dyDescent="0.2">
      <c r="A28" s="30" t="s">
        <v>183</v>
      </c>
      <c r="B28" s="30">
        <v>-0.15</v>
      </c>
      <c r="C28" s="30">
        <v>2.93</v>
      </c>
      <c r="D28" s="30"/>
      <c r="E28" s="30"/>
      <c r="F28" s="30"/>
      <c r="G28" s="3">
        <v>3</v>
      </c>
      <c r="H28">
        <f>SVF!A28</f>
        <v>30</v>
      </c>
      <c r="I28" s="22" t="str">
        <f>SVF!B28</f>
        <v>OS</v>
      </c>
      <c r="J28">
        <f>IF(SVF!L28=1,IF(SVF!C28="", "",SVF!C28),"")</f>
        <v>2</v>
      </c>
      <c r="K28" t="str">
        <f>IF(SVF!L28=1,IF(SVF!D28="", "",SVF!D28),"")</f>
        <v/>
      </c>
      <c r="L28" t="str">
        <f t="shared" si="5"/>
        <v/>
      </c>
      <c r="M28" t="str">
        <f>IF(SVF!L28=2,IF(SVF!C28="", "",SVF!C28),"")</f>
        <v/>
      </c>
      <c r="N28" t="str">
        <f>IF(SVF!L28=2,IF(SVF!D28="", "",SVF!D28),"")</f>
        <v/>
      </c>
      <c r="O28" t="str">
        <f t="shared" si="1"/>
        <v/>
      </c>
      <c r="P28" t="str">
        <f>IF(SVF!L28=3,IF(SVF!C28="", "",SVF!C28),"")</f>
        <v/>
      </c>
      <c r="Q28" t="str">
        <f>IF(SVF!L28=3,IF(SVF!D28="", "",SVF!D28),"")</f>
        <v/>
      </c>
      <c r="R28" t="str">
        <f t="shared" si="2"/>
        <v/>
      </c>
    </row>
    <row r="29" spans="1:18" x14ac:dyDescent="0.2">
      <c r="A29" s="30" t="s">
        <v>184</v>
      </c>
      <c r="B29" s="30">
        <v>1.6024070436</v>
      </c>
      <c r="C29" s="30">
        <v>0.74833147739999994</v>
      </c>
      <c r="D29" s="30"/>
      <c r="E29" s="30"/>
      <c r="F29" s="30"/>
      <c r="G29" s="3">
        <v>2</v>
      </c>
      <c r="H29">
        <f>SVF!A29</f>
        <v>33</v>
      </c>
      <c r="I29" s="22" t="str">
        <f>SVF!B29</f>
        <v>OD</v>
      </c>
      <c r="J29">
        <f>IF(SVF!L29=1,IF(SVF!C29="", "",SVF!C29),"")</f>
        <v>2</v>
      </c>
      <c r="K29">
        <f>IF(SVF!L29=1,IF(SVF!D29="", "",SVF!D29),"")</f>
        <v>2</v>
      </c>
      <c r="L29">
        <f t="shared" si="5"/>
        <v>0</v>
      </c>
      <c r="M29" t="str">
        <f>IF(SVF!L29=2,IF(SVF!C29="", "",SVF!C29),"")</f>
        <v/>
      </c>
      <c r="N29" t="str">
        <f>IF(SVF!L29=2,IF(SVF!D29="", "",SVF!D29),"")</f>
        <v/>
      </c>
      <c r="O29" t="str">
        <f t="shared" si="1"/>
        <v/>
      </c>
      <c r="P29" t="str">
        <f>IF(SVF!L29=3,IF(SVF!C29="", "",SVF!C29),"")</f>
        <v/>
      </c>
      <c r="Q29" t="str">
        <f>IF(SVF!L29=3,IF(SVF!D29="", "",SVF!D29),"")</f>
        <v/>
      </c>
      <c r="R29" t="str">
        <f t="shared" si="2"/>
        <v/>
      </c>
    </row>
    <row r="30" spans="1:18" x14ac:dyDescent="0.2">
      <c r="A30" s="30" t="s">
        <v>185</v>
      </c>
      <c r="B30" s="30">
        <v>0.32048140870000003</v>
      </c>
      <c r="C30" s="30">
        <v>0.14966629549999999</v>
      </c>
      <c r="D30" s="30"/>
      <c r="E30" s="30"/>
      <c r="F30" s="30"/>
      <c r="G30" s="3">
        <v>2</v>
      </c>
      <c r="H30">
        <f>SVF!A30</f>
        <v>33</v>
      </c>
      <c r="I30" s="22" t="str">
        <f>SVF!B30</f>
        <v>OS</v>
      </c>
      <c r="J30">
        <f>IF(SVF!L30=1,IF(SVF!C30="", "",SVF!C30),"")</f>
        <v>2</v>
      </c>
      <c r="K30">
        <f>IF(SVF!L30=1,IF(SVF!D30="", "",SVF!D30),"")</f>
        <v>2</v>
      </c>
      <c r="L30">
        <f t="shared" si="5"/>
        <v>0</v>
      </c>
      <c r="M30" t="str">
        <f>IF(SVF!L30=2,IF(SVF!C30="", "",SVF!C30),"")</f>
        <v/>
      </c>
      <c r="N30" t="str">
        <f>IF(SVF!L30=2,IF(SVF!D30="", "",SVF!D30),"")</f>
        <v/>
      </c>
      <c r="O30" t="str">
        <f t="shared" si="1"/>
        <v/>
      </c>
      <c r="P30" t="str">
        <f>IF(SVF!L30=3,IF(SVF!C30="", "",SVF!C30),"")</f>
        <v/>
      </c>
      <c r="Q30" t="str">
        <f>IF(SVF!L30=3,IF(SVF!D30="", "",SVF!D30),"")</f>
        <v/>
      </c>
      <c r="R30" t="str">
        <f t="shared" si="2"/>
        <v/>
      </c>
    </row>
    <row r="31" spans="1:18" x14ac:dyDescent="0.2">
      <c r="A31" s="30" t="s">
        <v>186</v>
      </c>
      <c r="B31" s="30">
        <v>0.51144111849999996</v>
      </c>
      <c r="C31" s="30">
        <v>3.2388960518999999</v>
      </c>
      <c r="D31" s="30"/>
      <c r="E31" s="30"/>
      <c r="F31" s="30"/>
      <c r="G31" s="3">
        <v>1</v>
      </c>
      <c r="H31">
        <f>SVF!A31</f>
        <v>36</v>
      </c>
      <c r="I31" s="22" t="str">
        <f>SVF!B31</f>
        <v>OD</v>
      </c>
      <c r="J31">
        <f>IF(SVF!L31=1,IF(SVF!C31="", "",SVF!C31),"")</f>
        <v>4</v>
      </c>
      <c r="K31">
        <f>IF(SVF!L31=1,IF(SVF!D31="", "",SVF!D31),"")</f>
        <v>4</v>
      </c>
      <c r="L31">
        <f t="shared" si="5"/>
        <v>0</v>
      </c>
      <c r="M31" t="str">
        <f>IF(SVF!L31=2,IF(SVF!C31="", "",SVF!C31),"")</f>
        <v/>
      </c>
      <c r="N31" t="str">
        <f>IF(SVF!L31=2,IF(SVF!D31="", "",SVF!D31),"")</f>
        <v/>
      </c>
      <c r="O31" t="str">
        <f t="shared" si="1"/>
        <v/>
      </c>
      <c r="P31" t="str">
        <f>IF(SVF!L31=3,IF(SVF!C31="", "",SVF!C31),"")</f>
        <v/>
      </c>
      <c r="Q31" t="str">
        <f>IF(SVF!L31=3,IF(SVF!D31="", "",SVF!D31),"")</f>
        <v/>
      </c>
      <c r="R31" t="str">
        <f t="shared" si="2"/>
        <v/>
      </c>
    </row>
    <row r="32" spans="1:18" x14ac:dyDescent="0.2">
      <c r="A32" s="30" t="s">
        <v>187</v>
      </c>
      <c r="B32" s="30">
        <v>-0.81144111799999996</v>
      </c>
      <c r="C32" s="30">
        <v>2.6211039481</v>
      </c>
      <c r="D32" s="30"/>
      <c r="E32" s="30"/>
      <c r="F32" s="30"/>
      <c r="G32" s="3">
        <v>1</v>
      </c>
      <c r="H32">
        <f>SVF!A32</f>
        <v>36</v>
      </c>
      <c r="I32" s="22" t="str">
        <f>SVF!B32</f>
        <v>OS</v>
      </c>
      <c r="J32">
        <f>IF(SVF!L32=1,IF(SVF!C32="", "",SVF!C32),"")</f>
        <v>4</v>
      </c>
      <c r="K32">
        <f>IF(SVF!L32=1,IF(SVF!D32="", "",SVF!D32),"")</f>
        <v>4</v>
      </c>
      <c r="L32">
        <f t="shared" si="5"/>
        <v>0</v>
      </c>
      <c r="M32" t="str">
        <f>IF(SVF!L32=2,IF(SVF!C32="", "",SVF!C32),"")</f>
        <v/>
      </c>
      <c r="N32" t="str">
        <f>IF(SVF!L32=2,IF(SVF!D32="", "",SVF!D32),"")</f>
        <v/>
      </c>
      <c r="O32" t="str">
        <f t="shared" si="1"/>
        <v/>
      </c>
      <c r="P32" t="str">
        <f>IF(SVF!L32=3,IF(SVF!C32="", "",SVF!C32),"")</f>
        <v/>
      </c>
      <c r="Q32" t="str">
        <f>IF(SVF!L32=3,IF(SVF!D32="", "",SVF!D32),"")</f>
        <v/>
      </c>
      <c r="R32" t="str">
        <f t="shared" si="2"/>
        <v/>
      </c>
    </row>
    <row r="33" spans="1:18" x14ac:dyDescent="0.2">
      <c r="A33" s="30" t="s">
        <v>91</v>
      </c>
      <c r="B33" s="30">
        <v>25</v>
      </c>
      <c r="C33" s="30">
        <v>25</v>
      </c>
      <c r="D33" s="30"/>
      <c r="E33" s="30"/>
      <c r="F33" s="30"/>
      <c r="G33" s="3">
        <v>1</v>
      </c>
      <c r="H33">
        <f>SVF!A33</f>
        <v>38</v>
      </c>
      <c r="I33" s="22" t="str">
        <f>SVF!B33</f>
        <v>OD</v>
      </c>
      <c r="J33">
        <f>IF(SVF!L33=1,IF(SVF!C33="", "",SVF!C33),"")</f>
        <v>0.5</v>
      </c>
      <c r="K33" t="str">
        <f>IF(SVF!L33=1,IF(SVF!D33="", "",SVF!D33),"")</f>
        <v/>
      </c>
      <c r="L33" t="str">
        <f t="shared" si="5"/>
        <v/>
      </c>
      <c r="M33" t="str">
        <f>IF(SVF!L33=2,IF(SVF!C33="", "",SVF!C33),"")</f>
        <v/>
      </c>
      <c r="N33" t="str">
        <f>IF(SVF!L33=2,IF(SVF!D33="", "",SVF!D33),"")</f>
        <v/>
      </c>
      <c r="O33" t="str">
        <f t="shared" si="1"/>
        <v/>
      </c>
      <c r="P33" t="str">
        <f>IF(SVF!L33=3,IF(SVF!C33="", "",SVF!C33),"")</f>
        <v/>
      </c>
      <c r="Q33" t="str">
        <f>IF(SVF!L33=3,IF(SVF!D33="", "",SVF!D33),"")</f>
        <v/>
      </c>
      <c r="R33" t="str">
        <f t="shared" si="2"/>
        <v/>
      </c>
    </row>
    <row r="34" spans="1:18" x14ac:dyDescent="0.2">
      <c r="A34" s="30"/>
      <c r="B34" s="30"/>
      <c r="C34" s="30"/>
      <c r="D34" s="30"/>
      <c r="E34" s="30"/>
      <c r="F34" s="30"/>
      <c r="G34" s="3">
        <v>1</v>
      </c>
      <c r="H34">
        <f>SVF!A34</f>
        <v>38</v>
      </c>
      <c r="I34" s="22" t="str">
        <f>SVF!B34</f>
        <v>OS</v>
      </c>
      <c r="J34">
        <f>IF(SVF!L34=1,IF(SVF!C34="", "",SVF!C34),"")</f>
        <v>1</v>
      </c>
      <c r="K34" t="str">
        <f>IF(SVF!L34=1,IF(SVF!D34="", "",SVF!D34),"")</f>
        <v/>
      </c>
      <c r="L34" t="str">
        <f t="shared" si="5"/>
        <v/>
      </c>
      <c r="M34" t="str">
        <f>IF(SVF!L34=2,IF(SVF!C34="", "",SVF!C34),"")</f>
        <v/>
      </c>
      <c r="N34" t="str">
        <f>IF(SVF!L34=2,IF(SVF!D34="", "",SVF!D34),"")</f>
        <v/>
      </c>
      <c r="O34" t="str">
        <f t="shared" si="1"/>
        <v/>
      </c>
      <c r="P34" t="str">
        <f>IF(SVF!L34=3,IF(SVF!C34="", "",SVF!C34),"")</f>
        <v/>
      </c>
      <c r="Q34" t="str">
        <f>IF(SVF!L34=3,IF(SVF!D34="", "",SVF!D34),"")</f>
        <v/>
      </c>
      <c r="R34" t="str">
        <f t="shared" si="2"/>
        <v/>
      </c>
    </row>
    <row r="35" spans="1:18" x14ac:dyDescent="0.2">
      <c r="A35" s="30"/>
      <c r="B35" s="30"/>
      <c r="C35" s="30"/>
      <c r="D35" s="30"/>
      <c r="E35" s="30"/>
      <c r="F35" s="30"/>
      <c r="G35" s="3">
        <v>1</v>
      </c>
      <c r="H35">
        <f>SVF!A35</f>
        <v>41</v>
      </c>
      <c r="I35" s="22" t="str">
        <f>SVF!B35</f>
        <v>OD</v>
      </c>
      <c r="J35">
        <f>IF(SVF!L35=1,IF(SVF!C35="", "",SVF!C35),"")</f>
        <v>2.5</v>
      </c>
      <c r="K35">
        <f>IF(SVF!L35=1,IF(SVF!D35="", "",SVF!D35),"")</f>
        <v>3</v>
      </c>
      <c r="L35">
        <f t="shared" si="5"/>
        <v>0.5</v>
      </c>
      <c r="M35" t="str">
        <f>IF(SVF!L35=2,IF(SVF!C35="", "",SVF!C35),"")</f>
        <v/>
      </c>
      <c r="N35" t="str">
        <f>IF(SVF!L35=2,IF(SVF!D35="", "",SVF!D35),"")</f>
        <v/>
      </c>
      <c r="O35" t="str">
        <f t="shared" si="1"/>
        <v/>
      </c>
      <c r="P35" t="str">
        <f>IF(SVF!L35=3,IF(SVF!C35="", "",SVF!C35),"")</f>
        <v/>
      </c>
      <c r="Q35" t="str">
        <f>IF(SVF!L35=3,IF(SVF!D35="", "",SVF!D35),"")</f>
        <v/>
      </c>
      <c r="R35" t="str">
        <f t="shared" si="2"/>
        <v/>
      </c>
    </row>
    <row r="36" spans="1:18" x14ac:dyDescent="0.2">
      <c r="A36" s="30" t="s">
        <v>60</v>
      </c>
      <c r="B36" s="30">
        <v>3.1923076923</v>
      </c>
      <c r="C36" s="30" t="s">
        <v>81</v>
      </c>
      <c r="D36" s="30">
        <v>8.8402914979999991</v>
      </c>
      <c r="E36" s="30"/>
      <c r="F36" s="30" t="s">
        <v>95</v>
      </c>
      <c r="G36" s="3">
        <v>1</v>
      </c>
      <c r="H36">
        <f>SVF!A36</f>
        <v>41</v>
      </c>
      <c r="I36" s="22" t="str">
        <f>SVF!B36</f>
        <v>OS</v>
      </c>
      <c r="J36">
        <f>IF(SVF!L36=1,IF(SVF!C36="", "",SVF!C36),"")</f>
        <v>2.5</v>
      </c>
      <c r="K36">
        <f>IF(SVF!L36=1,IF(SVF!D36="", "",SVF!D36),"")</f>
        <v>3</v>
      </c>
      <c r="L36">
        <f t="shared" si="5"/>
        <v>0.5</v>
      </c>
      <c r="M36" t="str">
        <f>IF(SVF!L36=2,IF(SVF!C36="", "",SVF!C36),"")</f>
        <v/>
      </c>
      <c r="N36" t="str">
        <f>IF(SVF!L36=2,IF(SVF!D36="", "",SVF!D36),"")</f>
        <v/>
      </c>
      <c r="O36" t="str">
        <f t="shared" si="1"/>
        <v/>
      </c>
      <c r="P36" t="str">
        <f>IF(SVF!L36=3,IF(SVF!C36="", "",SVF!C36),"")</f>
        <v/>
      </c>
      <c r="Q36" t="str">
        <f>IF(SVF!L36=3,IF(SVF!D36="", "",SVF!D36),"")</f>
        <v/>
      </c>
      <c r="R36" t="str">
        <f t="shared" si="2"/>
        <v/>
      </c>
    </row>
    <row r="37" spans="1:18" x14ac:dyDescent="0.2">
      <c r="A37" s="30" t="s">
        <v>59</v>
      </c>
      <c r="B37" s="30">
        <v>0.4230769231</v>
      </c>
      <c r="C37" s="30" t="s">
        <v>82</v>
      </c>
      <c r="D37" s="30">
        <v>12</v>
      </c>
      <c r="E37" s="30"/>
      <c r="F37" s="30"/>
      <c r="G37" s="3">
        <v>2</v>
      </c>
      <c r="H37">
        <f>SVF!A37</f>
        <v>48</v>
      </c>
      <c r="I37" s="22" t="str">
        <f>SVF!B37</f>
        <v>OD</v>
      </c>
      <c r="J37">
        <f>IF(SVF!L37=1,IF(SVF!C37="", "",SVF!C37),"")</f>
        <v>1.5</v>
      </c>
      <c r="K37">
        <f>IF(SVF!L37=1,IF(SVF!D37="", "",SVF!D37),"")</f>
        <v>2</v>
      </c>
      <c r="L37">
        <f t="shared" si="5"/>
        <v>0.5</v>
      </c>
      <c r="M37" t="str">
        <f>IF(SVF!L37=2,IF(SVF!C37="", "",SVF!C37),"")</f>
        <v/>
      </c>
      <c r="N37" t="str">
        <f>IF(SVF!L37=2,IF(SVF!D37="", "",SVF!D37),"")</f>
        <v/>
      </c>
      <c r="O37" t="str">
        <f t="shared" si="1"/>
        <v/>
      </c>
      <c r="P37" t="str">
        <f>IF(SVF!L37=3,IF(SVF!C37="", "",SVF!C37),"")</f>
        <v/>
      </c>
      <c r="Q37" t="str">
        <f>IF(SVF!L37=3,IF(SVF!D37="", "",SVF!D37),"")</f>
        <v/>
      </c>
      <c r="R37" t="str">
        <f t="shared" si="2"/>
        <v/>
      </c>
    </row>
    <row r="38" spans="1:18" x14ac:dyDescent="0.2">
      <c r="A38" s="30" t="s">
        <v>83</v>
      </c>
      <c r="B38" s="30">
        <v>2.7692307692</v>
      </c>
      <c r="C38" s="38" t="s">
        <v>84</v>
      </c>
      <c r="D38" s="38"/>
      <c r="E38" s="38" t="s">
        <v>85</v>
      </c>
      <c r="F38" s="30"/>
      <c r="G38" s="3">
        <v>2</v>
      </c>
      <c r="H38">
        <f>SVF!A38</f>
        <v>48</v>
      </c>
      <c r="I38" s="22" t="str">
        <f>SVF!B38</f>
        <v>OS</v>
      </c>
      <c r="J38">
        <f>IF(SVF!L38=1,IF(SVF!C38="", "",SVF!C38),"")</f>
        <v>1</v>
      </c>
      <c r="K38">
        <f>IF(SVF!L38=1,IF(SVF!D38="", "",SVF!D38),"")</f>
        <v>3</v>
      </c>
      <c r="L38">
        <f t="shared" si="5"/>
        <v>2</v>
      </c>
      <c r="M38" t="str">
        <f>IF(SVF!L38=2,IF(SVF!C38="", "",SVF!C38),"")</f>
        <v/>
      </c>
      <c r="N38" t="str">
        <f>IF(SVF!L38=2,IF(SVF!D38="", "",SVF!D38),"")</f>
        <v/>
      </c>
      <c r="O38" t="str">
        <f t="shared" si="1"/>
        <v/>
      </c>
      <c r="P38" t="str">
        <f>IF(SVF!L38=3,IF(SVF!C38="", "",SVF!C38),"")</f>
        <v/>
      </c>
      <c r="Q38" t="str">
        <f>IF(SVF!L38=3,IF(SVF!D38="", "",SVF!D38),"")</f>
        <v/>
      </c>
      <c r="R38" t="str">
        <f t="shared" si="2"/>
        <v/>
      </c>
    </row>
    <row r="39" spans="1:18" x14ac:dyDescent="0.2">
      <c r="A39" s="30" t="s">
        <v>86</v>
      </c>
      <c r="B39" s="30">
        <v>0.3132510698</v>
      </c>
      <c r="C39" s="30" t="s">
        <v>87</v>
      </c>
      <c r="D39" s="30"/>
      <c r="E39" s="30" t="s">
        <v>85</v>
      </c>
      <c r="F39" s="30"/>
      <c r="G39" s="3">
        <v>2</v>
      </c>
      <c r="H39">
        <f>SVF!A39</f>
        <v>52</v>
      </c>
      <c r="I39" s="22" t="str">
        <f>SVF!B39</f>
        <v>OD</v>
      </c>
      <c r="J39">
        <f>IF(SVF!L39=1,IF(SVF!C39="", "",SVF!C39),"")</f>
        <v>3</v>
      </c>
      <c r="K39">
        <f>IF(SVF!L39=1,IF(SVF!D39="", "",SVF!D39),"")</f>
        <v>3</v>
      </c>
      <c r="L39">
        <f t="shared" si="5"/>
        <v>0</v>
      </c>
      <c r="M39" t="str">
        <f>IF(SVF!L39=2,IF(SVF!C39="", "",SVF!C39),"")</f>
        <v/>
      </c>
      <c r="N39" t="str">
        <f>IF(SVF!L39=2,IF(SVF!D39="", "",SVF!D39),"")</f>
        <v/>
      </c>
      <c r="O39" t="str">
        <f t="shared" si="1"/>
        <v/>
      </c>
      <c r="P39" t="str">
        <f>IF(SVF!L39=3,IF(SVF!C39="", "",SVF!C39),"")</f>
        <v/>
      </c>
      <c r="Q39" t="str">
        <f>IF(SVF!L39=3,IF(SVF!D39="", "",SVF!D39),"")</f>
        <v/>
      </c>
      <c r="R39" t="str">
        <f t="shared" si="2"/>
        <v/>
      </c>
    </row>
    <row r="40" spans="1:18" x14ac:dyDescent="0.2">
      <c r="A40" s="30" t="s">
        <v>88</v>
      </c>
      <c r="B40" s="30">
        <v>3.4517462190999999</v>
      </c>
      <c r="C40" s="30" t="s">
        <v>89</v>
      </c>
      <c r="D40" s="30"/>
      <c r="E40" s="30">
        <v>1</v>
      </c>
      <c r="F40" s="30"/>
      <c r="G40" s="3">
        <v>1</v>
      </c>
      <c r="H40">
        <f>SVF!A40</f>
        <v>52</v>
      </c>
      <c r="I40" s="22" t="str">
        <f>SVF!B40</f>
        <v>OS</v>
      </c>
      <c r="J40">
        <f>IF(SVF!L40=1,IF(SVF!C40="", "",SVF!C40),"")</f>
        <v>3</v>
      </c>
      <c r="K40">
        <f>IF(SVF!L40=1,IF(SVF!D40="", "",SVF!D40),"")</f>
        <v>2.75</v>
      </c>
      <c r="L40">
        <f t="shared" si="5"/>
        <v>-0.25</v>
      </c>
      <c r="M40" t="str">
        <f>IF(SVF!L40=2,IF(SVF!C40="", "",SVF!C40),"")</f>
        <v/>
      </c>
      <c r="N40" t="str">
        <f>IF(SVF!L40=2,IF(SVF!D40="", "",SVF!D40),"")</f>
        <v/>
      </c>
      <c r="O40" t="str">
        <f t="shared" si="1"/>
        <v/>
      </c>
      <c r="P40" t="str">
        <f>IF(SVF!L40=3,IF(SVF!C40="", "",SVF!C40),"")</f>
        <v/>
      </c>
      <c r="Q40" t="str">
        <f>IF(SVF!L40=3,IF(SVF!D40="", "",SVF!D40),"")</f>
        <v/>
      </c>
      <c r="R40" t="str">
        <f t="shared" si="2"/>
        <v/>
      </c>
    </row>
    <row r="41" spans="1:18" x14ac:dyDescent="0.2">
      <c r="A41" s="30" t="s">
        <v>90</v>
      </c>
      <c r="B41" s="30">
        <v>2.0867153194000001</v>
      </c>
      <c r="C41" s="30"/>
      <c r="D41" s="30"/>
      <c r="E41" s="30"/>
      <c r="F41" s="30"/>
      <c r="G41" s="3">
        <v>1</v>
      </c>
      <c r="H41">
        <f>SVF!A41</f>
        <v>71</v>
      </c>
      <c r="I41" s="22" t="str">
        <f>SVF!B41</f>
        <v>OD</v>
      </c>
      <c r="J41">
        <f>IF(SVF!L41=1,IF(SVF!C41="", "",SVF!C41),"")</f>
        <v>0.5</v>
      </c>
      <c r="K41" t="str">
        <f>IF(SVF!L41=1,IF(SVF!D41="", "",SVF!D41),"")</f>
        <v/>
      </c>
      <c r="L41" t="str">
        <f t="shared" si="5"/>
        <v/>
      </c>
      <c r="M41" t="str">
        <f>IF(SVF!L41=2,IF(SVF!C41="", "",SVF!C41),"")</f>
        <v/>
      </c>
      <c r="N41" t="str">
        <f>IF(SVF!L41=2,IF(SVF!D41="", "",SVF!D41),"")</f>
        <v/>
      </c>
      <c r="O41" t="str">
        <f t="shared" si="1"/>
        <v/>
      </c>
      <c r="P41" t="str">
        <f>IF(SVF!L41=3,IF(SVF!C41="", "",SVF!C41),"")</f>
        <v/>
      </c>
      <c r="Q41" t="str">
        <f>IF(SVF!L41=3,IF(SVF!D41="", "",SVF!D41),"")</f>
        <v/>
      </c>
      <c r="R41" t="str">
        <f t="shared" si="2"/>
        <v/>
      </c>
    </row>
    <row r="42" spans="1:18" x14ac:dyDescent="0.2">
      <c r="A42" s="30" t="s">
        <v>91</v>
      </c>
      <c r="B42" s="30">
        <v>13</v>
      </c>
      <c r="C42" s="30"/>
      <c r="D42" s="30"/>
      <c r="E42" s="30"/>
      <c r="F42" s="30"/>
      <c r="G42" s="3">
        <v>2</v>
      </c>
      <c r="H42">
        <f>SVF!A42</f>
        <v>71</v>
      </c>
      <c r="I42" s="22" t="str">
        <f>SVF!B42</f>
        <v>OS</v>
      </c>
      <c r="J42">
        <f>IF(SVF!L42=1,IF(SVF!C42="", "",SVF!C42),"")</f>
        <v>0</v>
      </c>
      <c r="K42" t="str">
        <f>IF(SVF!L42=1,IF(SVF!D42="", "",SVF!D42),"")</f>
        <v/>
      </c>
      <c r="L42" t="str">
        <f t="shared" si="5"/>
        <v/>
      </c>
      <c r="M42" t="str">
        <f>IF(SVF!L42=2,IF(SVF!C42="", "",SVF!C42),"")</f>
        <v/>
      </c>
      <c r="N42" t="str">
        <f>IF(SVF!L42=2,IF(SVF!D42="", "",SVF!D42),"")</f>
        <v/>
      </c>
      <c r="O42" t="str">
        <f t="shared" si="1"/>
        <v/>
      </c>
      <c r="P42" t="str">
        <f>IF(SVF!L42=3,IF(SVF!C42="", "",SVF!C42),"")</f>
        <v/>
      </c>
      <c r="Q42" t="str">
        <f>IF(SVF!L42=3,IF(SVF!D42="", "",SVF!D42),"")</f>
        <v/>
      </c>
      <c r="R42" t="str">
        <f t="shared" si="2"/>
        <v/>
      </c>
    </row>
    <row r="43" spans="1:18" x14ac:dyDescent="0.2">
      <c r="A43" s="30" t="s">
        <v>92</v>
      </c>
      <c r="B43" s="30">
        <v>-7.9129895000000006E-2</v>
      </c>
      <c r="C43" s="30"/>
      <c r="D43" s="30"/>
      <c r="E43" s="30"/>
      <c r="F43" s="30"/>
      <c r="G43" s="3">
        <v>1</v>
      </c>
      <c r="H43">
        <f>SVF!A43</f>
        <v>92</v>
      </c>
      <c r="I43" s="22" t="str">
        <f>SVF!B43</f>
        <v>OD</v>
      </c>
      <c r="J43">
        <f>IF(SVF!L43=1,IF(SVF!C43="", "",SVF!C43),"")</f>
        <v>4</v>
      </c>
      <c r="K43">
        <f>IF(SVF!L43=1,IF(SVF!D43="", "",SVF!D43),"")</f>
        <v>4</v>
      </c>
      <c r="L43">
        <f t="shared" si="5"/>
        <v>0</v>
      </c>
      <c r="M43" t="str">
        <f>IF(SVF!L43=2,IF(SVF!C43="", "",SVF!C43),"")</f>
        <v/>
      </c>
      <c r="N43" t="str">
        <f>IF(SVF!L43=2,IF(SVF!D43="", "",SVF!D43),"")</f>
        <v/>
      </c>
      <c r="O43" t="str">
        <f t="shared" si="1"/>
        <v/>
      </c>
      <c r="P43" t="str">
        <f>IF(SVF!L43=3,IF(SVF!C43="", "",SVF!C43),"")</f>
        <v/>
      </c>
      <c r="Q43" t="str">
        <f>IF(SVF!L43=3,IF(SVF!D43="", "",SVF!D43),"")</f>
        <v/>
      </c>
      <c r="R43" t="str">
        <f t="shared" si="2"/>
        <v/>
      </c>
    </row>
    <row r="44" spans="1:18" x14ac:dyDescent="0.2">
      <c r="A44" s="30"/>
      <c r="B44" s="30" t="s">
        <v>59</v>
      </c>
      <c r="C44" s="30" t="s">
        <v>60</v>
      </c>
      <c r="D44" s="30"/>
      <c r="E44" s="30"/>
      <c r="F44" s="30"/>
      <c r="G44" s="3">
        <v>1</v>
      </c>
      <c r="H44">
        <f>SVF!A44</f>
        <v>92</v>
      </c>
      <c r="I44" s="22" t="str">
        <f>SVF!B44</f>
        <v>OS</v>
      </c>
      <c r="J44">
        <f>IF(SVF!L44=1,IF(SVF!C44="", "",SVF!C44),"")</f>
        <v>4</v>
      </c>
      <c r="K44">
        <f>IF(SVF!L44=1,IF(SVF!D44="", "",SVF!D44),"")</f>
        <v>4</v>
      </c>
      <c r="L44">
        <f t="shared" si="5"/>
        <v>0</v>
      </c>
      <c r="M44" t="str">
        <f>IF(SVF!L44=2,IF(SVF!C44="", "",SVF!C44),"")</f>
        <v/>
      </c>
      <c r="N44" t="str">
        <f>IF(SVF!L44=2,IF(SVF!D44="", "",SVF!D44),"")</f>
        <v/>
      </c>
      <c r="O44" t="str">
        <f t="shared" si="1"/>
        <v/>
      </c>
      <c r="P44" t="str">
        <f>IF(SVF!L44=3,IF(SVF!C44="", "",SVF!C44),"")</f>
        <v/>
      </c>
      <c r="Q44" t="str">
        <f>IF(SVF!L44=3,IF(SVF!D44="", "",SVF!D44),"")</f>
        <v/>
      </c>
      <c r="R44" t="str">
        <f t="shared" si="2"/>
        <v/>
      </c>
    </row>
    <row r="45" spans="1:18" ht="14.25" x14ac:dyDescent="0.2">
      <c r="A45" s="30" t="s">
        <v>183</v>
      </c>
      <c r="B45" s="30">
        <v>0.4230769231</v>
      </c>
      <c r="C45" s="30">
        <v>3.1923076923</v>
      </c>
      <c r="D45" s="30"/>
      <c r="E45" s="30"/>
      <c r="F45" s="30"/>
      <c r="G45" s="2">
        <v>2</v>
      </c>
      <c r="H45">
        <f>SVF!A45</f>
        <v>117</v>
      </c>
      <c r="I45" s="22" t="str">
        <f>SVF!B45</f>
        <v>OD</v>
      </c>
      <c r="J45">
        <f>IF(SVF!L45=1,IF(SVF!C45="", "",SVF!C45),"")</f>
        <v>2</v>
      </c>
      <c r="K45">
        <f>IF(SVF!L45=1,IF(SVF!D45="", "",SVF!D45),"")</f>
        <v>3.5</v>
      </c>
      <c r="L45">
        <f t="shared" si="5"/>
        <v>1.5</v>
      </c>
      <c r="M45" t="str">
        <f>IF(SVF!L45=2,IF(SVF!C45="", "",SVF!C45),"")</f>
        <v/>
      </c>
      <c r="N45" t="str">
        <f>IF(SVF!L45=2,IF(SVF!D45="", "",SVF!D45),"")</f>
        <v/>
      </c>
      <c r="O45" t="str">
        <f t="shared" si="1"/>
        <v/>
      </c>
      <c r="P45" t="str">
        <f>IF(SVF!L45=3,IF(SVF!C45="", "",SVF!C45),"")</f>
        <v/>
      </c>
      <c r="Q45" t="str">
        <f>IF(SVF!L45=3,IF(SVF!D45="", "",SVF!D45),"")</f>
        <v/>
      </c>
      <c r="R45" t="str">
        <f t="shared" si="2"/>
        <v/>
      </c>
    </row>
    <row r="46" spans="1:18" x14ac:dyDescent="0.2">
      <c r="A46" s="30" t="s">
        <v>184</v>
      </c>
      <c r="B46" s="30">
        <v>0.81256163469999998</v>
      </c>
      <c r="C46" s="30">
        <v>0.72279727270000005</v>
      </c>
      <c r="D46" s="30"/>
      <c r="E46" s="30"/>
      <c r="F46" s="30"/>
      <c r="G46">
        <v>2</v>
      </c>
      <c r="H46">
        <f>SVF!A46</f>
        <v>117</v>
      </c>
      <c r="I46" s="22" t="str">
        <f>SVF!B46</f>
        <v>OS</v>
      </c>
      <c r="J46">
        <f>IF(SVF!L46=1,IF(SVF!C46="", "",SVF!C46),"")</f>
        <v>2.5</v>
      </c>
      <c r="K46">
        <f>IF(SVF!L46=1,IF(SVF!D46="", "",SVF!D46),"")</f>
        <v>3.5</v>
      </c>
      <c r="L46">
        <f t="shared" si="5"/>
        <v>1</v>
      </c>
      <c r="M46" t="str">
        <f>IF(SVF!L46=2,IF(SVF!C46="", "",SVF!C46),"")</f>
        <v/>
      </c>
      <c r="N46" t="str">
        <f>IF(SVF!L46=2,IF(SVF!D46="", "",SVF!D46),"")</f>
        <v/>
      </c>
      <c r="O46" t="str">
        <f t="shared" si="1"/>
        <v/>
      </c>
      <c r="P46" t="str">
        <f>IF(SVF!L46=3,IF(SVF!C46="", "",SVF!C46),"")</f>
        <v/>
      </c>
      <c r="Q46" t="str">
        <f>IF(SVF!L46=3,IF(SVF!D46="", "",SVF!D46),"")</f>
        <v/>
      </c>
      <c r="R46" t="str">
        <f t="shared" si="2"/>
        <v/>
      </c>
    </row>
    <row r="47" spans="1:18" x14ac:dyDescent="0.2">
      <c r="A47" s="30" t="s">
        <v>185</v>
      </c>
      <c r="B47" s="30">
        <v>0.22536404909999999</v>
      </c>
      <c r="C47" s="30">
        <v>0.20046789449999999</v>
      </c>
      <c r="D47" s="30"/>
      <c r="E47" s="30"/>
      <c r="F47" s="30"/>
      <c r="G47" s="3">
        <v>1</v>
      </c>
      <c r="H47">
        <f>SVF!A47</f>
        <v>123</v>
      </c>
      <c r="I47" s="22" t="str">
        <f>SVF!B47</f>
        <v>OD</v>
      </c>
      <c r="J47">
        <f>IF(SVF!L47=1,IF(SVF!C47="", "",SVF!C47),"")</f>
        <v>3</v>
      </c>
      <c r="K47" t="str">
        <f>IF(SVF!L47=1,IF(SVF!D47="", "",SVF!D47),"")</f>
        <v/>
      </c>
      <c r="L47" t="str">
        <f t="shared" si="5"/>
        <v/>
      </c>
      <c r="M47" t="str">
        <f>IF(SVF!L47=2,IF(SVF!C47="", "",SVF!C47),"")</f>
        <v/>
      </c>
      <c r="N47" t="str">
        <f>IF(SVF!L47=2,IF(SVF!D47="", "",SVF!D47),"")</f>
        <v/>
      </c>
      <c r="O47" t="str">
        <f t="shared" si="1"/>
        <v/>
      </c>
      <c r="P47" t="str">
        <f>IF(SVF!L47=3,IF(SVF!C47="", "",SVF!C47),"")</f>
        <v/>
      </c>
      <c r="Q47" t="str">
        <f>IF(SVF!L47=3,IF(SVF!D47="", "",SVF!D47),"")</f>
        <v/>
      </c>
      <c r="R47" t="str">
        <f t="shared" si="2"/>
        <v/>
      </c>
    </row>
    <row r="48" spans="1:18" x14ac:dyDescent="0.2">
      <c r="A48" s="30" t="s">
        <v>186</v>
      </c>
      <c r="B48" s="30">
        <v>0.91410300460000005</v>
      </c>
      <c r="C48" s="30">
        <v>3.6290897127999999</v>
      </c>
      <c r="D48" s="30"/>
      <c r="E48" s="30"/>
      <c r="F48" s="30"/>
      <c r="G48" s="3">
        <v>1</v>
      </c>
      <c r="H48">
        <f>SVF!A48</f>
        <v>123</v>
      </c>
      <c r="I48" s="22" t="str">
        <f>SVF!B48</f>
        <v>OS</v>
      </c>
      <c r="J48">
        <f>IF(SVF!L48=1,IF(SVF!C48="", "",SVF!C48),"")</f>
        <v>3</v>
      </c>
      <c r="K48" t="str">
        <f>IF(SVF!L48=1,IF(SVF!D48="", "",SVF!D48),"")</f>
        <v/>
      </c>
      <c r="L48" t="str">
        <f t="shared" si="5"/>
        <v/>
      </c>
      <c r="M48" t="str">
        <f>IF(SVF!L48=2,IF(SVF!C48="", "",SVF!C48),"")</f>
        <v/>
      </c>
      <c r="N48" t="str">
        <f>IF(SVF!L48=2,IF(SVF!D48="", "",SVF!D48),"")</f>
        <v/>
      </c>
      <c r="O48" t="str">
        <f t="shared" si="1"/>
        <v/>
      </c>
      <c r="P48" t="str">
        <f>IF(SVF!L48=3,IF(SVF!C48="", "",SVF!C48),"")</f>
        <v/>
      </c>
      <c r="Q48" t="str">
        <f>IF(SVF!L48=3,IF(SVF!D48="", "",SVF!D48),"")</f>
        <v/>
      </c>
      <c r="R48" t="str">
        <f t="shared" si="2"/>
        <v/>
      </c>
    </row>
    <row r="49" spans="1:18" x14ac:dyDescent="0.2">
      <c r="A49" s="30" t="s">
        <v>187</v>
      </c>
      <c r="B49" s="30">
        <v>-6.7949157999999996E-2</v>
      </c>
      <c r="C49" s="30">
        <v>2.7555256718000001</v>
      </c>
      <c r="D49" s="30"/>
      <c r="E49" s="30"/>
      <c r="F49" s="30"/>
      <c r="G49" s="3">
        <v>1</v>
      </c>
      <c r="H49">
        <f>SVF!A49</f>
        <v>126</v>
      </c>
      <c r="I49" s="22" t="str">
        <f>SVF!B49</f>
        <v>OD</v>
      </c>
      <c r="J49">
        <f>IF(SVF!L49=1,IF(SVF!C49="", "",SVF!C49),"")</f>
        <v>3</v>
      </c>
      <c r="K49" t="str">
        <f>IF(SVF!L49=1,IF(SVF!D49="", "",SVF!D49),"")</f>
        <v/>
      </c>
      <c r="L49" t="str">
        <f t="shared" si="5"/>
        <v/>
      </c>
      <c r="M49" t="str">
        <f>IF(SVF!L49=2,IF(SVF!C49="", "",SVF!C49),"")</f>
        <v/>
      </c>
      <c r="N49" t="str">
        <f>IF(SVF!L49=2,IF(SVF!D49="", "",SVF!D49),"")</f>
        <v/>
      </c>
      <c r="O49" t="str">
        <f t="shared" si="1"/>
        <v/>
      </c>
      <c r="P49" t="str">
        <f>IF(SVF!L49=3,IF(SVF!C49="", "",SVF!C49),"")</f>
        <v/>
      </c>
      <c r="Q49" t="str">
        <f>IF(SVF!L49=3,IF(SVF!D49="", "",SVF!D49),"")</f>
        <v/>
      </c>
      <c r="R49" t="str">
        <f t="shared" si="2"/>
        <v/>
      </c>
    </row>
    <row r="50" spans="1:18" x14ac:dyDescent="0.2">
      <c r="A50" s="30" t="s">
        <v>91</v>
      </c>
      <c r="B50" s="30">
        <v>13</v>
      </c>
      <c r="C50" s="30">
        <v>13</v>
      </c>
      <c r="D50" s="30"/>
      <c r="E50" s="30"/>
      <c r="F50" s="30"/>
      <c r="G50" s="3">
        <v>1</v>
      </c>
      <c r="H50">
        <f>SVF!A50</f>
        <v>126</v>
      </c>
      <c r="I50" s="22" t="str">
        <f>SVF!B50</f>
        <v>OS</v>
      </c>
      <c r="J50">
        <f>IF(SVF!L50=1,IF(SVF!C50="", "",SVF!C50),"")</f>
        <v>3</v>
      </c>
      <c r="K50" t="str">
        <f>IF(SVF!L50=1,IF(SVF!D50="", "",SVF!D50),"")</f>
        <v/>
      </c>
      <c r="L50" t="str">
        <f t="shared" si="5"/>
        <v/>
      </c>
      <c r="M50" t="str">
        <f>IF(SVF!L50=2,IF(SVF!C50="", "",SVF!C50),"")</f>
        <v/>
      </c>
      <c r="N50" t="str">
        <f>IF(SVF!L50=2,IF(SVF!D50="", "",SVF!D50),"")</f>
        <v/>
      </c>
      <c r="O50" t="str">
        <f t="shared" si="1"/>
        <v/>
      </c>
      <c r="P50" t="str">
        <f>IF(SVF!L50=3,IF(SVF!C50="", "",SVF!C50),"")</f>
        <v/>
      </c>
      <c r="Q50" t="str">
        <f>IF(SVF!L50=3,IF(SVF!D50="", "",SVF!D50),"")</f>
        <v/>
      </c>
      <c r="R50" t="str">
        <f t="shared" si="2"/>
        <v/>
      </c>
    </row>
    <row r="51" spans="1:18" x14ac:dyDescent="0.2">
      <c r="G51" s="3">
        <v>2</v>
      </c>
      <c r="H51">
        <f>SVF!A51</f>
        <v>127</v>
      </c>
      <c r="I51" s="22" t="str">
        <f>SVF!B51</f>
        <v>OD</v>
      </c>
      <c r="J51">
        <f>IF(SVF!L51=1,IF(SVF!C51="", "",SVF!C51),"")</f>
        <v>2.5</v>
      </c>
      <c r="K51">
        <f>IF(SVF!L51=1,IF(SVF!D51="", "",SVF!D51),"")</f>
        <v>3</v>
      </c>
      <c r="L51">
        <f t="shared" si="5"/>
        <v>0.5</v>
      </c>
      <c r="M51" t="str">
        <f>IF(SVF!L51=2,IF(SVF!C51="", "",SVF!C51),"")</f>
        <v/>
      </c>
      <c r="N51" t="str">
        <f>IF(SVF!L51=2,IF(SVF!D51="", "",SVF!D51),"")</f>
        <v/>
      </c>
      <c r="O51" t="str">
        <f t="shared" si="1"/>
        <v/>
      </c>
      <c r="P51" t="str">
        <f>IF(SVF!L51=3,IF(SVF!C51="", "",SVF!C51),"")</f>
        <v/>
      </c>
      <c r="Q51" t="str">
        <f>IF(SVF!L51=3,IF(SVF!D51="", "",SVF!D51),"")</f>
        <v/>
      </c>
      <c r="R51" t="str">
        <f t="shared" si="2"/>
        <v/>
      </c>
    </row>
    <row r="52" spans="1:18" x14ac:dyDescent="0.2">
      <c r="G52" s="3">
        <v>2</v>
      </c>
      <c r="H52">
        <f>SVF!A52</f>
        <v>127</v>
      </c>
      <c r="I52" s="22" t="str">
        <f>SVF!B52</f>
        <v>OS</v>
      </c>
      <c r="J52">
        <f>IF(SVF!L52=1,IF(SVF!C52="", "",SVF!C52),"")</f>
        <v>1.5</v>
      </c>
      <c r="K52">
        <f>IF(SVF!L52=1,IF(SVF!D52="", "",SVF!D52),"")</f>
        <v>2</v>
      </c>
      <c r="L52">
        <f t="shared" si="5"/>
        <v>0.5</v>
      </c>
      <c r="M52" t="str">
        <f>IF(SVF!L52=2,IF(SVF!C52="", "",SVF!C52),"")</f>
        <v/>
      </c>
      <c r="N52" t="str">
        <f>IF(SVF!L52=2,IF(SVF!D52="", "",SVF!D52),"")</f>
        <v/>
      </c>
      <c r="O52" t="str">
        <f t="shared" si="1"/>
        <v/>
      </c>
      <c r="P52" t="str">
        <f>IF(SVF!L52=3,IF(SVF!C52="", "",SVF!C52),"")</f>
        <v/>
      </c>
      <c r="Q52" t="str">
        <f>IF(SVF!L52=3,IF(SVF!D52="", "",SVF!D52),"")</f>
        <v/>
      </c>
      <c r="R52" t="str">
        <f t="shared" si="2"/>
        <v/>
      </c>
    </row>
    <row r="53" spans="1:18" x14ac:dyDescent="0.2">
      <c r="G53" s="3">
        <v>2</v>
      </c>
      <c r="H53">
        <f>SVF!A53</f>
        <v>132</v>
      </c>
      <c r="I53" s="22" t="str">
        <f>SVF!B53</f>
        <v>OD</v>
      </c>
      <c r="J53">
        <f>IF(SVF!L53=1,IF(SVF!C53="", "",SVF!C53),"")</f>
        <v>0</v>
      </c>
      <c r="K53" t="str">
        <f>IF(SVF!L53=1,IF(SVF!D53="", "",SVF!D53),"")</f>
        <v/>
      </c>
      <c r="L53" t="str">
        <f t="shared" si="5"/>
        <v/>
      </c>
      <c r="M53" t="str">
        <f>IF(SVF!L53=2,IF(SVF!C53="", "",SVF!C53),"")</f>
        <v/>
      </c>
      <c r="N53" t="str">
        <f>IF(SVF!L53=2,IF(SVF!D53="", "",SVF!D53),"")</f>
        <v/>
      </c>
      <c r="O53" t="str">
        <f t="shared" si="1"/>
        <v/>
      </c>
      <c r="P53" t="str">
        <f>IF(SVF!L53=3,IF(SVF!C53="", "",SVF!C53),"")</f>
        <v/>
      </c>
      <c r="Q53" t="str">
        <f>IF(SVF!L53=3,IF(SVF!D53="", "",SVF!D53),"")</f>
        <v/>
      </c>
      <c r="R53" t="str">
        <f t="shared" si="2"/>
        <v/>
      </c>
    </row>
    <row r="54" spans="1:18" x14ac:dyDescent="0.2">
      <c r="G54" s="3">
        <v>2</v>
      </c>
      <c r="H54">
        <f>SVF!A54</f>
        <v>132</v>
      </c>
      <c r="I54" s="22" t="str">
        <f>SVF!B54</f>
        <v>OS</v>
      </c>
      <c r="J54">
        <f>IF(SVF!L54=1,IF(SVF!C54="", "",SVF!C54),"")</f>
        <v>0</v>
      </c>
      <c r="K54" t="str">
        <f>IF(SVF!L54=1,IF(SVF!D54="", "",SVF!D54),"")</f>
        <v/>
      </c>
      <c r="L54" t="str">
        <f t="shared" si="5"/>
        <v/>
      </c>
      <c r="M54" t="str">
        <f>IF(SVF!L54=2,IF(SVF!C54="", "",SVF!C54),"")</f>
        <v/>
      </c>
      <c r="N54" t="str">
        <f>IF(SVF!L54=2,IF(SVF!D54="", "",SVF!D54),"")</f>
        <v/>
      </c>
      <c r="O54" t="str">
        <f t="shared" si="1"/>
        <v/>
      </c>
      <c r="P54" t="str">
        <f>IF(SVF!L54=3,IF(SVF!C54="", "",SVF!C54),"")</f>
        <v/>
      </c>
      <c r="Q54" t="str">
        <f>IF(SVF!L54=3,IF(SVF!D54="", "",SVF!D54),"")</f>
        <v/>
      </c>
      <c r="R54" t="str">
        <f t="shared" si="2"/>
        <v/>
      </c>
    </row>
    <row r="55" spans="1:18" x14ac:dyDescent="0.2">
      <c r="G55" s="3">
        <v>1</v>
      </c>
      <c r="H55">
        <f>SVF!A55</f>
        <v>133</v>
      </c>
      <c r="I55" s="22" t="str">
        <f>SVF!B55</f>
        <v>OD</v>
      </c>
      <c r="J55">
        <f>IF(SVF!L55=1,IF(SVF!C55="", "",SVF!C55),"")</f>
        <v>3</v>
      </c>
      <c r="K55">
        <f>IF(SVF!L55=1,IF(SVF!D55="", "",SVF!D55),"")</f>
        <v>4</v>
      </c>
      <c r="L55">
        <f t="shared" si="5"/>
        <v>1</v>
      </c>
      <c r="M55" t="str">
        <f>IF(SVF!L55=2,IF(SVF!C55="", "",SVF!C55),"")</f>
        <v/>
      </c>
      <c r="N55" t="str">
        <f>IF(SVF!L55=2,IF(SVF!D55="", "",SVF!D55),"")</f>
        <v/>
      </c>
      <c r="O55" t="str">
        <f t="shared" si="1"/>
        <v/>
      </c>
      <c r="P55" t="str">
        <f>IF(SVF!L55=3,IF(SVF!C55="", "",SVF!C55),"")</f>
        <v/>
      </c>
      <c r="Q55" t="str">
        <f>IF(SVF!L55=3,IF(SVF!D55="", "",SVF!D55),"")</f>
        <v/>
      </c>
      <c r="R55" t="str">
        <f t="shared" si="2"/>
        <v/>
      </c>
    </row>
    <row r="56" spans="1:18" x14ac:dyDescent="0.2">
      <c r="G56" s="3">
        <v>1</v>
      </c>
      <c r="H56">
        <f>SVF!A56</f>
        <v>133</v>
      </c>
      <c r="I56" s="22" t="str">
        <f>SVF!B56</f>
        <v>OS</v>
      </c>
      <c r="J56">
        <f>IF(SVF!L56=1,IF(SVF!C56="", "",SVF!C56),"")</f>
        <v>4.5</v>
      </c>
      <c r="K56">
        <f>IF(SVF!L56=1,IF(SVF!D56="", "",SVF!D56),"")</f>
        <v>4</v>
      </c>
      <c r="L56">
        <f t="shared" si="5"/>
        <v>-0.5</v>
      </c>
      <c r="M56" t="str">
        <f>IF(SVF!L56=2,IF(SVF!C56="", "",SVF!C56),"")</f>
        <v/>
      </c>
      <c r="N56" t="str">
        <f>IF(SVF!L56=2,IF(SVF!D56="", "",SVF!D56),"")</f>
        <v/>
      </c>
      <c r="O56" t="str">
        <f t="shared" si="1"/>
        <v/>
      </c>
      <c r="P56" t="str">
        <f>IF(SVF!L56=3,IF(SVF!C56="", "",SVF!C56),"")</f>
        <v/>
      </c>
      <c r="Q56" t="str">
        <f>IF(SVF!L56=3,IF(SVF!D56="", "",SVF!D56),"")</f>
        <v/>
      </c>
      <c r="R56" t="str">
        <f t="shared" si="2"/>
        <v/>
      </c>
    </row>
    <row r="57" spans="1:18" x14ac:dyDescent="0.2">
      <c r="G57" s="3">
        <v>2</v>
      </c>
      <c r="H57">
        <f>SVF!A57</f>
        <v>138</v>
      </c>
      <c r="I57" s="22" t="str">
        <f>SVF!B57</f>
        <v>OD</v>
      </c>
      <c r="J57">
        <f>IF(SVF!L57=1,IF(SVF!C57="", "",SVF!C57),"")</f>
        <v>3</v>
      </c>
      <c r="K57">
        <f>IF(SVF!L57=1,IF(SVF!D57="", "",SVF!D57),"")</f>
        <v>4</v>
      </c>
      <c r="L57">
        <f t="shared" si="5"/>
        <v>1</v>
      </c>
      <c r="M57" t="str">
        <f>IF(SVF!L57=2,IF(SVF!C57="", "",SVF!C57),"")</f>
        <v/>
      </c>
      <c r="N57" t="str">
        <f>IF(SVF!L57=2,IF(SVF!D57="", "",SVF!D57),"")</f>
        <v/>
      </c>
      <c r="O57" t="str">
        <f t="shared" si="1"/>
        <v/>
      </c>
      <c r="P57" t="str">
        <f>IF(SVF!L57=3,IF(SVF!C57="", "",SVF!C57),"")</f>
        <v/>
      </c>
      <c r="Q57" t="str">
        <f>IF(SVF!L57=3,IF(SVF!D57="", "",SVF!D57),"")</f>
        <v/>
      </c>
      <c r="R57" t="str">
        <f t="shared" si="2"/>
        <v/>
      </c>
    </row>
    <row r="58" spans="1:18" x14ac:dyDescent="0.2">
      <c r="G58" s="3">
        <v>2</v>
      </c>
      <c r="H58">
        <f>SVF!A58</f>
        <v>138</v>
      </c>
      <c r="I58" s="22" t="str">
        <f>SVF!B58</f>
        <v>OS</v>
      </c>
      <c r="J58">
        <f>IF(SVF!L58=1,IF(SVF!C58="", "",SVF!C58),"")</f>
        <v>2.5</v>
      </c>
      <c r="K58">
        <f>IF(SVF!L58=1,IF(SVF!D58="", "",SVF!D58),"")</f>
        <v>4</v>
      </c>
      <c r="L58">
        <f t="shared" si="5"/>
        <v>1.5</v>
      </c>
      <c r="M58" t="str">
        <f>IF(SVF!L58=2,IF(SVF!C58="", "",SVF!C58),"")</f>
        <v/>
      </c>
      <c r="N58" t="str">
        <f>IF(SVF!L58=2,IF(SVF!D58="", "",SVF!D58),"")</f>
        <v/>
      </c>
      <c r="O58" t="str">
        <f t="shared" si="1"/>
        <v/>
      </c>
      <c r="P58" t="str">
        <f>IF(SVF!L58=3,IF(SVF!C58="", "",SVF!C58),"")</f>
        <v/>
      </c>
      <c r="Q58" t="str">
        <f>IF(SVF!L58=3,IF(SVF!D58="", "",SVF!D58),"")</f>
        <v/>
      </c>
      <c r="R58" t="str">
        <f t="shared" si="2"/>
        <v/>
      </c>
    </row>
    <row r="59" spans="1:18" x14ac:dyDescent="0.2">
      <c r="G59" s="3">
        <v>3</v>
      </c>
      <c r="H59">
        <f>SVF!A59</f>
        <v>140</v>
      </c>
      <c r="I59" s="22" t="str">
        <f>SVF!B59</f>
        <v>OD</v>
      </c>
      <c r="J59">
        <f>IF(SVF!L59=1,IF(SVF!C59="", "",SVF!C59),"")</f>
        <v>3.5</v>
      </c>
      <c r="K59">
        <f>IF(SVF!L59=1,IF(SVF!D59="", "",SVF!D59),"")</f>
        <v>4</v>
      </c>
      <c r="L59">
        <f t="shared" si="5"/>
        <v>0.5</v>
      </c>
      <c r="M59" t="str">
        <f>IF(SVF!L59=2,IF(SVF!C59="", "",SVF!C59),"")</f>
        <v/>
      </c>
      <c r="N59" t="str">
        <f>IF(SVF!L59=2,IF(SVF!D59="", "",SVF!D59),"")</f>
        <v/>
      </c>
      <c r="O59" t="str">
        <f t="shared" si="1"/>
        <v/>
      </c>
      <c r="P59" t="str">
        <f>IF(SVF!L59=3,IF(SVF!C59="", "",SVF!C59),"")</f>
        <v/>
      </c>
      <c r="Q59" t="str">
        <f>IF(SVF!L59=3,IF(SVF!D59="", "",SVF!D59),"")</f>
        <v/>
      </c>
      <c r="R59" t="str">
        <f t="shared" si="2"/>
        <v/>
      </c>
    </row>
    <row r="60" spans="1:18" x14ac:dyDescent="0.2">
      <c r="G60" s="3">
        <v>3</v>
      </c>
      <c r="H60">
        <f>SVF!A60</f>
        <v>140</v>
      </c>
      <c r="I60" s="22" t="str">
        <f>SVF!B60</f>
        <v>OS</v>
      </c>
      <c r="J60">
        <f>IF(SVF!L60=1,IF(SVF!C60="", "",SVF!C60),"")</f>
        <v>3.5</v>
      </c>
      <c r="K60">
        <f>IF(SVF!L60=1,IF(SVF!D60="", "",SVF!D60),"")</f>
        <v>4</v>
      </c>
      <c r="L60">
        <f t="shared" si="5"/>
        <v>0.5</v>
      </c>
      <c r="M60" t="str">
        <f>IF(SVF!L60=2,IF(SVF!C60="", "",SVF!C60),"")</f>
        <v/>
      </c>
      <c r="N60" t="str">
        <f>IF(SVF!L60=2,IF(SVF!D60="", "",SVF!D60),"")</f>
        <v/>
      </c>
      <c r="O60" t="str">
        <f t="shared" si="1"/>
        <v/>
      </c>
      <c r="P60" t="str">
        <f>IF(SVF!L60=3,IF(SVF!C60="", "",SVF!C60),"")</f>
        <v/>
      </c>
      <c r="Q60" t="str">
        <f>IF(SVF!L60=3,IF(SVF!D60="", "",SVF!D60),"")</f>
        <v/>
      </c>
      <c r="R60" t="str">
        <f t="shared" si="2"/>
        <v/>
      </c>
    </row>
    <row r="61" spans="1:18" x14ac:dyDescent="0.2">
      <c r="G61" s="3">
        <v>1</v>
      </c>
      <c r="H61">
        <f>SVF!A61</f>
        <v>143</v>
      </c>
      <c r="I61" s="22" t="str">
        <f>SVF!B61</f>
        <v>OD</v>
      </c>
      <c r="J61">
        <f>IF(SVF!L61=1,IF(SVF!C61="", "",SVF!C61),"")</f>
        <v>2</v>
      </c>
      <c r="K61" t="str">
        <f>IF(SVF!L61=1,IF(SVF!D61="", "",SVF!D61),"")</f>
        <v/>
      </c>
      <c r="L61" t="str">
        <f t="shared" si="5"/>
        <v/>
      </c>
      <c r="M61" t="str">
        <f>IF(SVF!L61=2,IF(SVF!C61="", "",SVF!C61),"")</f>
        <v/>
      </c>
      <c r="N61" t="str">
        <f>IF(SVF!L61=2,IF(SVF!D61="", "",SVF!D61),"")</f>
        <v/>
      </c>
      <c r="O61" t="str">
        <f t="shared" si="1"/>
        <v/>
      </c>
      <c r="P61" t="str">
        <f>IF(SVF!L61=3,IF(SVF!C61="", "",SVF!C61),"")</f>
        <v/>
      </c>
      <c r="Q61" t="str">
        <f>IF(SVF!L61=3,IF(SVF!D61="", "",SVF!D61),"")</f>
        <v/>
      </c>
      <c r="R61" t="str">
        <f t="shared" si="2"/>
        <v/>
      </c>
    </row>
    <row r="62" spans="1:18" x14ac:dyDescent="0.2">
      <c r="G62" s="3">
        <v>1</v>
      </c>
      <c r="H62">
        <f>SVF!A62</f>
        <v>143</v>
      </c>
      <c r="I62" s="22" t="str">
        <f>SVF!B62</f>
        <v>OS</v>
      </c>
      <c r="J62">
        <f>IF(SVF!L62=1,IF(SVF!C62="", "",SVF!C62),"")</f>
        <v>2</v>
      </c>
      <c r="K62" t="str">
        <f>IF(SVF!L62=1,IF(SVF!D62="", "",SVF!D62),"")</f>
        <v/>
      </c>
      <c r="L62" t="str">
        <f t="shared" si="5"/>
        <v/>
      </c>
      <c r="M62" t="str">
        <f>IF(SVF!L62=2,IF(SVF!C62="", "",SVF!C62),"")</f>
        <v/>
      </c>
      <c r="N62" t="str">
        <f>IF(SVF!L62=2,IF(SVF!D62="", "",SVF!D62),"")</f>
        <v/>
      </c>
      <c r="O62" t="str">
        <f t="shared" si="1"/>
        <v/>
      </c>
      <c r="P62" t="str">
        <f>IF(SVF!L62=3,IF(SVF!C62="", "",SVF!C62),"")</f>
        <v/>
      </c>
      <c r="Q62" t="str">
        <f>IF(SVF!L62=3,IF(SVF!D62="", "",SVF!D62),"")</f>
        <v/>
      </c>
      <c r="R62" t="str">
        <f t="shared" si="2"/>
        <v/>
      </c>
    </row>
    <row r="63" spans="1:18" x14ac:dyDescent="0.2">
      <c r="G63" s="3">
        <v>1</v>
      </c>
      <c r="H63">
        <f>SVF!A63</f>
        <v>11</v>
      </c>
      <c r="I63" s="22" t="str">
        <f>SVF!B63</f>
        <v>OD</v>
      </c>
      <c r="J63" t="str">
        <f>IF(SVF!L63=1,IF(SVF!C63="", "",SVF!C63),"")</f>
        <v/>
      </c>
      <c r="K63" t="str">
        <f>IF(SVF!L63=1,IF(SVF!D63="", "",SVF!D63),"")</f>
        <v/>
      </c>
      <c r="L63" t="str">
        <f t="shared" si="5"/>
        <v/>
      </c>
      <c r="M63">
        <f>IF(SVF!L63=2,IF(SVF!C63="", "",SVF!C63),"")</f>
        <v>0.5</v>
      </c>
      <c r="N63">
        <f>IF(SVF!L63=2,IF(SVF!D63="", "",SVF!D63),"")</f>
        <v>4</v>
      </c>
      <c r="O63">
        <f t="shared" si="1"/>
        <v>3.5</v>
      </c>
      <c r="P63" t="str">
        <f>IF(SVF!L63=3,IF(SVF!C63="", "",SVF!C63),"")</f>
        <v/>
      </c>
      <c r="Q63" t="str">
        <f>IF(SVF!L63=3,IF(SVF!D63="", "",SVF!D63),"")</f>
        <v/>
      </c>
      <c r="R63" t="str">
        <f t="shared" si="2"/>
        <v/>
      </c>
    </row>
    <row r="64" spans="1:18" x14ac:dyDescent="0.2">
      <c r="G64" s="3">
        <v>1</v>
      </c>
      <c r="H64">
        <f>SVF!A64</f>
        <v>11</v>
      </c>
      <c r="I64" s="22" t="str">
        <f>SVF!B64</f>
        <v>OS</v>
      </c>
      <c r="J64" t="str">
        <f>IF(SVF!L64=1,IF(SVF!C64="", "",SVF!C64),"")</f>
        <v/>
      </c>
      <c r="K64" t="str">
        <f>IF(SVF!L64=1,IF(SVF!D64="", "",SVF!D64),"")</f>
        <v/>
      </c>
      <c r="L64" t="str">
        <f t="shared" si="5"/>
        <v/>
      </c>
      <c r="M64">
        <f>IF(SVF!L64=2,IF(SVF!C64="", "",SVF!C64),"")</f>
        <v>0.5</v>
      </c>
      <c r="N64">
        <f>IF(SVF!L64=2,IF(SVF!D64="", "",SVF!D64),"")</f>
        <v>4.5</v>
      </c>
      <c r="O64">
        <f t="shared" si="1"/>
        <v>4</v>
      </c>
      <c r="P64" t="str">
        <f>IF(SVF!L64=3,IF(SVF!C64="", "",SVF!C64),"")</f>
        <v/>
      </c>
      <c r="Q64" t="str">
        <f>IF(SVF!L64=3,IF(SVF!D64="", "",SVF!D64),"")</f>
        <v/>
      </c>
      <c r="R64" t="str">
        <f t="shared" si="2"/>
        <v/>
      </c>
    </row>
    <row r="65" spans="7:18" x14ac:dyDescent="0.2">
      <c r="G65" s="3">
        <v>1</v>
      </c>
      <c r="H65">
        <f>SVF!A65</f>
        <v>15</v>
      </c>
      <c r="I65" s="22" t="str">
        <f>SVF!B65</f>
        <v>OD</v>
      </c>
      <c r="J65" t="str">
        <f>IF(SVF!L65=1,IF(SVF!C65="", "",SVF!C65),"")</f>
        <v/>
      </c>
      <c r="K65" t="str">
        <f>IF(SVF!L65=1,IF(SVF!D65="", "",SVF!D65),"")</f>
        <v/>
      </c>
      <c r="L65" t="str">
        <f t="shared" si="5"/>
        <v/>
      </c>
      <c r="M65">
        <f>IF(SVF!L65=2,IF(SVF!C65="", "",SVF!C65),"")</f>
        <v>0.25</v>
      </c>
      <c r="N65">
        <f>IF(SVF!L65=2,IF(SVF!D65="", "",SVF!D65),"")</f>
        <v>3</v>
      </c>
      <c r="O65">
        <f t="shared" si="1"/>
        <v>2.75</v>
      </c>
      <c r="P65" t="str">
        <f>IF(SVF!L65=3,IF(SVF!C65="", "",SVF!C65),"")</f>
        <v/>
      </c>
      <c r="Q65" t="str">
        <f>IF(SVF!L65=3,IF(SVF!D65="", "",SVF!D65),"")</f>
        <v/>
      </c>
      <c r="R65" t="str">
        <f t="shared" si="2"/>
        <v/>
      </c>
    </row>
    <row r="66" spans="7:18" x14ac:dyDescent="0.2">
      <c r="G66" s="3">
        <v>1</v>
      </c>
      <c r="H66">
        <f>SVF!A66</f>
        <v>20</v>
      </c>
      <c r="I66" s="22" t="str">
        <f>SVF!B66</f>
        <v>OD</v>
      </c>
      <c r="J66" t="str">
        <f>IF(SVF!L66=1,IF(SVF!C66="", "",SVF!C66),"")</f>
        <v/>
      </c>
      <c r="K66" t="str">
        <f>IF(SVF!L66=1,IF(SVF!D66="", "",SVF!D66),"")</f>
        <v/>
      </c>
      <c r="L66" t="str">
        <f t="shared" si="5"/>
        <v/>
      </c>
      <c r="M66">
        <f>IF(SVF!L66=2,IF(SVF!C66="", "",SVF!C66),"")</f>
        <v>0.25</v>
      </c>
      <c r="N66">
        <f>IF(SVF!L66=2,IF(SVF!D66="", "",SVF!D66),"")</f>
        <v>4</v>
      </c>
      <c r="O66">
        <f t="shared" si="1"/>
        <v>3.75</v>
      </c>
      <c r="P66" t="str">
        <f>IF(SVF!L66=3,IF(SVF!C66="", "",SVF!C66),"")</f>
        <v/>
      </c>
      <c r="Q66" t="str">
        <f>IF(SVF!L66=3,IF(SVF!D66="", "",SVF!D66),"")</f>
        <v/>
      </c>
      <c r="R66" t="str">
        <f t="shared" si="2"/>
        <v/>
      </c>
    </row>
    <row r="67" spans="7:18" x14ac:dyDescent="0.2">
      <c r="G67" s="3">
        <v>1</v>
      </c>
      <c r="H67">
        <f>SVF!A67</f>
        <v>20</v>
      </c>
      <c r="I67" s="22" t="str">
        <f>SVF!B67</f>
        <v>OS</v>
      </c>
      <c r="J67" t="str">
        <f>IF(SVF!L67=1,IF(SVF!C67="", "",SVF!C67),"")</f>
        <v/>
      </c>
      <c r="K67" t="str">
        <f>IF(SVF!L67=1,IF(SVF!D67="", "",SVF!D67),"")</f>
        <v/>
      </c>
      <c r="L67" t="str">
        <f t="shared" si="5"/>
        <v/>
      </c>
      <c r="M67">
        <f>IF(SVF!L67=2,IF(SVF!C67="", "",SVF!C67),"")</f>
        <v>0</v>
      </c>
      <c r="N67">
        <f>IF(SVF!L67=2,IF(SVF!D67="", "",SVF!D67),"")</f>
        <v>4</v>
      </c>
      <c r="O67">
        <f t="shared" ref="O67:O105" si="6">IF(M67="","",IF(N67="","",(N67-M67)))</f>
        <v>4</v>
      </c>
      <c r="P67" t="str">
        <f>IF(SVF!L67=3,IF(SVF!C67="", "",SVF!C67),"")</f>
        <v/>
      </c>
      <c r="Q67" t="str">
        <f>IF(SVF!L67=3,IF(SVF!D67="", "",SVF!D67),"")</f>
        <v/>
      </c>
      <c r="R67" t="str">
        <f t="shared" ref="R67:R105" si="7">IF(P67="","",IF(Q67="","",(Q67-P67)))</f>
        <v/>
      </c>
    </row>
    <row r="68" spans="7:18" x14ac:dyDescent="0.2">
      <c r="G68" s="3">
        <v>1</v>
      </c>
      <c r="H68">
        <f>SVF!A68</f>
        <v>28</v>
      </c>
      <c r="I68" s="22" t="str">
        <f>SVF!B68</f>
        <v>OD</v>
      </c>
      <c r="J68" t="str">
        <f>IF(SVF!L68=1,IF(SVF!C68="", "",SVF!C68),"")</f>
        <v/>
      </c>
      <c r="K68" t="str">
        <f>IF(SVF!L68=1,IF(SVF!D68="", "",SVF!D68),"")</f>
        <v/>
      </c>
      <c r="L68" t="str">
        <f t="shared" si="5"/>
        <v/>
      </c>
      <c r="M68">
        <f>IF(SVF!L68=2,IF(SVF!C68="", "",SVF!C68),"")</f>
        <v>0.5</v>
      </c>
      <c r="N68">
        <f>IF(SVF!L68=2,IF(SVF!D68="", "",SVF!D68),"")</f>
        <v>3</v>
      </c>
      <c r="O68">
        <f t="shared" si="6"/>
        <v>2.5</v>
      </c>
      <c r="P68" t="str">
        <f>IF(SVF!L68=3,IF(SVF!C68="", "",SVF!C68),"")</f>
        <v/>
      </c>
      <c r="Q68" t="str">
        <f>IF(SVF!L68=3,IF(SVF!D68="", "",SVF!D68),"")</f>
        <v/>
      </c>
      <c r="R68" t="str">
        <f t="shared" si="7"/>
        <v/>
      </c>
    </row>
    <row r="69" spans="7:18" x14ac:dyDescent="0.2">
      <c r="G69" s="3">
        <v>2</v>
      </c>
      <c r="H69">
        <f>SVF!A69</f>
        <v>28</v>
      </c>
      <c r="I69" s="22" t="str">
        <f>SVF!B69</f>
        <v>OS</v>
      </c>
      <c r="J69" t="str">
        <f>IF(SVF!L69=1,IF(SVF!C69="", "",SVF!C69),"")</f>
        <v/>
      </c>
      <c r="K69" t="str">
        <f>IF(SVF!L69=1,IF(SVF!D69="", "",SVF!D69),"")</f>
        <v/>
      </c>
      <c r="L69" t="str">
        <f t="shared" si="5"/>
        <v/>
      </c>
      <c r="M69">
        <f>IF(SVF!L69=2,IF(SVF!C69="", "",SVF!C69),"")</f>
        <v>-1</v>
      </c>
      <c r="N69">
        <f>IF(SVF!L69=2,IF(SVF!D69="", "",SVF!D69),"")</f>
        <v>3</v>
      </c>
      <c r="O69">
        <f t="shared" si="6"/>
        <v>4</v>
      </c>
      <c r="P69" t="str">
        <f>IF(SVF!L69=3,IF(SVF!C69="", "",SVF!C69),"")</f>
        <v/>
      </c>
      <c r="Q69" t="str">
        <f>IF(SVF!L69=3,IF(SVF!D69="", "",SVF!D69),"")</f>
        <v/>
      </c>
      <c r="R69" t="str">
        <f t="shared" si="7"/>
        <v/>
      </c>
    </row>
    <row r="70" spans="7:18" x14ac:dyDescent="0.2">
      <c r="G70" s="3">
        <v>2</v>
      </c>
      <c r="H70">
        <f>SVF!A70</f>
        <v>29</v>
      </c>
      <c r="I70" s="22" t="str">
        <f>SVF!B70</f>
        <v>OD</v>
      </c>
      <c r="J70" t="str">
        <f>IF(SVF!L70=1,IF(SVF!C70="", "",SVF!C70),"")</f>
        <v/>
      </c>
      <c r="K70" t="str">
        <f>IF(SVF!L70=1,IF(SVF!D70="", "",SVF!D70),"")</f>
        <v/>
      </c>
      <c r="L70" t="str">
        <f t="shared" si="5"/>
        <v/>
      </c>
      <c r="M70">
        <f>IF(SVF!L70=2,IF(SVF!C70="", "",SVF!C70),"")</f>
        <v>0.5</v>
      </c>
      <c r="N70">
        <f>IF(SVF!L70=2,IF(SVF!D70="", "",SVF!D70),"")</f>
        <v>4</v>
      </c>
      <c r="O70">
        <f t="shared" si="6"/>
        <v>3.5</v>
      </c>
      <c r="P70" t="str">
        <f>IF(SVF!L70=3,IF(SVF!C70="", "",SVF!C70),"")</f>
        <v/>
      </c>
      <c r="Q70" t="str">
        <f>IF(SVF!L70=3,IF(SVF!D70="", "",SVF!D70),"")</f>
        <v/>
      </c>
      <c r="R70" t="str">
        <f t="shared" si="7"/>
        <v/>
      </c>
    </row>
    <row r="71" spans="7:18" x14ac:dyDescent="0.2">
      <c r="G71" s="3">
        <v>3</v>
      </c>
      <c r="H71">
        <f>SVF!A71</f>
        <v>31</v>
      </c>
      <c r="I71" s="22" t="str">
        <f>SVF!B71</f>
        <v>OD</v>
      </c>
      <c r="J71" t="str">
        <f>IF(SVF!L71=1,IF(SVF!C71="", "",SVF!C71),"")</f>
        <v/>
      </c>
      <c r="K71" t="str">
        <f>IF(SVF!L71=1,IF(SVF!D71="", "",SVF!D71),"")</f>
        <v/>
      </c>
      <c r="L71" t="str">
        <f t="shared" si="5"/>
        <v/>
      </c>
      <c r="M71">
        <f>IF(SVF!L71=2,IF(SVF!C71="", "",SVF!C71),"")</f>
        <v>0</v>
      </c>
      <c r="N71">
        <f>IF(SVF!L71=2,IF(SVF!D71="", "",SVF!D71),"")</f>
        <v>2</v>
      </c>
      <c r="O71">
        <f t="shared" si="6"/>
        <v>2</v>
      </c>
      <c r="P71" t="str">
        <f>IF(SVF!L71=3,IF(SVF!C71="", "",SVF!C71),"")</f>
        <v/>
      </c>
      <c r="Q71" t="str">
        <f>IF(SVF!L71=3,IF(SVF!D71="", "",SVF!D71),"")</f>
        <v/>
      </c>
      <c r="R71" t="str">
        <f t="shared" si="7"/>
        <v/>
      </c>
    </row>
    <row r="72" spans="7:18" x14ac:dyDescent="0.2">
      <c r="G72" s="3">
        <v>3</v>
      </c>
      <c r="H72">
        <f>SVF!A72</f>
        <v>34</v>
      </c>
      <c r="I72" s="22" t="str">
        <f>SVF!B72</f>
        <v>OD</v>
      </c>
      <c r="J72" t="str">
        <f>IF(SVF!L72=1,IF(SVF!C72="", "",SVF!C72),"")</f>
        <v/>
      </c>
      <c r="K72" t="str">
        <f>IF(SVF!L72=1,IF(SVF!D72="", "",SVF!D72),"")</f>
        <v/>
      </c>
      <c r="L72" t="str">
        <f t="shared" si="5"/>
        <v/>
      </c>
      <c r="M72">
        <f>IF(SVF!L72=2,IF(SVF!C72="", "",SVF!C72),"")</f>
        <v>0</v>
      </c>
      <c r="N72">
        <f>IF(SVF!L72=2,IF(SVF!D72="", "",SVF!D72),"")</f>
        <v>2.5</v>
      </c>
      <c r="O72">
        <f t="shared" si="6"/>
        <v>2.5</v>
      </c>
      <c r="P72" t="str">
        <f>IF(SVF!L72=3,IF(SVF!C72="", "",SVF!C72),"")</f>
        <v/>
      </c>
      <c r="Q72" t="str">
        <f>IF(SVF!L72=3,IF(SVF!D72="", "",SVF!D72),"")</f>
        <v/>
      </c>
      <c r="R72" t="str">
        <f t="shared" si="7"/>
        <v/>
      </c>
    </row>
    <row r="73" spans="7:18" x14ac:dyDescent="0.2">
      <c r="G73" s="3">
        <v>2</v>
      </c>
      <c r="H73">
        <f>SVF!A73</f>
        <v>34</v>
      </c>
      <c r="I73" s="22" t="str">
        <f>SVF!B73</f>
        <v>OS</v>
      </c>
      <c r="J73" t="str">
        <f>IF(SVF!L73=1,IF(SVF!C73="", "",SVF!C73),"")</f>
        <v/>
      </c>
      <c r="K73" t="str">
        <f>IF(SVF!L73=1,IF(SVF!D73="", "",SVF!D73),"")</f>
        <v/>
      </c>
      <c r="L73" t="str">
        <f t="shared" si="5"/>
        <v/>
      </c>
      <c r="M73">
        <f>IF(SVF!L73=2,IF(SVF!C73="", "",SVF!C73),"")</f>
        <v>0.5</v>
      </c>
      <c r="N73">
        <f>IF(SVF!L73=2,IF(SVF!D73="", "",SVF!D73),"")</f>
        <v>3</v>
      </c>
      <c r="O73">
        <f t="shared" si="6"/>
        <v>2.5</v>
      </c>
      <c r="P73" t="str">
        <f>IF(SVF!L73=3,IF(SVF!C73="", "",SVF!C73),"")</f>
        <v/>
      </c>
      <c r="Q73" t="str">
        <f>IF(SVF!L73=3,IF(SVF!D73="", "",SVF!D73),"")</f>
        <v/>
      </c>
      <c r="R73" t="str">
        <f t="shared" si="7"/>
        <v/>
      </c>
    </row>
    <row r="74" spans="7:18" x14ac:dyDescent="0.2">
      <c r="G74" s="3">
        <v>2</v>
      </c>
      <c r="H74">
        <f>SVF!A74</f>
        <v>39</v>
      </c>
      <c r="I74" s="22" t="str">
        <f>SVF!B74</f>
        <v>OD</v>
      </c>
      <c r="J74" t="str">
        <f>IF(SVF!L74=1,IF(SVF!C74="", "",SVF!C74),"")</f>
        <v/>
      </c>
      <c r="K74" t="str">
        <f>IF(SVF!L74=1,IF(SVF!D74="", "",SVF!D74),"")</f>
        <v/>
      </c>
      <c r="L74" t="str">
        <f t="shared" si="5"/>
        <v/>
      </c>
      <c r="M74">
        <f>IF(SVF!L74=2,IF(SVF!C74="", "",SVF!C74),"")</f>
        <v>2</v>
      </c>
      <c r="N74">
        <f>IF(SVF!L74=2,IF(SVF!D74="", "",SVF!D74),"")</f>
        <v>2</v>
      </c>
      <c r="O74">
        <f t="shared" si="6"/>
        <v>0</v>
      </c>
      <c r="P74" t="str">
        <f>IF(SVF!L74=3,IF(SVF!C74="", "",SVF!C74),"")</f>
        <v/>
      </c>
      <c r="Q74" t="str">
        <f>IF(SVF!L74=3,IF(SVF!D74="", "",SVF!D74),"")</f>
        <v/>
      </c>
      <c r="R74" t="str">
        <f t="shared" si="7"/>
        <v/>
      </c>
    </row>
    <row r="75" spans="7:18" x14ac:dyDescent="0.2">
      <c r="G75" s="3">
        <v>1</v>
      </c>
      <c r="H75">
        <f>SVF!A75</f>
        <v>39</v>
      </c>
      <c r="I75" s="22" t="str">
        <f>SVF!B75</f>
        <v>OS</v>
      </c>
      <c r="J75" t="str">
        <f>IF(SVF!L75=1,IF(SVF!C75="", "",SVF!C75),"")</f>
        <v/>
      </c>
      <c r="K75" t="str">
        <f>IF(SVF!L75=1,IF(SVF!D75="", "",SVF!D75),"")</f>
        <v/>
      </c>
      <c r="L75" t="str">
        <f t="shared" si="5"/>
        <v/>
      </c>
      <c r="M75">
        <f>IF(SVF!L75=2,IF(SVF!C75="", "",SVF!C75),"")</f>
        <v>0</v>
      </c>
      <c r="N75">
        <f>IF(SVF!L75=2,IF(SVF!D75="", "",SVF!D75),"")</f>
        <v>1.5</v>
      </c>
      <c r="O75">
        <f t="shared" si="6"/>
        <v>1.5</v>
      </c>
      <c r="P75" t="str">
        <f>IF(SVF!L75=3,IF(SVF!C75="", "",SVF!C75),"")</f>
        <v/>
      </c>
      <c r="Q75" t="str">
        <f>IF(SVF!L75=3,IF(SVF!D75="", "",SVF!D75),"")</f>
        <v/>
      </c>
      <c r="R75" t="str">
        <f t="shared" si="7"/>
        <v/>
      </c>
    </row>
    <row r="76" spans="7:18" x14ac:dyDescent="0.2">
      <c r="G76" s="3">
        <v>1</v>
      </c>
      <c r="H76">
        <f>SVF!A76</f>
        <v>40</v>
      </c>
      <c r="I76" s="22" t="str">
        <f>SVF!B76</f>
        <v>OD</v>
      </c>
      <c r="J76" t="str">
        <f>IF(SVF!L76=1,IF(SVF!C76="", "",SVF!C76),"")</f>
        <v/>
      </c>
      <c r="K76" t="str">
        <f>IF(SVF!L76=1,IF(SVF!D76="", "",SVF!D76),"")</f>
        <v/>
      </c>
      <c r="L76" t="str">
        <f t="shared" si="5"/>
        <v/>
      </c>
      <c r="M76">
        <f>IF(SVF!L76=2,IF(SVF!C76="", "",SVF!C76),"")</f>
        <v>2</v>
      </c>
      <c r="N76">
        <f>IF(SVF!L76=2,IF(SVF!D76="", "",SVF!D76),"")</f>
        <v>3</v>
      </c>
      <c r="O76">
        <f t="shared" si="6"/>
        <v>1</v>
      </c>
      <c r="P76" t="str">
        <f>IF(SVF!L76=3,IF(SVF!C76="", "",SVF!C76),"")</f>
        <v/>
      </c>
      <c r="Q76" t="str">
        <f>IF(SVF!L76=3,IF(SVF!D76="", "",SVF!D76),"")</f>
        <v/>
      </c>
      <c r="R76" t="str">
        <f t="shared" si="7"/>
        <v/>
      </c>
    </row>
    <row r="77" spans="7:18" x14ac:dyDescent="0.2">
      <c r="G77" s="3">
        <v>2</v>
      </c>
      <c r="H77">
        <f>SVF!A77</f>
        <v>40</v>
      </c>
      <c r="I77" s="22" t="str">
        <f>SVF!B77</f>
        <v>OS</v>
      </c>
      <c r="J77" t="str">
        <f>IF(SVF!L77=1,IF(SVF!C77="", "",SVF!C77),"")</f>
        <v/>
      </c>
      <c r="K77" t="str">
        <f>IF(SVF!L77=1,IF(SVF!D77="", "",SVF!D77),"")</f>
        <v/>
      </c>
      <c r="L77" t="str">
        <f t="shared" si="5"/>
        <v/>
      </c>
      <c r="M77">
        <f>IF(SVF!L77=2,IF(SVF!C77="", "",SVF!C77),"")</f>
        <v>0.75</v>
      </c>
      <c r="N77">
        <f>IF(SVF!L77=2,IF(SVF!D77="", "",SVF!D77),"")</f>
        <v>3</v>
      </c>
      <c r="O77">
        <f t="shared" si="6"/>
        <v>2.25</v>
      </c>
      <c r="P77" t="str">
        <f>IF(SVF!L77=3,IF(SVF!C77="", "",SVF!C77),"")</f>
        <v/>
      </c>
      <c r="Q77" t="str">
        <f>IF(SVF!L77=3,IF(SVF!D77="", "",SVF!D77),"")</f>
        <v/>
      </c>
      <c r="R77" t="str">
        <f t="shared" si="7"/>
        <v/>
      </c>
    </row>
    <row r="78" spans="7:18" x14ac:dyDescent="0.2">
      <c r="G78" s="3">
        <v>3</v>
      </c>
      <c r="H78">
        <f>SVF!A78</f>
        <v>42</v>
      </c>
      <c r="I78" s="22" t="str">
        <f>SVF!B78</f>
        <v>OD</v>
      </c>
      <c r="J78" t="str">
        <f>IF(SVF!L78=1,IF(SVF!C78="", "",SVF!C78),"")</f>
        <v/>
      </c>
      <c r="K78" t="str">
        <f>IF(SVF!L78=1,IF(SVF!D78="", "",SVF!D78),"")</f>
        <v/>
      </c>
      <c r="L78" t="str">
        <f t="shared" si="5"/>
        <v/>
      </c>
      <c r="M78">
        <f>IF(SVF!L78=2,IF(SVF!C78="", "",SVF!C78),"")</f>
        <v>-1</v>
      </c>
      <c r="N78">
        <f>IF(SVF!L78=2,IF(SVF!D78="", "",SVF!D78),"")</f>
        <v>3</v>
      </c>
      <c r="O78">
        <f t="shared" si="6"/>
        <v>4</v>
      </c>
      <c r="P78" t="str">
        <f>IF(SVF!L78=3,IF(SVF!C78="", "",SVF!C78),"")</f>
        <v/>
      </c>
      <c r="Q78" t="str">
        <f>IF(SVF!L78=3,IF(SVF!D78="", "",SVF!D78),"")</f>
        <v/>
      </c>
      <c r="R78" t="str">
        <f t="shared" si="7"/>
        <v/>
      </c>
    </row>
    <row r="79" spans="7:18" ht="13.5" thickBot="1" x14ac:dyDescent="0.25">
      <c r="G79" s="11">
        <v>3</v>
      </c>
      <c r="H79">
        <f>SVF!A79</f>
        <v>42</v>
      </c>
      <c r="I79" s="22" t="str">
        <f>SVF!B79</f>
        <v>OS</v>
      </c>
      <c r="J79" t="str">
        <f>IF(SVF!L79=1,IF(SVF!C79="", "",SVF!C79),"")</f>
        <v/>
      </c>
      <c r="K79" t="str">
        <f>IF(SVF!L79=1,IF(SVF!D79="", "",SVF!D79),"")</f>
        <v/>
      </c>
      <c r="L79" t="str">
        <f t="shared" si="5"/>
        <v/>
      </c>
      <c r="M79">
        <f>IF(SVF!L79=2,IF(SVF!C79="", "",SVF!C79),"")</f>
        <v>-1</v>
      </c>
      <c r="N79">
        <f>IF(SVF!L79=2,IF(SVF!D79="", "",SVF!D79),"")</f>
        <v>3</v>
      </c>
      <c r="O79">
        <f t="shared" si="6"/>
        <v>4</v>
      </c>
      <c r="P79" t="str">
        <f>IF(SVF!L79=3,IF(SVF!C79="", "",SVF!C79),"")</f>
        <v/>
      </c>
      <c r="Q79" t="str">
        <f>IF(SVF!L79=3,IF(SVF!D79="", "",SVF!D79),"")</f>
        <v/>
      </c>
      <c r="R79" t="str">
        <f t="shared" si="7"/>
        <v/>
      </c>
    </row>
    <row r="80" spans="7:18" x14ac:dyDescent="0.2">
      <c r="G80" s="14">
        <v>1</v>
      </c>
      <c r="H80">
        <f>SVF!A80</f>
        <v>99</v>
      </c>
      <c r="I80" s="22" t="str">
        <f>SVF!B80</f>
        <v>OD</v>
      </c>
      <c r="J80" t="str">
        <f>IF(SVF!L80=1,IF(SVF!C80="", "",SVF!C80),"")</f>
        <v/>
      </c>
      <c r="K80" t="str">
        <f>IF(SVF!L80=1,IF(SVF!D80="", "",SVF!D80),"")</f>
        <v/>
      </c>
      <c r="L80" t="str">
        <f t="shared" ref="L80:L105" si="8">IF(J80="","",IF(K80="","",(K80-J80)))</f>
        <v/>
      </c>
      <c r="M80">
        <f>IF(SVF!L80=2,IF(SVF!C80="", "",SVF!C80),"")</f>
        <v>-3</v>
      </c>
      <c r="N80">
        <f>IF(SVF!L80=2,IF(SVF!D80="", "",SVF!D80),"")</f>
        <v>2.5</v>
      </c>
      <c r="O80">
        <f t="shared" si="6"/>
        <v>5.5</v>
      </c>
      <c r="P80" t="str">
        <f>IF(SVF!L80=3,IF(SVF!C80="", "",SVF!C80),"")</f>
        <v/>
      </c>
      <c r="Q80" t="str">
        <f>IF(SVF!L80=3,IF(SVF!D80="", "",SVF!D80),"")</f>
        <v/>
      </c>
      <c r="R80" t="str">
        <f t="shared" si="7"/>
        <v/>
      </c>
    </row>
    <row r="81" spans="7:18" x14ac:dyDescent="0.2">
      <c r="G81" s="14">
        <v>1</v>
      </c>
      <c r="H81">
        <f>SVF!A81</f>
        <v>99</v>
      </c>
      <c r="I81" s="22" t="str">
        <f>SVF!B81</f>
        <v>OS</v>
      </c>
      <c r="J81" t="str">
        <f>IF(SVF!L81=1,IF(SVF!C81="", "",SVF!C81),"")</f>
        <v/>
      </c>
      <c r="K81" t="str">
        <f>IF(SVF!L81=1,IF(SVF!D81="", "",SVF!D81),"")</f>
        <v/>
      </c>
      <c r="L81" t="str">
        <f t="shared" si="8"/>
        <v/>
      </c>
      <c r="M81">
        <f>IF(SVF!L81=2,IF(SVF!C81="", "",SVF!C81),"")</f>
        <v>-4</v>
      </c>
      <c r="N81">
        <f>IF(SVF!L81=2,IF(SVF!D81="", "",SVF!D81),"")</f>
        <v>2.5</v>
      </c>
      <c r="O81">
        <f t="shared" si="6"/>
        <v>6.5</v>
      </c>
      <c r="P81" t="str">
        <f>IF(SVF!L81=3,IF(SVF!C81="", "",SVF!C81),"")</f>
        <v/>
      </c>
      <c r="Q81" t="str">
        <f>IF(SVF!L81=3,IF(SVF!D81="", "",SVF!D81),"")</f>
        <v/>
      </c>
      <c r="R81" t="str">
        <f t="shared" si="7"/>
        <v/>
      </c>
    </row>
    <row r="82" spans="7:18" x14ac:dyDescent="0.2">
      <c r="G82" s="18">
        <v>1</v>
      </c>
      <c r="H82">
        <f>SVF!A82</f>
        <v>113</v>
      </c>
      <c r="I82" s="22" t="str">
        <f>SVF!B82</f>
        <v>OD</v>
      </c>
      <c r="J82" t="str">
        <f>IF(SVF!L82=1,IF(SVF!C82="", "",SVF!C82),"")</f>
        <v/>
      </c>
      <c r="K82" t="str">
        <f>IF(SVF!L82=1,IF(SVF!D82="", "",SVF!D82),"")</f>
        <v/>
      </c>
      <c r="L82" t="str">
        <f t="shared" si="8"/>
        <v/>
      </c>
      <c r="M82">
        <f>IF(SVF!L82=2,IF(SVF!C82="", "",SVF!C82),"")</f>
        <v>0.5</v>
      </c>
      <c r="N82">
        <f>IF(SVF!L82=2,IF(SVF!D82="", "",SVF!D82),"")</f>
        <v>2.5</v>
      </c>
      <c r="O82">
        <f t="shared" si="6"/>
        <v>2</v>
      </c>
      <c r="P82" t="str">
        <f>IF(SVF!L82=3,IF(SVF!C82="", "",SVF!C82),"")</f>
        <v/>
      </c>
      <c r="Q82" t="str">
        <f>IF(SVF!L82=3,IF(SVF!D82="", "",SVF!D82),"")</f>
        <v/>
      </c>
      <c r="R82" t="str">
        <f t="shared" si="7"/>
        <v/>
      </c>
    </row>
    <row r="83" spans="7:18" x14ac:dyDescent="0.2">
      <c r="G83" s="18">
        <v>1</v>
      </c>
      <c r="H83">
        <f>SVF!A83</f>
        <v>113</v>
      </c>
      <c r="I83" s="22" t="str">
        <f>SVF!B83</f>
        <v>OS</v>
      </c>
      <c r="J83" t="str">
        <f>IF(SVF!L83=1,IF(SVF!C83="", "",SVF!C83),"")</f>
        <v/>
      </c>
      <c r="K83" t="str">
        <f>IF(SVF!L83=1,IF(SVF!D83="", "",SVF!D83),"")</f>
        <v/>
      </c>
      <c r="L83" t="str">
        <f t="shared" si="8"/>
        <v/>
      </c>
      <c r="M83">
        <f>IF(SVF!L83=2,IF(SVF!C83="", "",SVF!C83),"")</f>
        <v>1</v>
      </c>
      <c r="N83">
        <f>IF(SVF!L83=2,IF(SVF!D83="", "",SVF!D83),"")</f>
        <v>2.5</v>
      </c>
      <c r="O83">
        <f t="shared" si="6"/>
        <v>1.5</v>
      </c>
      <c r="P83" t="str">
        <f>IF(SVF!L83=3,IF(SVF!C83="", "",SVF!C83),"")</f>
        <v/>
      </c>
      <c r="Q83" t="str">
        <f>IF(SVF!L83=3,IF(SVF!D83="", "",SVF!D83),"")</f>
        <v/>
      </c>
      <c r="R83" t="str">
        <f t="shared" si="7"/>
        <v/>
      </c>
    </row>
    <row r="84" spans="7:18" x14ac:dyDescent="0.2">
      <c r="G84" s="18">
        <v>1</v>
      </c>
      <c r="H84">
        <f>SVF!A84</f>
        <v>120</v>
      </c>
      <c r="I84" s="22" t="str">
        <f>SVF!B84</f>
        <v>OD</v>
      </c>
      <c r="J84" t="str">
        <f>IF(SVF!L84=1,IF(SVF!C84="", "",SVF!C84),"")</f>
        <v/>
      </c>
      <c r="K84" t="str">
        <f>IF(SVF!L84=1,IF(SVF!D84="", "",SVF!D84),"")</f>
        <v/>
      </c>
      <c r="L84" t="str">
        <f t="shared" si="8"/>
        <v/>
      </c>
      <c r="M84">
        <f>IF(SVF!L84=2,IF(SVF!C84="", "",SVF!C84),"")</f>
        <v>1</v>
      </c>
      <c r="N84">
        <f>IF(SVF!L84=2,IF(SVF!D84="", "",SVF!D84),"")</f>
        <v>3.5</v>
      </c>
      <c r="O84">
        <f t="shared" si="6"/>
        <v>2.5</v>
      </c>
      <c r="P84" t="str">
        <f>IF(SVF!L84=3,IF(SVF!C84="", "",SVF!C84),"")</f>
        <v/>
      </c>
      <c r="Q84" t="str">
        <f>IF(SVF!L84=3,IF(SVF!D84="", "",SVF!D84),"")</f>
        <v/>
      </c>
      <c r="R84" t="str">
        <f t="shared" si="7"/>
        <v/>
      </c>
    </row>
    <row r="85" spans="7:18" x14ac:dyDescent="0.2">
      <c r="G85" s="18">
        <v>1</v>
      </c>
      <c r="H85">
        <f>SVF!A85</f>
        <v>134</v>
      </c>
      <c r="I85" s="22" t="str">
        <f>SVF!B85</f>
        <v>OS</v>
      </c>
      <c r="J85" t="str">
        <f>IF(SVF!L85=1,IF(SVF!C85="", "",SVF!C85),"")</f>
        <v/>
      </c>
      <c r="K85" t="str">
        <f>IF(SVF!L85=1,IF(SVF!D85="", "",SVF!D85),"")</f>
        <v/>
      </c>
      <c r="L85" t="str">
        <f t="shared" si="8"/>
        <v/>
      </c>
      <c r="M85">
        <f>IF(SVF!L85=2,IF(SVF!C85="", "",SVF!C85),"")</f>
        <v>2</v>
      </c>
      <c r="N85">
        <f>IF(SVF!L85=2,IF(SVF!D85="", "",SVF!D85),"")</f>
        <v>3</v>
      </c>
      <c r="O85">
        <f t="shared" si="6"/>
        <v>1</v>
      </c>
      <c r="P85" t="str">
        <f>IF(SVF!L85=3,IF(SVF!C85="", "",SVF!C85),"")</f>
        <v/>
      </c>
      <c r="Q85" t="str">
        <f>IF(SVF!L85=3,IF(SVF!D85="", "",SVF!D85),"")</f>
        <v/>
      </c>
      <c r="R85" t="str">
        <f t="shared" si="7"/>
        <v/>
      </c>
    </row>
    <row r="86" spans="7:18" x14ac:dyDescent="0.2">
      <c r="G86" s="14">
        <v>1</v>
      </c>
      <c r="H86">
        <f>SVF!A86</f>
        <v>146</v>
      </c>
      <c r="I86" s="22" t="str">
        <f>SVF!B86</f>
        <v>OD</v>
      </c>
      <c r="J86" t="str">
        <f>IF(SVF!L86=1,IF(SVF!C86="", "",SVF!C86),"")</f>
        <v/>
      </c>
      <c r="K86" t="str">
        <f>IF(SVF!L86=1,IF(SVF!D86="", "",SVF!D86),"")</f>
        <v/>
      </c>
      <c r="L86" t="str">
        <f t="shared" si="8"/>
        <v/>
      </c>
      <c r="M86">
        <f>IF(SVF!L86=2,IF(SVF!C86="", "",SVF!C86),"")</f>
        <v>-3</v>
      </c>
      <c r="N86">
        <f>IF(SVF!L86=2,IF(SVF!D86="", "",SVF!D86),"")</f>
        <v>2</v>
      </c>
      <c r="O86">
        <f t="shared" si="6"/>
        <v>5</v>
      </c>
      <c r="P86" t="str">
        <f>IF(SVF!L86=3,IF(SVF!C86="", "",SVF!C86),"")</f>
        <v/>
      </c>
      <c r="Q86" t="str">
        <f>IF(SVF!L86=3,IF(SVF!D86="", "",SVF!D86),"")</f>
        <v/>
      </c>
      <c r="R86" t="str">
        <f t="shared" si="7"/>
        <v/>
      </c>
    </row>
    <row r="87" spans="7:18" x14ac:dyDescent="0.2">
      <c r="G87" s="14">
        <v>1</v>
      </c>
      <c r="H87">
        <f>SVF!A87</f>
        <v>146</v>
      </c>
      <c r="I87" s="22" t="str">
        <f>SVF!B87</f>
        <v>OS</v>
      </c>
      <c r="J87" t="str">
        <f>IF(SVF!L87=1,IF(SVF!C87="", "",SVF!C87),"")</f>
        <v/>
      </c>
      <c r="K87" t="str">
        <f>IF(SVF!L87=1,IF(SVF!D87="", "",SVF!D87),"")</f>
        <v/>
      </c>
      <c r="L87" t="str">
        <f t="shared" si="8"/>
        <v/>
      </c>
      <c r="M87">
        <f>IF(SVF!L87=2,IF(SVF!C87="", "",SVF!C87),"")</f>
        <v>-3</v>
      </c>
      <c r="N87">
        <f>IF(SVF!L87=2,IF(SVF!D87="", "",SVF!D87),"")</f>
        <v>2.25</v>
      </c>
      <c r="O87">
        <f t="shared" si="6"/>
        <v>5.25</v>
      </c>
      <c r="P87" t="str">
        <f>IF(SVF!L87=3,IF(SVF!C87="", "",SVF!C87),"")</f>
        <v/>
      </c>
      <c r="Q87" t="str">
        <f>IF(SVF!L87=3,IF(SVF!D87="", "",SVF!D87),"")</f>
        <v/>
      </c>
      <c r="R87" t="str">
        <f t="shared" si="7"/>
        <v/>
      </c>
    </row>
    <row r="88" spans="7:18" x14ac:dyDescent="0.2">
      <c r="G88" s="14">
        <v>1</v>
      </c>
      <c r="H88">
        <f>SVF!A88</f>
        <v>12</v>
      </c>
      <c r="I88" s="22" t="str">
        <f>SVF!B88</f>
        <v>OD</v>
      </c>
      <c r="J88" t="str">
        <f>IF(SVF!L88=1,IF(SVF!C88="", "",SVF!C88),"")</f>
        <v/>
      </c>
      <c r="K88" t="str">
        <f>IF(SVF!L88=1,IF(SVF!D88="", "",SVF!D88),"")</f>
        <v/>
      </c>
      <c r="L88" t="str">
        <f t="shared" si="8"/>
        <v/>
      </c>
      <c r="M88" t="str">
        <f>IF(SVF!L88=2,IF(SVF!C88="", "",SVF!C88),"")</f>
        <v/>
      </c>
      <c r="N88" t="str">
        <f>IF(SVF!L88=2,IF(SVF!D88="", "",SVF!D88),"")</f>
        <v/>
      </c>
      <c r="O88" t="str">
        <f t="shared" si="6"/>
        <v/>
      </c>
      <c r="P88">
        <f>IF(SVF!L88=3,IF(SVF!C88="", "",SVF!C88),"")</f>
        <v>-2</v>
      </c>
      <c r="Q88">
        <f>IF(SVF!L88=3,IF(SVF!D88="", "",SVF!D88),"")</f>
        <v>3</v>
      </c>
      <c r="R88">
        <f t="shared" si="7"/>
        <v>5</v>
      </c>
    </row>
    <row r="89" spans="7:18" x14ac:dyDescent="0.2">
      <c r="G89" s="14">
        <v>1</v>
      </c>
      <c r="H89">
        <f>SVF!A89</f>
        <v>18</v>
      </c>
      <c r="I89" s="22" t="str">
        <f>SVF!B89</f>
        <v>OD</v>
      </c>
      <c r="J89" t="str">
        <f>IF(SVF!L89=1,IF(SVF!C89="", "",SVF!C89),"")</f>
        <v/>
      </c>
      <c r="K89" t="str">
        <f>IF(SVF!L89=1,IF(SVF!D89="", "",SVF!D89),"")</f>
        <v/>
      </c>
      <c r="L89" t="str">
        <f t="shared" si="8"/>
        <v/>
      </c>
      <c r="M89" t="str">
        <f>IF(SVF!L89=2,IF(SVF!C89="", "",SVF!C89),"")</f>
        <v/>
      </c>
      <c r="N89" t="str">
        <f>IF(SVF!L89=2,IF(SVF!D89="", "",SVF!D89),"")</f>
        <v/>
      </c>
      <c r="O89" t="str">
        <f t="shared" si="6"/>
        <v/>
      </c>
      <c r="P89">
        <f>IF(SVF!L89=3,IF(SVF!C89="", "",SVF!C89),"")</f>
        <v>1</v>
      </c>
      <c r="Q89">
        <f>IF(SVF!L89=3,IF(SVF!D89="", "",SVF!D89),"")</f>
        <v>3.5</v>
      </c>
      <c r="R89">
        <f t="shared" si="7"/>
        <v>2.5</v>
      </c>
    </row>
    <row r="90" spans="7:18" x14ac:dyDescent="0.2">
      <c r="G90" s="14">
        <v>2</v>
      </c>
      <c r="H90">
        <f>SVF!A90</f>
        <v>18</v>
      </c>
      <c r="I90" s="22" t="str">
        <f>SVF!B90</f>
        <v>OS</v>
      </c>
      <c r="J90" t="str">
        <f>IF(SVF!L90=1,IF(SVF!C90="", "",SVF!C90),"")</f>
        <v/>
      </c>
      <c r="K90" t="str">
        <f>IF(SVF!L90=1,IF(SVF!D90="", "",SVF!D90),"")</f>
        <v/>
      </c>
      <c r="L90" t="str">
        <f t="shared" si="8"/>
        <v/>
      </c>
      <c r="M90" t="str">
        <f>IF(SVF!L90=2,IF(SVF!C90="", "",SVF!C90),"")</f>
        <v/>
      </c>
      <c r="N90" t="str">
        <f>IF(SVF!L90=2,IF(SVF!D90="", "",SVF!D90),"")</f>
        <v/>
      </c>
      <c r="O90" t="str">
        <f t="shared" si="6"/>
        <v/>
      </c>
      <c r="P90">
        <f>IF(SVF!L90=3,IF(SVF!C90="", "",SVF!C90),"")</f>
        <v>1</v>
      </c>
      <c r="Q90">
        <f>IF(SVF!L90=3,IF(SVF!D90="", "",SVF!D90),"")</f>
        <v>3.5</v>
      </c>
      <c r="R90">
        <f t="shared" si="7"/>
        <v>2.5</v>
      </c>
    </row>
    <row r="91" spans="7:18" x14ac:dyDescent="0.2">
      <c r="G91" s="14">
        <v>1</v>
      </c>
      <c r="H91">
        <f>SVF!A91</f>
        <v>19</v>
      </c>
      <c r="I91" s="22" t="str">
        <f>SVF!B91</f>
        <v>OD</v>
      </c>
      <c r="J91" t="str">
        <f>IF(SVF!L91=1,IF(SVF!C91="", "",SVF!C91),"")</f>
        <v/>
      </c>
      <c r="K91" t="str">
        <f>IF(SVF!L91=1,IF(SVF!D91="", "",SVF!D91),"")</f>
        <v/>
      </c>
      <c r="L91" t="str">
        <f t="shared" si="8"/>
        <v/>
      </c>
      <c r="M91" t="str">
        <f>IF(SVF!L91=2,IF(SVF!C91="", "",SVF!C91),"")</f>
        <v/>
      </c>
      <c r="N91" t="str">
        <f>IF(SVF!L91=2,IF(SVF!D91="", "",SVF!D91),"")</f>
        <v/>
      </c>
      <c r="O91" t="str">
        <f t="shared" si="6"/>
        <v/>
      </c>
      <c r="P91">
        <f>IF(SVF!L91=3,IF(SVF!C91="", "",SVF!C91),"")</f>
        <v>0.5</v>
      </c>
      <c r="Q91">
        <f>IF(SVF!L91=3,IF(SVF!D91="", "",SVF!D91),"")</f>
        <v>3</v>
      </c>
      <c r="R91">
        <f t="shared" si="7"/>
        <v>2.5</v>
      </c>
    </row>
    <row r="92" spans="7:18" x14ac:dyDescent="0.2">
      <c r="G92" s="14">
        <v>1</v>
      </c>
      <c r="H92">
        <f>SVF!A92</f>
        <v>19</v>
      </c>
      <c r="I92" s="22" t="str">
        <f>SVF!B92</f>
        <v>OS</v>
      </c>
      <c r="J92" t="str">
        <f>IF(SVF!L92=1,IF(SVF!C92="", "",SVF!C92),"")</f>
        <v/>
      </c>
      <c r="K92" t="str">
        <f>IF(SVF!L92=1,IF(SVF!D92="", "",SVF!D92),"")</f>
        <v/>
      </c>
      <c r="L92" t="str">
        <f t="shared" si="8"/>
        <v/>
      </c>
      <c r="M92" t="str">
        <f>IF(SVF!L92=2,IF(SVF!C92="", "",SVF!C92),"")</f>
        <v/>
      </c>
      <c r="N92" t="str">
        <f>IF(SVF!L92=2,IF(SVF!D92="", "",SVF!D92),"")</f>
        <v/>
      </c>
      <c r="O92" t="str">
        <f t="shared" si="6"/>
        <v/>
      </c>
      <c r="P92">
        <f>IF(SVF!L92=3,IF(SVF!C92="", "",SVF!C92),"")</f>
        <v>0.5</v>
      </c>
      <c r="Q92">
        <f>IF(SVF!L92=3,IF(SVF!D92="", "",SVF!D92),"")</f>
        <v>3</v>
      </c>
      <c r="R92">
        <f t="shared" si="7"/>
        <v>2.5</v>
      </c>
    </row>
    <row r="93" spans="7:18" x14ac:dyDescent="0.2">
      <c r="G93" s="14">
        <v>1</v>
      </c>
      <c r="H93">
        <f>SVF!A93</f>
        <v>43</v>
      </c>
      <c r="I93" s="22" t="str">
        <f>SVF!B93</f>
        <v>OD</v>
      </c>
      <c r="J93" t="str">
        <f>IF(SVF!L93=1,IF(SVF!C93="", "",SVF!C93),"")</f>
        <v/>
      </c>
      <c r="K93" t="str">
        <f>IF(SVF!L93=1,IF(SVF!D93="", "",SVF!D93),"")</f>
        <v/>
      </c>
      <c r="L93" t="str">
        <f t="shared" si="8"/>
        <v/>
      </c>
      <c r="M93" t="str">
        <f>IF(SVF!L93=2,IF(SVF!C93="", "",SVF!C93),"")</f>
        <v/>
      </c>
      <c r="N93" t="str">
        <f>IF(SVF!L93=2,IF(SVF!D93="", "",SVF!D93),"")</f>
        <v/>
      </c>
      <c r="O93" t="str">
        <f t="shared" si="6"/>
        <v/>
      </c>
      <c r="P93">
        <f>IF(SVF!L93=3,IF(SVF!C93="", "",SVF!C93),"")</f>
        <v>1</v>
      </c>
      <c r="Q93">
        <f>IF(SVF!L93=3,IF(SVF!D93="", "",SVF!D93),"")</f>
        <v>4</v>
      </c>
      <c r="R93">
        <f t="shared" si="7"/>
        <v>3</v>
      </c>
    </row>
    <row r="94" spans="7:18" x14ac:dyDescent="0.2">
      <c r="G94" s="14">
        <v>1</v>
      </c>
      <c r="H94">
        <f>SVF!A94</f>
        <v>43</v>
      </c>
      <c r="I94" s="22" t="str">
        <f>SVF!B94</f>
        <v>OS</v>
      </c>
      <c r="J94" t="str">
        <f>IF(SVF!L94=1,IF(SVF!C94="", "",SVF!C94),"")</f>
        <v/>
      </c>
      <c r="K94" t="str">
        <f>IF(SVF!L94=1,IF(SVF!D94="", "",SVF!D94),"")</f>
        <v/>
      </c>
      <c r="L94" t="str">
        <f t="shared" si="8"/>
        <v/>
      </c>
      <c r="M94" t="str">
        <f>IF(SVF!L94=2,IF(SVF!C94="", "",SVF!C94),"")</f>
        <v/>
      </c>
      <c r="N94" t="str">
        <f>IF(SVF!L94=2,IF(SVF!D94="", "",SVF!D94),"")</f>
        <v/>
      </c>
      <c r="O94" t="str">
        <f t="shared" si="6"/>
        <v/>
      </c>
      <c r="P94">
        <f>IF(SVF!L94=3,IF(SVF!C94="", "",SVF!C94),"")</f>
        <v>0</v>
      </c>
      <c r="Q94">
        <f>IF(SVF!L94=3,IF(SVF!D94="", "",SVF!D94),"")</f>
        <v>4.5</v>
      </c>
      <c r="R94">
        <f t="shared" si="7"/>
        <v>4.5</v>
      </c>
    </row>
    <row r="95" spans="7:18" x14ac:dyDescent="0.2">
      <c r="G95" s="14">
        <v>1</v>
      </c>
      <c r="H95">
        <f>SVF!A95</f>
        <v>100</v>
      </c>
      <c r="I95" s="22" t="str">
        <f>SVF!B95</f>
        <v>OD</v>
      </c>
      <c r="J95" t="str">
        <f>IF(SVF!L95=1,IF(SVF!C95="", "",SVF!C95),"")</f>
        <v/>
      </c>
      <c r="K95" t="str">
        <f>IF(SVF!L95=1,IF(SVF!D95="", "",SVF!D95),"")</f>
        <v/>
      </c>
      <c r="L95" t="str">
        <f t="shared" si="8"/>
        <v/>
      </c>
      <c r="M95" t="str">
        <f>IF(SVF!L95=2,IF(SVF!C95="", "",SVF!C95),"")</f>
        <v/>
      </c>
      <c r="N95" t="str">
        <f>IF(SVF!L95=2,IF(SVF!D95="", "",SVF!D95),"")</f>
        <v/>
      </c>
      <c r="O95" t="str">
        <f t="shared" si="6"/>
        <v/>
      </c>
      <c r="P95">
        <f>IF(SVF!L95=3,IF(SVF!C95="", "",SVF!C95),"")</f>
        <v>0.5</v>
      </c>
      <c r="Q95">
        <f>IF(SVF!L95=3,IF(SVF!D95="", "",SVF!D95),"")</f>
        <v>3</v>
      </c>
      <c r="R95">
        <f t="shared" si="7"/>
        <v>2.5</v>
      </c>
    </row>
    <row r="96" spans="7:18" x14ac:dyDescent="0.2">
      <c r="G96" s="14">
        <v>1</v>
      </c>
      <c r="H96">
        <f>SVF!A96</f>
        <v>100</v>
      </c>
      <c r="I96" s="22" t="str">
        <f>SVF!B96</f>
        <v>OS</v>
      </c>
      <c r="J96" t="str">
        <f>IF(SVF!L96=1,IF(SVF!C96="", "",SVF!C96),"")</f>
        <v/>
      </c>
      <c r="K96" t="str">
        <f>IF(SVF!L96=1,IF(SVF!D96="", "",SVF!D96),"")</f>
        <v/>
      </c>
      <c r="L96" t="str">
        <f t="shared" si="8"/>
        <v/>
      </c>
      <c r="M96" t="str">
        <f>IF(SVF!L96=2,IF(SVF!C96="", "",SVF!C96),"")</f>
        <v/>
      </c>
      <c r="N96" t="str">
        <f>IF(SVF!L96=2,IF(SVF!D96="", "",SVF!D96),"")</f>
        <v/>
      </c>
      <c r="O96" t="str">
        <f t="shared" si="6"/>
        <v/>
      </c>
      <c r="P96">
        <f>IF(SVF!L96=3,IF(SVF!C96="", "",SVF!C96),"")</f>
        <v>0.5</v>
      </c>
      <c r="Q96">
        <f>IF(SVF!L96=3,IF(SVF!D96="", "",SVF!D96),"")</f>
        <v>3</v>
      </c>
      <c r="R96">
        <f t="shared" si="7"/>
        <v>2.5</v>
      </c>
    </row>
    <row r="97" spans="7:20" x14ac:dyDescent="0.2">
      <c r="G97" s="14">
        <v>2</v>
      </c>
      <c r="H97">
        <f>SVF!A97</f>
        <v>121</v>
      </c>
      <c r="I97" s="22" t="str">
        <f>SVF!B97</f>
        <v>OD</v>
      </c>
      <c r="J97" t="str">
        <f>IF(SVF!L97=1,IF(SVF!C97="", "",SVF!C97),"")</f>
        <v/>
      </c>
      <c r="K97" t="str">
        <f>IF(SVF!L97=1,IF(SVF!D97="", "",SVF!D97),"")</f>
        <v/>
      </c>
      <c r="L97" t="str">
        <f t="shared" si="8"/>
        <v/>
      </c>
      <c r="M97" t="str">
        <f>IF(SVF!L97=2,IF(SVF!C97="", "",SVF!C97),"")</f>
        <v/>
      </c>
      <c r="N97" t="str">
        <f>IF(SVF!L97=2,IF(SVF!D97="", "",SVF!D97),"")</f>
        <v/>
      </c>
      <c r="O97" t="str">
        <f t="shared" si="6"/>
        <v/>
      </c>
      <c r="P97">
        <f>IF(SVF!L97=3,IF(SVF!C97="", "",SVF!C97),"")</f>
        <v>1</v>
      </c>
      <c r="Q97">
        <f>IF(SVF!L97=3,IF(SVF!D97="", "",SVF!D97),"")</f>
        <v>2</v>
      </c>
      <c r="R97">
        <f t="shared" si="7"/>
        <v>1</v>
      </c>
    </row>
    <row r="98" spans="7:20" x14ac:dyDescent="0.2">
      <c r="G98" s="18">
        <v>2</v>
      </c>
      <c r="H98">
        <f>SVF!A98</f>
        <v>121</v>
      </c>
      <c r="I98" s="22" t="str">
        <f>SVF!B98</f>
        <v>OS</v>
      </c>
      <c r="J98" t="str">
        <f>IF(SVF!L98=1,IF(SVF!C98="", "",SVF!C98),"")</f>
        <v/>
      </c>
      <c r="K98" t="str">
        <f>IF(SVF!L98=1,IF(SVF!D98="", "",SVF!D98),"")</f>
        <v/>
      </c>
      <c r="L98" t="str">
        <f t="shared" si="8"/>
        <v/>
      </c>
      <c r="M98" t="str">
        <f>IF(SVF!L98=2,IF(SVF!C98="", "",SVF!C98),"")</f>
        <v/>
      </c>
      <c r="N98" t="str">
        <f>IF(SVF!L98=2,IF(SVF!D98="", "",SVF!D98),"")</f>
        <v/>
      </c>
      <c r="O98" t="str">
        <f t="shared" si="6"/>
        <v/>
      </c>
      <c r="P98">
        <f>IF(SVF!L98=3,IF(SVF!C98="", "",SVF!C98),"")</f>
        <v>1</v>
      </c>
      <c r="Q98">
        <f>IF(SVF!L98=3,IF(SVF!D98="", "",SVF!D98),"")</f>
        <v>2</v>
      </c>
      <c r="R98">
        <f t="shared" si="7"/>
        <v>1</v>
      </c>
    </row>
    <row r="99" spans="7:20" x14ac:dyDescent="0.2">
      <c r="G99" s="18">
        <v>3</v>
      </c>
      <c r="H99">
        <f>SVF!A99</f>
        <v>152</v>
      </c>
      <c r="I99" s="22" t="str">
        <f>SVF!B99</f>
        <v>OD</v>
      </c>
      <c r="J99" t="str">
        <f>IF(SVF!L99=1,IF(SVF!C99="", "",SVF!C99),"")</f>
        <v/>
      </c>
      <c r="K99" t="str">
        <f>IF(SVF!L99=1,IF(SVF!D99="", "",SVF!D99),"")</f>
        <v/>
      </c>
      <c r="L99" t="str">
        <f t="shared" si="8"/>
        <v/>
      </c>
      <c r="M99" t="str">
        <f>IF(SVF!L99=2,IF(SVF!C99="", "",SVF!C99),"")</f>
        <v/>
      </c>
      <c r="N99" t="str">
        <f>IF(SVF!L99=2,IF(SVF!D99="", "",SVF!D99),"")</f>
        <v/>
      </c>
      <c r="O99" t="str">
        <f t="shared" si="6"/>
        <v/>
      </c>
      <c r="P99">
        <f>IF(SVF!L99=3,IF(SVF!C99="", "",SVF!C99),"")</f>
        <v>0.5</v>
      </c>
      <c r="Q99">
        <f>IF(SVF!L99=3,IF(SVF!D99="", "",SVF!D99),"")</f>
        <v>4</v>
      </c>
      <c r="R99">
        <f t="shared" si="7"/>
        <v>3.5</v>
      </c>
    </row>
    <row r="100" spans="7:20" x14ac:dyDescent="0.2">
      <c r="G100" s="18">
        <v>3</v>
      </c>
      <c r="H100">
        <f>SVF!A100</f>
        <v>152</v>
      </c>
      <c r="I100" s="22" t="str">
        <f>SVF!B100</f>
        <v>OS</v>
      </c>
      <c r="J100" t="str">
        <f>IF(SVF!L100=1,IF(SVF!C100="", "",SVF!C100),"")</f>
        <v/>
      </c>
      <c r="K100" t="str">
        <f>IF(SVF!L100=1,IF(SVF!D100="", "",SVF!D100),"")</f>
        <v/>
      </c>
      <c r="L100" t="str">
        <f t="shared" si="8"/>
        <v/>
      </c>
      <c r="M100" t="str">
        <f>IF(SVF!L100=2,IF(SVF!C100="", "",SVF!C100),"")</f>
        <v/>
      </c>
      <c r="N100" t="str">
        <f>IF(SVF!L100=2,IF(SVF!D100="", "",SVF!D100),"")</f>
        <v/>
      </c>
      <c r="O100" t="str">
        <f t="shared" si="6"/>
        <v/>
      </c>
      <c r="P100">
        <f>IF(SVF!L100=3,IF(SVF!C100="", "",SVF!C100),"")</f>
        <v>0</v>
      </c>
      <c r="Q100">
        <f>IF(SVF!L100=3,IF(SVF!D100="", "",SVF!D100),"")</f>
        <v>3</v>
      </c>
      <c r="R100">
        <f t="shared" si="7"/>
        <v>3</v>
      </c>
    </row>
    <row r="101" spans="7:20" x14ac:dyDescent="0.2">
      <c r="H101">
        <f>SVF!A101</f>
        <v>0</v>
      </c>
      <c r="I101" s="22">
        <f>SVF!B101</f>
        <v>0</v>
      </c>
      <c r="J101" t="str">
        <f>IF(SVF!L101=1,IF(SVF!C101="", "",SVF!C101),"")</f>
        <v/>
      </c>
      <c r="K101" t="str">
        <f>IF(SVF!L101=1,IF(SVF!D101="", "",SVF!D101),"")</f>
        <v/>
      </c>
      <c r="L101" t="str">
        <f t="shared" si="8"/>
        <v/>
      </c>
      <c r="M101" t="str">
        <f>IF(SVF!L101=2,IF(SVF!C101="", "",SVF!C101),"")</f>
        <v/>
      </c>
      <c r="N101" t="str">
        <f>IF(SVF!L101=2,IF(SVF!D101="", "",SVF!D101),"")</f>
        <v/>
      </c>
      <c r="O101" t="str">
        <f t="shared" si="6"/>
        <v/>
      </c>
      <c r="P101" t="str">
        <f>IF(SVF!L101=3,IF(SVF!C101="", "",SVF!C101),"")</f>
        <v/>
      </c>
      <c r="Q101" t="str">
        <f>IF(SVF!L101=3,IF(SVF!D101="", "",SVF!D101),"")</f>
        <v/>
      </c>
      <c r="R101" t="str">
        <f t="shared" si="7"/>
        <v/>
      </c>
    </row>
    <row r="102" spans="7:20" x14ac:dyDescent="0.2">
      <c r="H102" t="e">
        <f>SVF!#REF!</f>
        <v>#REF!</v>
      </c>
      <c r="I102" s="22">
        <f>SVF!B102</f>
        <v>51</v>
      </c>
      <c r="J102" t="str">
        <f>IF(SVF!L102=1,IF(SVF!C102="", "",SVF!C102),"")</f>
        <v/>
      </c>
      <c r="K102" t="str">
        <f>IF(SVF!L102=1,IF(SVF!D102="", "",SVF!D102),"")</f>
        <v/>
      </c>
      <c r="L102" t="str">
        <f t="shared" si="8"/>
        <v/>
      </c>
      <c r="M102" t="str">
        <f>IF(SVF!L102=2,IF(SVF!C102="", "",SVF!C102),"")</f>
        <v/>
      </c>
      <c r="N102" t="str">
        <f>IF(SVF!L102=2,IF(SVF!D102="", "",SVF!D102),"")</f>
        <v/>
      </c>
      <c r="O102" t="str">
        <f t="shared" si="6"/>
        <v/>
      </c>
      <c r="P102" t="str">
        <f>IF(SVF!L102=3,IF(SVF!C102="", "",SVF!C102),"")</f>
        <v/>
      </c>
      <c r="Q102" t="str">
        <f>IF(SVF!L102=3,IF(SVF!D102="", "",SVF!D102),"")</f>
        <v/>
      </c>
      <c r="R102" t="str">
        <f t="shared" si="7"/>
        <v/>
      </c>
    </row>
    <row r="103" spans="7:20" x14ac:dyDescent="0.2">
      <c r="H103" t="e">
        <f>SVF!#REF!</f>
        <v>#REF!</v>
      </c>
      <c r="I103" s="22">
        <f>SVF!B103</f>
        <v>48</v>
      </c>
      <c r="J103" t="str">
        <f>IF(SVF!L103=1,IF(SVF!C103="", "",SVF!C103),"")</f>
        <v/>
      </c>
      <c r="K103" t="str">
        <f>IF(SVF!L103=1,IF(SVF!D103="", "",SVF!D103),"")</f>
        <v/>
      </c>
      <c r="L103" t="str">
        <f t="shared" si="8"/>
        <v/>
      </c>
      <c r="M103" t="str">
        <f>IF(SVF!L103=2,IF(SVF!C103="", "",SVF!C103),"")</f>
        <v/>
      </c>
      <c r="N103" t="str">
        <f>IF(SVF!L103=2,IF(SVF!D103="", "",SVF!D103),"")</f>
        <v/>
      </c>
      <c r="O103" t="str">
        <f t="shared" si="6"/>
        <v/>
      </c>
      <c r="P103" t="str">
        <f>IF(SVF!L103=3,IF(SVF!C103="", "",SVF!C103),"")</f>
        <v/>
      </c>
      <c r="Q103" t="str">
        <f>IF(SVF!L103=3,IF(SVF!D103="", "",SVF!D103),"")</f>
        <v/>
      </c>
      <c r="R103" t="str">
        <f t="shared" si="7"/>
        <v/>
      </c>
    </row>
    <row r="104" spans="7:20" x14ac:dyDescent="0.2">
      <c r="H104">
        <f>SVF!A104</f>
        <v>0</v>
      </c>
      <c r="I104" s="22">
        <f>SVF!B104</f>
        <v>0</v>
      </c>
      <c r="J104" t="str">
        <f>IF(SVF!L104=1,IF(SVF!C104="", "",SVF!C104),"")</f>
        <v/>
      </c>
      <c r="K104" t="str">
        <f>IF(SVF!L104=1,IF(SVF!D104="", "",SVF!D104),"")</f>
        <v/>
      </c>
      <c r="L104" t="str">
        <f t="shared" si="8"/>
        <v/>
      </c>
      <c r="M104" t="str">
        <f>IF(SVF!L104=2,IF(SVF!C104="", "",SVF!C104),"")</f>
        <v/>
      </c>
      <c r="N104" t="str">
        <f>IF(SVF!L104=2,IF(SVF!D104="", "",SVF!D104),"")</f>
        <v/>
      </c>
      <c r="O104" t="str">
        <f t="shared" si="6"/>
        <v/>
      </c>
      <c r="P104" t="str">
        <f>IF(SVF!L104=3,IF(SVF!C104="", "",SVF!C104),"")</f>
        <v/>
      </c>
      <c r="Q104" t="str">
        <f>IF(SVF!L104=3,IF(SVF!D104="", "",SVF!D104),"")</f>
        <v/>
      </c>
      <c r="R104" t="str">
        <f t="shared" si="7"/>
        <v/>
      </c>
    </row>
    <row r="105" spans="7:20" x14ac:dyDescent="0.2">
      <c r="H105">
        <f>SVF!A105</f>
        <v>0</v>
      </c>
      <c r="I105" s="22">
        <f>SVF!B105</f>
        <v>0</v>
      </c>
      <c r="J105" t="str">
        <f>IF(SVF!L105=1,IF(SVF!C105="", "",SVF!C105),"")</f>
        <v/>
      </c>
      <c r="K105" t="str">
        <f>IF(SVF!L105=1,IF(SVF!D105="", "",SVF!D105),"")</f>
        <v/>
      </c>
      <c r="L105" t="str">
        <f t="shared" si="8"/>
        <v/>
      </c>
      <c r="M105" t="str">
        <f>IF(SVF!L105=2,IF(SVF!C105="", "",SVF!C105),"")</f>
        <v/>
      </c>
      <c r="N105" t="str">
        <f>IF(SVF!L105=2,IF(SVF!D105="", "",SVF!D105),"")</f>
        <v/>
      </c>
      <c r="O105" t="str">
        <f t="shared" si="6"/>
        <v/>
      </c>
      <c r="P105" t="str">
        <f>IF(SVF!L105=3,IF(SVF!C105="", "",SVF!C105),"")</f>
        <v/>
      </c>
      <c r="Q105" t="str">
        <f>IF(SVF!L105=3,IF(SVF!D105="", "",SVF!D105),"")</f>
        <v/>
      </c>
      <c r="R105" t="str">
        <f t="shared" si="7"/>
        <v/>
      </c>
    </row>
    <row r="106" spans="7:20" x14ac:dyDescent="0.2">
      <c r="J106" t="str">
        <f>IF(SVF!L106=1,SVF!C106,"")</f>
        <v/>
      </c>
      <c r="L106">
        <f>COUNTIF(L2:L100,"&lt;20")</f>
        <v>43</v>
      </c>
      <c r="O106">
        <f>COUNTIF(O2:O100,"&lt;20")</f>
        <v>25</v>
      </c>
      <c r="R106">
        <f>COUNTIF(R2:R100,"&lt;20")</f>
        <v>13</v>
      </c>
    </row>
    <row r="107" spans="7:20" x14ac:dyDescent="0.2">
      <c r="J107" t="str">
        <f>IF(SVF!L107=1,SVF!C107,"")</f>
        <v/>
      </c>
      <c r="T107">
        <f>SUM(J106:R106)</f>
        <v>81</v>
      </c>
    </row>
    <row r="108" spans="7:20" x14ac:dyDescent="0.2">
      <c r="J108" t="str">
        <f>IF(SVF!L108=1,SVF!C108,"")</f>
        <v/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opLeftCell="G78" workbookViewId="0">
      <selection activeCell="M73" sqref="M73:R74"/>
    </sheetView>
  </sheetViews>
  <sheetFormatPr defaultRowHeight="15" x14ac:dyDescent="0.2"/>
  <cols>
    <col min="1" max="1" width="16.85546875" style="85" customWidth="1"/>
    <col min="2" max="2" width="11.7109375" style="40" customWidth="1"/>
    <col min="3" max="3" width="11.5703125" style="40" customWidth="1"/>
    <col min="4" max="4" width="10.140625" style="17" customWidth="1"/>
    <col min="5" max="5" width="11.28515625" style="17" customWidth="1"/>
    <col min="6" max="6" width="11.5703125" style="17" customWidth="1"/>
    <col min="7" max="7" width="10.7109375" style="17" customWidth="1"/>
    <col min="8" max="8" width="11.140625" style="17" customWidth="1"/>
    <col min="9" max="9" width="11.28515625" style="17" customWidth="1"/>
    <col min="10" max="12" width="9.140625" style="17"/>
    <col min="13" max="13" width="19.7109375" style="17" customWidth="1"/>
    <col min="14" max="19" width="10.7109375" style="17" customWidth="1"/>
    <col min="20" max="16384" width="9.140625" style="17"/>
  </cols>
  <sheetData>
    <row r="1" spans="1:19" x14ac:dyDescent="0.2">
      <c r="A1" s="85" t="s">
        <v>0</v>
      </c>
      <c r="B1" s="46" t="s">
        <v>59</v>
      </c>
      <c r="C1" s="46" t="s">
        <v>60</v>
      </c>
      <c r="D1" s="48" t="s">
        <v>61</v>
      </c>
      <c r="E1" s="48" t="s">
        <v>62</v>
      </c>
      <c r="F1" s="48" t="s">
        <v>63</v>
      </c>
      <c r="G1" s="48" t="s">
        <v>64</v>
      </c>
      <c r="H1" s="48" t="s">
        <v>65</v>
      </c>
      <c r="I1" s="48" t="s">
        <v>66</v>
      </c>
      <c r="J1" s="48" t="s">
        <v>4</v>
      </c>
      <c r="K1" s="48" t="s">
        <v>24</v>
      </c>
    </row>
    <row r="2" spans="1:19" x14ac:dyDescent="0.2">
      <c r="A2" s="87">
        <v>1</v>
      </c>
      <c r="B2" s="40">
        <v>3</v>
      </c>
      <c r="C2" s="40">
        <v>4</v>
      </c>
      <c r="D2" s="17">
        <v>17.100000000000001</v>
      </c>
      <c r="E2" s="17">
        <v>385</v>
      </c>
      <c r="F2" s="17">
        <v>28.9</v>
      </c>
      <c r="G2" s="17">
        <v>1210</v>
      </c>
      <c r="H2" s="17">
        <v>25.2</v>
      </c>
      <c r="I2" s="17">
        <v>1044</v>
      </c>
      <c r="K2" s="17">
        <v>1</v>
      </c>
    </row>
    <row r="3" spans="1:19" x14ac:dyDescent="0.2">
      <c r="A3" s="87">
        <v>1</v>
      </c>
      <c r="B3" s="40">
        <v>3</v>
      </c>
      <c r="C3" s="40">
        <v>4</v>
      </c>
      <c r="D3" s="17">
        <v>13.9</v>
      </c>
      <c r="E3" s="17">
        <v>353</v>
      </c>
      <c r="F3" s="17">
        <v>27.9</v>
      </c>
      <c r="G3" s="17">
        <v>1141</v>
      </c>
      <c r="H3" s="17">
        <v>25.2</v>
      </c>
      <c r="I3" s="17">
        <v>1094</v>
      </c>
      <c r="K3" s="17">
        <v>1</v>
      </c>
      <c r="M3" s="17" t="s">
        <v>231</v>
      </c>
      <c r="N3" s="88" t="s">
        <v>93</v>
      </c>
      <c r="O3" s="88" t="s">
        <v>234</v>
      </c>
      <c r="P3" s="89" t="s">
        <v>94</v>
      </c>
      <c r="Q3" s="89" t="s">
        <v>235</v>
      </c>
      <c r="R3" s="89" t="s">
        <v>95</v>
      </c>
      <c r="S3" s="89" t="s">
        <v>236</v>
      </c>
    </row>
    <row r="4" spans="1:19" x14ac:dyDescent="0.2">
      <c r="A4" s="87">
        <v>3</v>
      </c>
      <c r="B4" s="40">
        <v>1</v>
      </c>
      <c r="C4" s="40">
        <v>2</v>
      </c>
      <c r="D4" s="20">
        <v>14.6</v>
      </c>
      <c r="E4" s="20">
        <v>322</v>
      </c>
      <c r="F4" s="20">
        <v>25</v>
      </c>
      <c r="G4" s="20">
        <v>898</v>
      </c>
      <c r="H4" s="20">
        <v>13.6</v>
      </c>
      <c r="I4" s="17">
        <v>450</v>
      </c>
      <c r="J4" s="17" t="s">
        <v>25</v>
      </c>
      <c r="K4" s="17">
        <v>1</v>
      </c>
      <c r="M4" s="37"/>
      <c r="N4" s="90" t="s">
        <v>232</v>
      </c>
      <c r="O4" s="90" t="s">
        <v>233</v>
      </c>
      <c r="P4" s="90" t="s">
        <v>232</v>
      </c>
      <c r="Q4" s="90" t="s">
        <v>233</v>
      </c>
      <c r="R4" s="90" t="s">
        <v>232</v>
      </c>
      <c r="S4" s="90" t="s">
        <v>233</v>
      </c>
    </row>
    <row r="5" spans="1:19" x14ac:dyDescent="0.2">
      <c r="A5" s="87">
        <v>3</v>
      </c>
      <c r="B5" s="40">
        <v>1</v>
      </c>
      <c r="C5" s="40">
        <v>2</v>
      </c>
      <c r="D5" s="20">
        <v>13.8</v>
      </c>
      <c r="E5" s="20">
        <v>308</v>
      </c>
      <c r="F5" s="20">
        <v>22.5</v>
      </c>
      <c r="G5" s="20">
        <v>804</v>
      </c>
      <c r="H5" s="20">
        <v>10.5</v>
      </c>
      <c r="I5" s="17">
        <v>353</v>
      </c>
      <c r="J5" s="17" t="s">
        <v>25</v>
      </c>
      <c r="K5" s="17">
        <v>1</v>
      </c>
      <c r="M5" s="91" t="s">
        <v>237</v>
      </c>
      <c r="N5" s="92">
        <f>AVERAGE(B2:B62)</f>
        <v>2.389344262295082</v>
      </c>
      <c r="O5" s="92">
        <f>AVERAGE(C2:C62)</f>
        <v>3.3662790697674421</v>
      </c>
      <c r="P5" s="92">
        <f>AVERAGE(B63:B87)</f>
        <v>-0.15</v>
      </c>
      <c r="Q5" s="92">
        <f>AVERAGE(C63:C87)</f>
        <v>2.93</v>
      </c>
      <c r="R5" s="92">
        <f>AVERAGE(B88:B100)</f>
        <v>0.42307692307692307</v>
      </c>
      <c r="S5" s="92">
        <f>AVERAGE(C88:C100)</f>
        <v>3.1923076923076925</v>
      </c>
    </row>
    <row r="6" spans="1:19" x14ac:dyDescent="0.2">
      <c r="A6" s="86">
        <v>6</v>
      </c>
      <c r="B6" s="40">
        <v>4</v>
      </c>
      <c r="D6" s="17">
        <v>8.5</v>
      </c>
      <c r="E6" s="17">
        <v>233</v>
      </c>
      <c r="F6" s="17">
        <v>25.9</v>
      </c>
      <c r="G6" s="17">
        <v>988</v>
      </c>
      <c r="H6" s="17">
        <v>4.3</v>
      </c>
      <c r="I6" s="17">
        <v>45</v>
      </c>
      <c r="K6" s="17">
        <v>1</v>
      </c>
      <c r="M6" s="93" t="s">
        <v>238</v>
      </c>
      <c r="N6" s="92">
        <f>AVERAGE(D2:D62)</f>
        <v>7.8245901639344275</v>
      </c>
      <c r="O6" s="92">
        <f>AVERAGE(H2:H62)</f>
        <v>20.929508196721308</v>
      </c>
      <c r="P6" s="92">
        <f>AVERAGE(D63:D87)</f>
        <v>8.088000000000001</v>
      </c>
      <c r="Q6" s="92">
        <f>AVERAGE(H63:H87)</f>
        <v>21.916000000000004</v>
      </c>
      <c r="R6" s="92">
        <f>AVERAGE(D88:D100)</f>
        <v>8.4230769230769234</v>
      </c>
      <c r="S6" s="92">
        <f>AVERAGE(H88:H100)</f>
        <v>23.91538461538461</v>
      </c>
    </row>
    <row r="7" spans="1:19" x14ac:dyDescent="0.2">
      <c r="A7" s="87">
        <v>6</v>
      </c>
      <c r="B7" s="40">
        <v>3.5</v>
      </c>
      <c r="D7" s="17">
        <v>11.5</v>
      </c>
      <c r="E7" s="17">
        <v>288</v>
      </c>
      <c r="F7" s="17">
        <v>25.9</v>
      </c>
      <c r="G7" s="17">
        <v>978</v>
      </c>
      <c r="H7" s="17">
        <v>8.3000000000000007</v>
      </c>
      <c r="I7" s="17">
        <v>143</v>
      </c>
      <c r="K7" s="17">
        <v>1</v>
      </c>
      <c r="M7" s="93" t="s">
        <v>252</v>
      </c>
      <c r="N7" s="92">
        <f>AVERAGE(E2:E62)</f>
        <v>222.9344262295082</v>
      </c>
      <c r="O7" s="92">
        <f>AVERAGE(I2:I62)</f>
        <v>797.88524590163934</v>
      </c>
      <c r="P7" s="92">
        <f>AVERAGE(E63:E87)</f>
        <v>201.68</v>
      </c>
      <c r="Q7" s="92">
        <f>AVERAGE(I63:I87)</f>
        <v>842.96</v>
      </c>
      <c r="R7" s="92">
        <f>AVERAGE(E88:E100)</f>
        <v>261.76923076923077</v>
      </c>
      <c r="S7" s="92">
        <f>AVERAGE(I88:I100)</f>
        <v>968.61538461538464</v>
      </c>
    </row>
    <row r="8" spans="1:19" x14ac:dyDescent="0.2">
      <c r="A8" s="87">
        <v>7</v>
      </c>
      <c r="B8" s="40">
        <v>3.5</v>
      </c>
      <c r="C8" s="40">
        <v>5</v>
      </c>
      <c r="D8" s="20">
        <v>11.8</v>
      </c>
      <c r="E8" s="20">
        <v>456</v>
      </c>
      <c r="F8" s="20">
        <v>24.6</v>
      </c>
      <c r="G8" s="20">
        <v>903</v>
      </c>
      <c r="H8" s="20">
        <v>28.3</v>
      </c>
      <c r="I8" s="20">
        <v>1106</v>
      </c>
      <c r="K8" s="17">
        <v>1</v>
      </c>
    </row>
    <row r="9" spans="1:19" x14ac:dyDescent="0.2">
      <c r="A9" s="87">
        <v>7</v>
      </c>
      <c r="B9" s="40">
        <v>3.5</v>
      </c>
      <c r="C9" s="40">
        <v>5</v>
      </c>
      <c r="D9" s="20">
        <v>13.2</v>
      </c>
      <c r="E9" s="20">
        <v>596</v>
      </c>
      <c r="F9" s="20">
        <v>24.6</v>
      </c>
      <c r="G9" s="20">
        <v>924</v>
      </c>
      <c r="H9" s="20">
        <v>27.5</v>
      </c>
      <c r="I9" s="20">
        <v>1128</v>
      </c>
      <c r="K9" s="17">
        <v>1</v>
      </c>
    </row>
    <row r="10" spans="1:19" x14ac:dyDescent="0.2">
      <c r="A10" s="87">
        <v>9</v>
      </c>
      <c r="B10" s="40">
        <v>2.5</v>
      </c>
      <c r="C10" s="40">
        <v>4</v>
      </c>
      <c r="D10" s="20">
        <v>3</v>
      </c>
      <c r="E10" s="20">
        <v>66</v>
      </c>
      <c r="F10" s="20">
        <v>26.3</v>
      </c>
      <c r="G10" s="20">
        <v>968</v>
      </c>
      <c r="H10" s="20">
        <v>25.4</v>
      </c>
      <c r="I10" s="20">
        <v>987</v>
      </c>
      <c r="K10" s="17">
        <v>1</v>
      </c>
    </row>
    <row r="11" spans="1:19" x14ac:dyDescent="0.2">
      <c r="A11" s="87">
        <v>9</v>
      </c>
      <c r="B11" s="40">
        <v>2.75</v>
      </c>
      <c r="C11" s="40">
        <v>4</v>
      </c>
      <c r="D11" s="20">
        <v>2.6</v>
      </c>
      <c r="E11" s="20">
        <v>100</v>
      </c>
      <c r="F11" s="20">
        <v>25.2</v>
      </c>
      <c r="G11" s="20">
        <v>981</v>
      </c>
      <c r="H11" s="20">
        <v>25.4</v>
      </c>
      <c r="I11" s="20">
        <v>995</v>
      </c>
      <c r="K11" s="17">
        <v>1</v>
      </c>
    </row>
    <row r="12" spans="1:19" x14ac:dyDescent="0.2">
      <c r="A12" s="87">
        <v>12</v>
      </c>
      <c r="B12" s="40">
        <v>1</v>
      </c>
      <c r="C12" s="40">
        <v>2</v>
      </c>
      <c r="D12" s="20">
        <v>8.5</v>
      </c>
      <c r="E12" s="20">
        <v>259</v>
      </c>
      <c r="F12" s="20">
        <v>21.5</v>
      </c>
      <c r="G12" s="20">
        <v>864</v>
      </c>
      <c r="H12" s="20">
        <v>5.7</v>
      </c>
      <c r="I12" s="20">
        <v>201</v>
      </c>
      <c r="J12" s="17" t="s">
        <v>5</v>
      </c>
      <c r="K12" s="17">
        <v>1</v>
      </c>
    </row>
    <row r="13" spans="1:19" x14ac:dyDescent="0.2">
      <c r="A13" s="87">
        <v>13</v>
      </c>
      <c r="B13" s="40">
        <v>3</v>
      </c>
      <c r="C13" s="40">
        <v>2</v>
      </c>
      <c r="D13" s="20">
        <v>11.1</v>
      </c>
      <c r="E13" s="20">
        <v>350</v>
      </c>
      <c r="F13" s="20">
        <v>20.399999999999999</v>
      </c>
      <c r="G13" s="20">
        <v>813</v>
      </c>
      <c r="H13" s="20">
        <v>24.6</v>
      </c>
      <c r="I13" s="20">
        <v>952</v>
      </c>
      <c r="K13" s="17">
        <v>1</v>
      </c>
    </row>
    <row r="14" spans="1:19" x14ac:dyDescent="0.2">
      <c r="A14" s="86">
        <v>13</v>
      </c>
      <c r="B14" s="40">
        <v>2.75</v>
      </c>
      <c r="C14" s="40">
        <v>1</v>
      </c>
      <c r="D14" s="20">
        <v>9.1999999999999993</v>
      </c>
      <c r="E14" s="20">
        <v>298</v>
      </c>
      <c r="F14" s="20">
        <v>23.5</v>
      </c>
      <c r="G14" s="20">
        <v>910</v>
      </c>
      <c r="H14" s="20">
        <v>24.6</v>
      </c>
      <c r="I14" s="20">
        <v>961</v>
      </c>
      <c r="K14" s="17">
        <v>1</v>
      </c>
    </row>
    <row r="15" spans="1:19" x14ac:dyDescent="0.2">
      <c r="A15" s="87">
        <v>14</v>
      </c>
      <c r="B15" s="40">
        <v>2</v>
      </c>
      <c r="C15" s="40">
        <v>3.5</v>
      </c>
      <c r="D15" s="20">
        <v>15.9</v>
      </c>
      <c r="E15" s="20">
        <v>579</v>
      </c>
      <c r="F15" s="20">
        <v>26.7</v>
      </c>
      <c r="G15" s="20">
        <v>1120</v>
      </c>
      <c r="H15" s="20">
        <v>19.600000000000001</v>
      </c>
      <c r="I15" s="20">
        <v>600</v>
      </c>
      <c r="K15" s="17">
        <v>1</v>
      </c>
    </row>
    <row r="16" spans="1:19" x14ac:dyDescent="0.2">
      <c r="A16" s="87">
        <v>14</v>
      </c>
      <c r="B16" s="40">
        <v>2</v>
      </c>
      <c r="C16" s="40">
        <v>3</v>
      </c>
      <c r="D16" s="20">
        <v>13</v>
      </c>
      <c r="E16" s="20">
        <v>455</v>
      </c>
      <c r="F16" s="20">
        <v>24.8</v>
      </c>
      <c r="G16" s="20">
        <v>1039</v>
      </c>
      <c r="H16" s="20">
        <v>20</v>
      </c>
      <c r="I16" s="20">
        <v>605</v>
      </c>
      <c r="K16" s="17">
        <v>1</v>
      </c>
    </row>
    <row r="17" spans="1:11" x14ac:dyDescent="0.2">
      <c r="A17" s="87">
        <v>16</v>
      </c>
      <c r="B17" s="40">
        <v>3</v>
      </c>
      <c r="C17" s="40">
        <v>5</v>
      </c>
      <c r="D17" s="17">
        <v>10.7</v>
      </c>
      <c r="E17" s="17">
        <v>355</v>
      </c>
      <c r="F17" s="17">
        <v>22.8</v>
      </c>
      <c r="G17" s="17">
        <v>880</v>
      </c>
      <c r="H17" s="17">
        <v>23.9</v>
      </c>
      <c r="I17" s="20">
        <v>841</v>
      </c>
      <c r="K17" s="17">
        <v>1</v>
      </c>
    </row>
    <row r="18" spans="1:11" x14ac:dyDescent="0.2">
      <c r="A18" s="86">
        <v>16</v>
      </c>
      <c r="B18" s="40">
        <v>2.75</v>
      </c>
      <c r="C18" s="40">
        <v>4.5</v>
      </c>
      <c r="D18" s="17">
        <v>13.2</v>
      </c>
      <c r="E18" s="17">
        <v>355</v>
      </c>
      <c r="F18" s="17">
        <v>24</v>
      </c>
      <c r="G18" s="17">
        <v>936</v>
      </c>
      <c r="H18" s="17">
        <v>22.1</v>
      </c>
      <c r="I18" s="20">
        <v>740</v>
      </c>
      <c r="K18" s="17">
        <v>1</v>
      </c>
    </row>
    <row r="19" spans="1:11" x14ac:dyDescent="0.2">
      <c r="A19" s="87">
        <v>17</v>
      </c>
      <c r="B19" s="40">
        <v>2</v>
      </c>
      <c r="C19" s="40">
        <v>3</v>
      </c>
      <c r="D19" s="20">
        <v>2.1</v>
      </c>
      <c r="E19" s="20">
        <v>89</v>
      </c>
      <c r="F19" s="20">
        <v>24.1</v>
      </c>
      <c r="G19" s="20">
        <v>901</v>
      </c>
      <c r="H19" s="20">
        <v>23.1</v>
      </c>
      <c r="I19" s="20">
        <v>818</v>
      </c>
      <c r="K19" s="17">
        <v>1</v>
      </c>
    </row>
    <row r="20" spans="1:11" x14ac:dyDescent="0.2">
      <c r="A20" s="87">
        <v>17</v>
      </c>
      <c r="B20" s="40">
        <v>1</v>
      </c>
      <c r="C20" s="40">
        <v>3</v>
      </c>
      <c r="D20" s="20">
        <v>3.8</v>
      </c>
      <c r="E20" s="20">
        <v>77</v>
      </c>
      <c r="F20" s="20">
        <v>22.8</v>
      </c>
      <c r="G20" s="20">
        <v>846</v>
      </c>
      <c r="H20" s="20">
        <v>22.1</v>
      </c>
      <c r="I20" s="20">
        <v>771</v>
      </c>
      <c r="K20" s="17">
        <v>1</v>
      </c>
    </row>
    <row r="21" spans="1:11" x14ac:dyDescent="0.2">
      <c r="A21" s="86">
        <v>22</v>
      </c>
      <c r="B21" s="40">
        <v>2.5</v>
      </c>
      <c r="C21" s="40">
        <v>4</v>
      </c>
      <c r="D21" s="20">
        <v>8.9</v>
      </c>
      <c r="E21" s="20">
        <v>159</v>
      </c>
      <c r="F21" s="20">
        <v>25</v>
      </c>
      <c r="G21" s="20">
        <v>960</v>
      </c>
      <c r="H21" s="20">
        <v>14.3</v>
      </c>
      <c r="I21" s="20">
        <v>589</v>
      </c>
      <c r="K21" s="17">
        <v>1</v>
      </c>
    </row>
    <row r="22" spans="1:11" x14ac:dyDescent="0.2">
      <c r="A22" s="87">
        <v>22</v>
      </c>
      <c r="B22" s="40">
        <v>2.5</v>
      </c>
      <c r="C22" s="40">
        <v>4</v>
      </c>
      <c r="D22" s="20">
        <v>10.7</v>
      </c>
      <c r="E22" s="20">
        <v>175</v>
      </c>
      <c r="F22" s="20">
        <v>18.2</v>
      </c>
      <c r="G22" s="20">
        <v>577</v>
      </c>
      <c r="H22" s="20">
        <v>16.8</v>
      </c>
      <c r="I22" s="20">
        <v>781</v>
      </c>
      <c r="K22" s="17">
        <v>1</v>
      </c>
    </row>
    <row r="23" spans="1:11" x14ac:dyDescent="0.2">
      <c r="A23" s="87">
        <v>25</v>
      </c>
      <c r="B23" s="40">
        <v>2.5</v>
      </c>
      <c r="C23" s="40">
        <v>3.5</v>
      </c>
      <c r="D23" s="20">
        <v>8</v>
      </c>
      <c r="E23" s="20">
        <v>248</v>
      </c>
      <c r="F23" s="20">
        <v>21.2</v>
      </c>
      <c r="G23" s="20">
        <v>842</v>
      </c>
      <c r="H23" s="20">
        <v>21.2</v>
      </c>
      <c r="I23" s="20">
        <v>892</v>
      </c>
      <c r="K23" s="17">
        <v>1</v>
      </c>
    </row>
    <row r="24" spans="1:11" x14ac:dyDescent="0.2">
      <c r="A24" s="87">
        <v>25</v>
      </c>
      <c r="B24" s="40">
        <v>3</v>
      </c>
      <c r="C24" s="40">
        <v>3.5</v>
      </c>
      <c r="D24" s="20">
        <v>1.6</v>
      </c>
      <c r="E24" s="20">
        <v>51</v>
      </c>
      <c r="F24" s="20">
        <v>20.8</v>
      </c>
      <c r="G24" s="20">
        <v>837</v>
      </c>
      <c r="H24" s="20">
        <v>21.6</v>
      </c>
      <c r="I24" s="20">
        <v>939</v>
      </c>
      <c r="K24" s="17">
        <v>1</v>
      </c>
    </row>
    <row r="25" spans="1:11" x14ac:dyDescent="0.2">
      <c r="A25" s="86">
        <v>27</v>
      </c>
      <c r="B25" s="40">
        <v>2</v>
      </c>
      <c r="D25" s="20">
        <v>11.9</v>
      </c>
      <c r="E25" s="20">
        <v>373</v>
      </c>
      <c r="F25" s="20">
        <v>24.4</v>
      </c>
      <c r="G25" s="20">
        <v>975</v>
      </c>
      <c r="H25" s="20">
        <v>25.2</v>
      </c>
      <c r="I25" s="20">
        <v>962</v>
      </c>
      <c r="K25" s="17">
        <v>1</v>
      </c>
    </row>
    <row r="26" spans="1:11" x14ac:dyDescent="0.2">
      <c r="A26" s="87">
        <v>27</v>
      </c>
      <c r="B26" s="40">
        <v>1</v>
      </c>
      <c r="D26" s="20">
        <v>4.0999999999999996</v>
      </c>
      <c r="E26" s="20">
        <v>207</v>
      </c>
      <c r="F26" s="20">
        <v>24.1</v>
      </c>
      <c r="G26" s="20">
        <v>940</v>
      </c>
      <c r="H26" s="20">
        <v>24.8</v>
      </c>
      <c r="I26" s="20">
        <v>941</v>
      </c>
      <c r="K26" s="17">
        <v>1</v>
      </c>
    </row>
    <row r="27" spans="1:11" x14ac:dyDescent="0.2">
      <c r="A27" s="87">
        <v>30</v>
      </c>
      <c r="B27" s="40">
        <v>3</v>
      </c>
      <c r="D27" s="17">
        <v>16.3</v>
      </c>
      <c r="E27" s="17">
        <v>398</v>
      </c>
      <c r="F27" s="17">
        <v>26.7</v>
      </c>
      <c r="G27" s="17">
        <v>1018</v>
      </c>
      <c r="H27" s="17">
        <v>20.6</v>
      </c>
      <c r="I27" s="20">
        <v>780</v>
      </c>
      <c r="K27" s="17">
        <v>1</v>
      </c>
    </row>
    <row r="28" spans="1:11" x14ac:dyDescent="0.2">
      <c r="A28" s="87">
        <v>30</v>
      </c>
      <c r="B28" s="40">
        <v>2</v>
      </c>
      <c r="D28" s="17">
        <v>13.7</v>
      </c>
      <c r="E28" s="17">
        <v>373</v>
      </c>
      <c r="F28" s="17">
        <v>24.4</v>
      </c>
      <c r="G28" s="17">
        <v>952</v>
      </c>
      <c r="H28" s="17">
        <v>24.6</v>
      </c>
      <c r="I28" s="20">
        <v>932</v>
      </c>
      <c r="K28" s="17">
        <v>1</v>
      </c>
    </row>
    <row r="29" spans="1:11" x14ac:dyDescent="0.2">
      <c r="A29" s="86">
        <v>33</v>
      </c>
      <c r="B29" s="40">
        <v>2</v>
      </c>
      <c r="C29" s="40">
        <v>2</v>
      </c>
      <c r="D29" s="20">
        <v>2.5</v>
      </c>
      <c r="E29" s="20">
        <v>54</v>
      </c>
      <c r="F29" s="20">
        <v>22.1</v>
      </c>
      <c r="G29" s="20">
        <v>757</v>
      </c>
      <c r="H29" s="20">
        <v>17.7</v>
      </c>
      <c r="I29" s="20">
        <v>603</v>
      </c>
      <c r="K29" s="17">
        <v>1</v>
      </c>
    </row>
    <row r="30" spans="1:11" x14ac:dyDescent="0.2">
      <c r="A30" s="87">
        <v>33</v>
      </c>
      <c r="B30" s="40">
        <v>2</v>
      </c>
      <c r="C30" s="40">
        <v>2</v>
      </c>
      <c r="D30" s="20">
        <v>6.7</v>
      </c>
      <c r="E30" s="20">
        <v>168</v>
      </c>
      <c r="F30" s="20">
        <v>21.3</v>
      </c>
      <c r="G30" s="20">
        <v>872</v>
      </c>
      <c r="H30" s="20">
        <v>23.9</v>
      </c>
      <c r="I30" s="20">
        <v>937</v>
      </c>
      <c r="K30" s="17">
        <v>1</v>
      </c>
    </row>
    <row r="31" spans="1:11" x14ac:dyDescent="0.2">
      <c r="A31" s="86">
        <v>36</v>
      </c>
      <c r="B31" s="40">
        <v>4</v>
      </c>
      <c r="C31" s="40">
        <v>4</v>
      </c>
      <c r="D31" s="20">
        <v>2.7</v>
      </c>
      <c r="E31" s="20">
        <v>147</v>
      </c>
      <c r="F31" s="20">
        <v>21.5</v>
      </c>
      <c r="G31" s="20">
        <v>924</v>
      </c>
      <c r="H31" s="20">
        <v>22.6</v>
      </c>
      <c r="I31" s="20">
        <v>846</v>
      </c>
      <c r="K31" s="17">
        <v>1</v>
      </c>
    </row>
    <row r="32" spans="1:11" x14ac:dyDescent="0.2">
      <c r="A32" s="87">
        <v>36</v>
      </c>
      <c r="B32" s="40">
        <v>4</v>
      </c>
      <c r="C32" s="40">
        <v>4</v>
      </c>
      <c r="D32" s="20">
        <v>7.3</v>
      </c>
      <c r="E32" s="20">
        <v>144</v>
      </c>
      <c r="F32" s="20">
        <v>23.8</v>
      </c>
      <c r="G32" s="20">
        <v>966</v>
      </c>
      <c r="H32" s="20">
        <v>23</v>
      </c>
      <c r="I32" s="20">
        <v>819</v>
      </c>
      <c r="K32" s="17">
        <v>1</v>
      </c>
    </row>
    <row r="33" spans="1:11" x14ac:dyDescent="0.2">
      <c r="A33" s="87">
        <v>38</v>
      </c>
      <c r="B33" s="40">
        <v>0.5</v>
      </c>
      <c r="D33" s="20">
        <v>4.0999999999999996</v>
      </c>
      <c r="E33" s="20">
        <v>116</v>
      </c>
      <c r="F33" s="20">
        <v>25.9</v>
      </c>
      <c r="G33" s="20">
        <v>1040</v>
      </c>
      <c r="H33" s="20">
        <v>21.3</v>
      </c>
      <c r="I33" s="20">
        <v>627</v>
      </c>
      <c r="K33" s="17">
        <v>1</v>
      </c>
    </row>
    <row r="34" spans="1:11" x14ac:dyDescent="0.2">
      <c r="A34" s="87">
        <v>38</v>
      </c>
      <c r="B34" s="40">
        <v>1</v>
      </c>
      <c r="D34" s="20">
        <v>2.8</v>
      </c>
      <c r="E34" s="20">
        <v>61</v>
      </c>
      <c r="F34" s="20">
        <v>25.5</v>
      </c>
      <c r="G34" s="20">
        <v>1031</v>
      </c>
      <c r="H34" s="20">
        <v>23</v>
      </c>
      <c r="I34" s="20">
        <v>777</v>
      </c>
      <c r="K34" s="17">
        <v>1</v>
      </c>
    </row>
    <row r="35" spans="1:11" x14ac:dyDescent="0.2">
      <c r="A35" s="87">
        <v>41</v>
      </c>
      <c r="B35" s="40">
        <v>2.5</v>
      </c>
      <c r="C35" s="40">
        <v>3</v>
      </c>
      <c r="D35" s="20">
        <v>4.8</v>
      </c>
      <c r="E35" s="20">
        <v>216</v>
      </c>
      <c r="F35" s="20">
        <v>24.1</v>
      </c>
      <c r="G35" s="20">
        <v>950</v>
      </c>
      <c r="H35" s="20">
        <v>24</v>
      </c>
      <c r="I35" s="20">
        <v>956</v>
      </c>
      <c r="K35" s="17">
        <v>1</v>
      </c>
    </row>
    <row r="36" spans="1:11" x14ac:dyDescent="0.2">
      <c r="A36" s="87">
        <v>41</v>
      </c>
      <c r="B36" s="40">
        <v>2.5</v>
      </c>
      <c r="C36" s="40">
        <v>3</v>
      </c>
      <c r="D36" s="20">
        <v>6.7</v>
      </c>
      <c r="E36" s="20">
        <v>275</v>
      </c>
      <c r="F36" s="20">
        <v>24.1</v>
      </c>
      <c r="G36" s="20">
        <v>961</v>
      </c>
      <c r="H36" s="20">
        <v>5.3</v>
      </c>
      <c r="I36" s="20">
        <v>112</v>
      </c>
      <c r="K36" s="17">
        <v>1</v>
      </c>
    </row>
    <row r="37" spans="1:11" x14ac:dyDescent="0.2">
      <c r="A37" s="86">
        <v>48</v>
      </c>
      <c r="B37" s="40">
        <v>1.5</v>
      </c>
      <c r="C37" s="40">
        <v>2</v>
      </c>
      <c r="D37" s="20">
        <v>5</v>
      </c>
      <c r="E37" s="20">
        <v>110</v>
      </c>
      <c r="F37" s="20">
        <v>27.3</v>
      </c>
      <c r="G37" s="20">
        <v>1066</v>
      </c>
      <c r="H37" s="20">
        <v>17.100000000000001</v>
      </c>
      <c r="I37" s="20">
        <v>753</v>
      </c>
      <c r="K37" s="17">
        <v>1</v>
      </c>
    </row>
    <row r="38" spans="1:11" x14ac:dyDescent="0.2">
      <c r="A38" s="87">
        <v>48</v>
      </c>
      <c r="B38" s="40">
        <v>1</v>
      </c>
      <c r="C38" s="40">
        <v>3</v>
      </c>
      <c r="D38" s="20">
        <v>9</v>
      </c>
      <c r="E38" s="20">
        <v>233</v>
      </c>
      <c r="F38" s="20">
        <v>25.7</v>
      </c>
      <c r="G38" s="20">
        <v>992</v>
      </c>
      <c r="H38" s="20">
        <v>22.9</v>
      </c>
      <c r="I38" s="20">
        <v>1021</v>
      </c>
      <c r="K38" s="17">
        <v>1</v>
      </c>
    </row>
    <row r="39" spans="1:11" x14ac:dyDescent="0.2">
      <c r="A39" s="87">
        <v>52</v>
      </c>
      <c r="B39" s="40">
        <v>3</v>
      </c>
      <c r="C39" s="40">
        <v>3</v>
      </c>
      <c r="D39" s="20">
        <v>0.6</v>
      </c>
      <c r="E39" s="20">
        <v>6</v>
      </c>
      <c r="F39" s="20">
        <v>22.6</v>
      </c>
      <c r="G39" s="20">
        <v>793</v>
      </c>
      <c r="H39" s="20">
        <v>17.600000000000001</v>
      </c>
      <c r="I39" s="20">
        <v>598</v>
      </c>
      <c r="K39" s="17">
        <v>1</v>
      </c>
    </row>
    <row r="40" spans="1:11" x14ac:dyDescent="0.2">
      <c r="A40" s="86">
        <v>52</v>
      </c>
      <c r="B40" s="40">
        <v>3</v>
      </c>
      <c r="C40" s="40">
        <v>2.75</v>
      </c>
      <c r="D40" s="20">
        <v>0.6</v>
      </c>
      <c r="E40" s="20">
        <v>9</v>
      </c>
      <c r="F40" s="20">
        <v>22.9</v>
      </c>
      <c r="G40" s="20">
        <v>805</v>
      </c>
      <c r="H40" s="20">
        <v>17.399999999999999</v>
      </c>
      <c r="I40" s="20">
        <v>620</v>
      </c>
      <c r="K40" s="17">
        <v>1</v>
      </c>
    </row>
    <row r="41" spans="1:11" x14ac:dyDescent="0.2">
      <c r="A41" s="87">
        <v>71</v>
      </c>
      <c r="B41" s="40">
        <v>0.5</v>
      </c>
      <c r="D41" s="20">
        <v>6.3</v>
      </c>
      <c r="E41" s="20">
        <v>123</v>
      </c>
      <c r="F41" s="20">
        <v>24.6</v>
      </c>
      <c r="G41" s="20">
        <v>1049</v>
      </c>
      <c r="H41" s="20">
        <v>22.2</v>
      </c>
      <c r="I41" s="20">
        <v>859</v>
      </c>
      <c r="K41" s="17">
        <v>1</v>
      </c>
    </row>
    <row r="42" spans="1:11" x14ac:dyDescent="0.2">
      <c r="A42" s="87">
        <v>71</v>
      </c>
      <c r="B42" s="40">
        <v>0</v>
      </c>
      <c r="D42" s="20">
        <v>6</v>
      </c>
      <c r="E42" s="20">
        <v>167</v>
      </c>
      <c r="F42" s="20">
        <v>24.9</v>
      </c>
      <c r="G42" s="20">
        <v>1028</v>
      </c>
      <c r="H42" s="20">
        <v>23.4</v>
      </c>
      <c r="I42" s="20">
        <v>872</v>
      </c>
      <c r="K42" s="17">
        <v>1</v>
      </c>
    </row>
    <row r="43" spans="1:11" x14ac:dyDescent="0.2">
      <c r="A43" s="87">
        <v>92</v>
      </c>
      <c r="B43" s="40">
        <v>4</v>
      </c>
      <c r="C43" s="40">
        <v>4</v>
      </c>
      <c r="D43" s="20">
        <v>12.6</v>
      </c>
      <c r="E43" s="20">
        <v>336</v>
      </c>
      <c r="F43" s="20">
        <v>21.4</v>
      </c>
      <c r="G43" s="20">
        <v>926</v>
      </c>
      <c r="H43" s="20">
        <v>19.7</v>
      </c>
      <c r="I43" s="20">
        <v>654</v>
      </c>
      <c r="K43" s="17">
        <v>1</v>
      </c>
    </row>
    <row r="44" spans="1:11" x14ac:dyDescent="0.2">
      <c r="A44" s="87">
        <v>92</v>
      </c>
      <c r="B44" s="40">
        <v>4</v>
      </c>
      <c r="C44" s="40">
        <v>4</v>
      </c>
      <c r="D44" s="20">
        <v>14.6</v>
      </c>
      <c r="E44" s="20">
        <v>452</v>
      </c>
      <c r="F44" s="20">
        <v>25.1</v>
      </c>
      <c r="G44" s="20">
        <v>1013</v>
      </c>
      <c r="H44" s="20">
        <v>22.3</v>
      </c>
      <c r="I44" s="20">
        <v>704</v>
      </c>
      <c r="K44" s="17">
        <v>1</v>
      </c>
    </row>
    <row r="45" spans="1:11" x14ac:dyDescent="0.2">
      <c r="A45" s="86">
        <v>117</v>
      </c>
      <c r="B45" s="40">
        <v>2</v>
      </c>
      <c r="C45" s="40">
        <v>3.5</v>
      </c>
      <c r="D45" s="20">
        <v>10</v>
      </c>
      <c r="E45" s="20">
        <v>246</v>
      </c>
      <c r="F45" s="20">
        <v>25.3</v>
      </c>
      <c r="G45" s="20">
        <v>1038</v>
      </c>
      <c r="H45" s="20">
        <v>28.6</v>
      </c>
      <c r="I45" s="20">
        <v>1286</v>
      </c>
      <c r="K45" s="17">
        <v>1</v>
      </c>
    </row>
    <row r="46" spans="1:11" x14ac:dyDescent="0.2">
      <c r="A46" s="87">
        <v>117</v>
      </c>
      <c r="B46" s="40">
        <v>2.5</v>
      </c>
      <c r="C46" s="40">
        <v>3.5</v>
      </c>
      <c r="D46" s="20">
        <v>11.1</v>
      </c>
      <c r="E46" s="20">
        <v>255</v>
      </c>
      <c r="F46" s="20">
        <v>25.1</v>
      </c>
      <c r="G46" s="20">
        <v>1025</v>
      </c>
      <c r="H46" s="20">
        <v>26.8</v>
      </c>
      <c r="I46" s="20">
        <v>1310</v>
      </c>
      <c r="K46" s="17">
        <v>1</v>
      </c>
    </row>
    <row r="47" spans="1:11" x14ac:dyDescent="0.2">
      <c r="A47" s="86">
        <v>123</v>
      </c>
      <c r="B47" s="41">
        <v>3</v>
      </c>
      <c r="C47" s="41"/>
      <c r="D47" s="19">
        <v>7.5</v>
      </c>
      <c r="E47" s="19">
        <v>222</v>
      </c>
      <c r="F47" s="19">
        <v>24.5</v>
      </c>
      <c r="G47" s="19">
        <v>1004</v>
      </c>
      <c r="H47" s="19">
        <v>17.899999999999999</v>
      </c>
      <c r="I47" s="19">
        <v>597</v>
      </c>
      <c r="J47" s="18"/>
      <c r="K47" s="18">
        <v>1</v>
      </c>
    </row>
    <row r="48" spans="1:11" x14ac:dyDescent="0.2">
      <c r="A48" s="87">
        <v>123</v>
      </c>
      <c r="B48" s="41">
        <v>3</v>
      </c>
      <c r="C48" s="41"/>
      <c r="D48" s="19">
        <v>12.6</v>
      </c>
      <c r="E48" s="19">
        <v>387</v>
      </c>
      <c r="F48" s="19">
        <v>25.7</v>
      </c>
      <c r="G48" s="19">
        <v>1041</v>
      </c>
      <c r="H48" s="19">
        <v>14.5</v>
      </c>
      <c r="I48" s="19">
        <v>494</v>
      </c>
      <c r="J48" s="18"/>
      <c r="K48" s="18">
        <v>1</v>
      </c>
    </row>
    <row r="49" spans="1:15" x14ac:dyDescent="0.2">
      <c r="A49" s="86">
        <v>126</v>
      </c>
      <c r="B49" s="40">
        <v>3</v>
      </c>
      <c r="D49" s="17">
        <v>12.7</v>
      </c>
      <c r="E49" s="17">
        <v>449</v>
      </c>
      <c r="F49" s="19">
        <v>25.2</v>
      </c>
      <c r="G49" s="19">
        <v>990</v>
      </c>
      <c r="H49" s="19">
        <v>12.2</v>
      </c>
      <c r="I49" s="19">
        <v>332</v>
      </c>
      <c r="K49" s="18">
        <v>1</v>
      </c>
    </row>
    <row r="50" spans="1:15" x14ac:dyDescent="0.2">
      <c r="A50" s="87">
        <v>126</v>
      </c>
      <c r="B50" s="40">
        <v>3</v>
      </c>
      <c r="D50" s="17">
        <v>12.8</v>
      </c>
      <c r="E50" s="17">
        <v>356</v>
      </c>
      <c r="F50" s="19">
        <v>24</v>
      </c>
      <c r="G50" s="19">
        <v>995</v>
      </c>
      <c r="H50" s="19">
        <v>17.8</v>
      </c>
      <c r="I50" s="19">
        <v>442</v>
      </c>
      <c r="K50" s="18">
        <v>1</v>
      </c>
    </row>
    <row r="51" spans="1:15" x14ac:dyDescent="0.2">
      <c r="A51" s="87">
        <v>127</v>
      </c>
      <c r="B51" s="40">
        <v>2.5</v>
      </c>
      <c r="C51" s="40">
        <v>3</v>
      </c>
      <c r="D51" s="17">
        <v>5</v>
      </c>
      <c r="E51" s="17">
        <v>176</v>
      </c>
      <c r="F51" s="19">
        <v>23.9</v>
      </c>
      <c r="G51" s="19">
        <v>1061</v>
      </c>
      <c r="H51" s="19">
        <v>24.5</v>
      </c>
      <c r="I51" s="19">
        <v>891</v>
      </c>
      <c r="K51" s="18">
        <v>1</v>
      </c>
    </row>
    <row r="52" spans="1:15" x14ac:dyDescent="0.2">
      <c r="A52" s="87">
        <v>127</v>
      </c>
      <c r="B52" s="40">
        <v>1.5</v>
      </c>
      <c r="C52" s="40">
        <v>2</v>
      </c>
      <c r="D52" s="17">
        <v>5</v>
      </c>
      <c r="E52" s="17">
        <v>135</v>
      </c>
      <c r="F52" s="19">
        <v>25</v>
      </c>
      <c r="G52" s="19">
        <v>1048</v>
      </c>
      <c r="H52" s="19">
        <v>23.8</v>
      </c>
      <c r="I52" s="19">
        <v>1000</v>
      </c>
      <c r="K52" s="18">
        <v>1</v>
      </c>
    </row>
    <row r="53" spans="1:15" x14ac:dyDescent="0.2">
      <c r="A53" s="86">
        <v>132</v>
      </c>
      <c r="B53" s="41">
        <v>0</v>
      </c>
      <c r="C53" s="41"/>
      <c r="D53" s="19">
        <v>1</v>
      </c>
      <c r="E53" s="19">
        <v>1</v>
      </c>
      <c r="F53" s="19">
        <v>25.3</v>
      </c>
      <c r="G53" s="19">
        <v>1030</v>
      </c>
      <c r="H53" s="19">
        <v>17.899999999999999</v>
      </c>
      <c r="I53" s="19">
        <v>856</v>
      </c>
      <c r="J53" s="18"/>
      <c r="K53" s="18">
        <v>1</v>
      </c>
    </row>
    <row r="54" spans="1:15" x14ac:dyDescent="0.2">
      <c r="A54" s="87">
        <v>132</v>
      </c>
      <c r="B54" s="41">
        <v>0</v>
      </c>
      <c r="C54" s="41"/>
      <c r="D54" s="19">
        <v>3.3</v>
      </c>
      <c r="E54" s="19">
        <v>149</v>
      </c>
      <c r="F54" s="19">
        <v>25.1</v>
      </c>
      <c r="G54" s="19">
        <v>1052</v>
      </c>
      <c r="H54" s="19">
        <v>20.3</v>
      </c>
      <c r="I54" s="19">
        <v>889</v>
      </c>
      <c r="J54" s="18"/>
      <c r="K54" s="18">
        <v>1</v>
      </c>
    </row>
    <row r="55" spans="1:15" x14ac:dyDescent="0.2">
      <c r="A55" s="87">
        <v>133</v>
      </c>
      <c r="B55" s="41">
        <v>3</v>
      </c>
      <c r="C55" s="41">
        <v>4</v>
      </c>
      <c r="D55" s="19">
        <v>1.7</v>
      </c>
      <c r="E55" s="19">
        <v>13</v>
      </c>
      <c r="F55" s="19">
        <v>25.6</v>
      </c>
      <c r="G55" s="19">
        <v>964</v>
      </c>
      <c r="H55" s="19">
        <v>24.8</v>
      </c>
      <c r="I55" s="19">
        <v>951</v>
      </c>
      <c r="J55" s="18"/>
      <c r="K55" s="18">
        <v>1</v>
      </c>
    </row>
    <row r="56" spans="1:15" x14ac:dyDescent="0.2">
      <c r="A56" s="87">
        <v>133</v>
      </c>
      <c r="B56" s="41">
        <v>4.5</v>
      </c>
      <c r="C56" s="41">
        <v>4</v>
      </c>
      <c r="D56" s="19">
        <v>2.2999999999999998</v>
      </c>
      <c r="E56" s="19">
        <v>20</v>
      </c>
      <c r="F56" s="19">
        <v>24.9</v>
      </c>
      <c r="G56" s="19">
        <v>944</v>
      </c>
      <c r="H56" s="19">
        <v>25.6</v>
      </c>
      <c r="I56" s="19">
        <v>974</v>
      </c>
      <c r="J56" s="18"/>
      <c r="K56" s="18">
        <v>1</v>
      </c>
    </row>
    <row r="57" spans="1:15" x14ac:dyDescent="0.2">
      <c r="A57" s="86">
        <v>138</v>
      </c>
      <c r="B57" s="41">
        <v>3</v>
      </c>
      <c r="C57" s="41">
        <v>4</v>
      </c>
      <c r="D57" s="19">
        <v>9.5</v>
      </c>
      <c r="E57" s="19">
        <v>207</v>
      </c>
      <c r="F57" s="19">
        <v>24.8</v>
      </c>
      <c r="G57" s="19">
        <v>916</v>
      </c>
      <c r="H57" s="19">
        <v>22.2</v>
      </c>
      <c r="I57" s="19">
        <v>859</v>
      </c>
      <c r="J57" s="18"/>
      <c r="K57" s="18">
        <v>1</v>
      </c>
    </row>
    <row r="58" spans="1:15" x14ac:dyDescent="0.2">
      <c r="A58" s="87">
        <v>138</v>
      </c>
      <c r="B58" s="41">
        <v>2.5</v>
      </c>
      <c r="C58" s="41">
        <v>4</v>
      </c>
      <c r="D58" s="19">
        <v>2</v>
      </c>
      <c r="E58" s="19">
        <v>16</v>
      </c>
      <c r="F58" s="19">
        <v>25.5</v>
      </c>
      <c r="G58" s="19">
        <v>1000</v>
      </c>
      <c r="H58" s="19">
        <v>25.7</v>
      </c>
      <c r="I58" s="19">
        <v>1000</v>
      </c>
      <c r="J58" s="18"/>
      <c r="K58" s="18">
        <v>1</v>
      </c>
    </row>
    <row r="59" spans="1:15" x14ac:dyDescent="0.2">
      <c r="A59" s="87">
        <v>140</v>
      </c>
      <c r="B59" s="41">
        <v>3.5</v>
      </c>
      <c r="C59" s="41">
        <v>4</v>
      </c>
      <c r="D59" s="19">
        <v>3.4</v>
      </c>
      <c r="E59" s="19">
        <v>36</v>
      </c>
      <c r="F59" s="19">
        <v>13.1</v>
      </c>
      <c r="G59" s="19">
        <v>285</v>
      </c>
      <c r="H59" s="19">
        <v>18.8</v>
      </c>
      <c r="I59" s="19">
        <v>881</v>
      </c>
      <c r="J59" s="18"/>
      <c r="K59" s="18">
        <v>1</v>
      </c>
    </row>
    <row r="60" spans="1:15" x14ac:dyDescent="0.2">
      <c r="A60" s="87">
        <v>140</v>
      </c>
      <c r="B60" s="41">
        <v>3.5</v>
      </c>
      <c r="C60" s="41">
        <v>4</v>
      </c>
      <c r="D60" s="19">
        <v>6.7</v>
      </c>
      <c r="E60" s="19">
        <v>91</v>
      </c>
      <c r="F60" s="19">
        <v>17.3</v>
      </c>
      <c r="G60" s="19">
        <v>520</v>
      </c>
      <c r="H60" s="19">
        <v>23.1</v>
      </c>
      <c r="I60" s="19">
        <v>959</v>
      </c>
      <c r="J60" s="18"/>
      <c r="K60" s="18">
        <v>1</v>
      </c>
    </row>
    <row r="61" spans="1:15" x14ac:dyDescent="0.2">
      <c r="A61" s="86">
        <v>143</v>
      </c>
      <c r="B61" s="41">
        <v>2</v>
      </c>
      <c r="C61" s="41"/>
      <c r="D61" s="19">
        <v>3.5</v>
      </c>
      <c r="E61" s="19">
        <v>240</v>
      </c>
      <c r="F61" s="19">
        <v>22.2</v>
      </c>
      <c r="G61" s="19">
        <v>887</v>
      </c>
      <c r="H61" s="19">
        <v>31.5</v>
      </c>
      <c r="I61" s="19">
        <v>1343</v>
      </c>
      <c r="J61" s="18"/>
      <c r="K61" s="18">
        <v>1</v>
      </c>
    </row>
    <row r="62" spans="1:15" x14ac:dyDescent="0.2">
      <c r="A62" s="86">
        <v>143</v>
      </c>
      <c r="B62" s="42">
        <v>2</v>
      </c>
      <c r="C62" s="42"/>
      <c r="D62" s="34">
        <v>2.2000000000000002</v>
      </c>
      <c r="E62" s="34">
        <v>75</v>
      </c>
      <c r="F62" s="34">
        <v>23.5</v>
      </c>
      <c r="G62" s="34">
        <v>942</v>
      </c>
      <c r="H62" s="34">
        <v>28.8</v>
      </c>
      <c r="I62" s="34">
        <v>1199</v>
      </c>
      <c r="J62" s="37"/>
      <c r="K62" s="37">
        <v>1</v>
      </c>
    </row>
    <row r="63" spans="1:15" x14ac:dyDescent="0.2">
      <c r="A63" s="87">
        <v>11</v>
      </c>
      <c r="B63" s="40">
        <v>0.5</v>
      </c>
      <c r="C63" s="40">
        <v>4</v>
      </c>
      <c r="D63" s="20">
        <v>6.9</v>
      </c>
      <c r="E63" s="20">
        <v>90</v>
      </c>
      <c r="F63" s="20">
        <v>20.8</v>
      </c>
      <c r="G63" s="20">
        <v>708</v>
      </c>
      <c r="H63" s="20">
        <v>26.1</v>
      </c>
      <c r="I63" s="20">
        <v>1017</v>
      </c>
      <c r="K63" s="17">
        <v>2</v>
      </c>
      <c r="M63" s="17" t="s">
        <v>219</v>
      </c>
    </row>
    <row r="64" spans="1:15" x14ac:dyDescent="0.2">
      <c r="A64" s="87">
        <v>11</v>
      </c>
      <c r="B64" s="40">
        <v>0.5</v>
      </c>
      <c r="C64" s="40">
        <v>4.5</v>
      </c>
      <c r="D64" s="20">
        <v>8.9</v>
      </c>
      <c r="E64" s="20">
        <v>132</v>
      </c>
      <c r="F64" s="20">
        <v>23.3</v>
      </c>
      <c r="G64" s="20">
        <v>807</v>
      </c>
      <c r="H64" s="20">
        <v>24.3</v>
      </c>
      <c r="I64" s="20">
        <v>932</v>
      </c>
      <c r="K64" s="17">
        <v>2</v>
      </c>
      <c r="N64" s="17" t="s">
        <v>221</v>
      </c>
      <c r="O64" s="17" t="s">
        <v>222</v>
      </c>
    </row>
    <row r="65" spans="1:18" x14ac:dyDescent="0.2">
      <c r="A65" s="87">
        <v>15</v>
      </c>
      <c r="B65" s="40">
        <v>0.25</v>
      </c>
      <c r="C65" s="40">
        <v>3</v>
      </c>
      <c r="D65" s="20">
        <v>8.5</v>
      </c>
      <c r="E65" s="20">
        <v>276</v>
      </c>
      <c r="F65" s="20">
        <v>26.3</v>
      </c>
      <c r="G65" s="20">
        <v>994</v>
      </c>
      <c r="H65" s="20">
        <v>24.1</v>
      </c>
      <c r="I65" s="20">
        <v>777</v>
      </c>
      <c r="K65" s="17">
        <v>2</v>
      </c>
      <c r="M65" s="17" t="s">
        <v>224</v>
      </c>
      <c r="N65" s="17">
        <f>CORREL(B2:B62,D2:D62)</f>
        <v>0.19956103370185255</v>
      </c>
      <c r="O65" s="17">
        <f>CORREL(B2:B62,E2:E62)</f>
        <v>0.19695961953991159</v>
      </c>
    </row>
    <row r="66" spans="1:18" x14ac:dyDescent="0.2">
      <c r="A66" s="87">
        <v>20</v>
      </c>
      <c r="B66" s="40">
        <v>0.25</v>
      </c>
      <c r="C66" s="40">
        <v>4</v>
      </c>
      <c r="D66" s="20">
        <v>12.2</v>
      </c>
      <c r="E66" s="20">
        <v>249</v>
      </c>
      <c r="F66" s="20">
        <v>24.4</v>
      </c>
      <c r="G66" s="20">
        <v>845</v>
      </c>
      <c r="H66" s="20">
        <v>24.6</v>
      </c>
      <c r="I66" s="20">
        <v>893</v>
      </c>
      <c r="K66" s="17">
        <v>2</v>
      </c>
      <c r="M66" s="17" t="s">
        <v>220</v>
      </c>
      <c r="N66" s="17">
        <f>CORREL(B63:B87,D63:D87)</f>
        <v>0.617826893000607</v>
      </c>
      <c r="O66" s="17">
        <f>CORREL(B63:B87,E63:E87)</f>
        <v>0.61699963389387091</v>
      </c>
    </row>
    <row r="67" spans="1:18" x14ac:dyDescent="0.2">
      <c r="A67" s="86">
        <v>20</v>
      </c>
      <c r="B67" s="40">
        <v>0</v>
      </c>
      <c r="C67" s="40">
        <v>4</v>
      </c>
      <c r="D67" s="20">
        <v>14.4</v>
      </c>
      <c r="E67" s="20">
        <v>309</v>
      </c>
      <c r="F67" s="20">
        <v>24.8</v>
      </c>
      <c r="G67" s="20">
        <v>942</v>
      </c>
      <c r="H67" s="20">
        <v>24.2</v>
      </c>
      <c r="I67" s="20">
        <v>892</v>
      </c>
      <c r="K67" s="17">
        <v>2</v>
      </c>
      <c r="M67" s="17" t="s">
        <v>223</v>
      </c>
      <c r="N67" s="17">
        <f>CORREL(B88:B100,D88:D100)</f>
        <v>0.64963454974258161</v>
      </c>
      <c r="O67" s="17">
        <f>CORREL(B88:B100,E88:E100)</f>
        <v>0.47809953052268023</v>
      </c>
    </row>
    <row r="68" spans="1:18" x14ac:dyDescent="0.2">
      <c r="A68" s="87">
        <v>28</v>
      </c>
      <c r="B68" s="40">
        <v>0.5</v>
      </c>
      <c r="C68" s="40">
        <v>3</v>
      </c>
      <c r="D68" s="20">
        <v>18.100000000000001</v>
      </c>
      <c r="E68" s="20">
        <v>458</v>
      </c>
      <c r="F68" s="20">
        <v>25.2</v>
      </c>
      <c r="G68" s="20">
        <v>876</v>
      </c>
      <c r="H68" s="20">
        <v>25.7</v>
      </c>
      <c r="I68" s="20">
        <v>971</v>
      </c>
      <c r="K68" s="17">
        <v>2</v>
      </c>
    </row>
    <row r="69" spans="1:18" x14ac:dyDescent="0.2">
      <c r="A69" s="87">
        <v>28</v>
      </c>
      <c r="B69" s="40">
        <v>-1</v>
      </c>
      <c r="C69" s="40">
        <v>3</v>
      </c>
      <c r="D69" s="20">
        <v>7.4</v>
      </c>
      <c r="E69" s="20">
        <v>305</v>
      </c>
      <c r="F69" s="20">
        <v>24.8</v>
      </c>
      <c r="G69" s="20">
        <v>1025</v>
      </c>
      <c r="H69" s="20">
        <v>26</v>
      </c>
      <c r="I69" s="20">
        <v>1007</v>
      </c>
      <c r="K69" s="17">
        <v>2</v>
      </c>
      <c r="M69" s="17" t="s">
        <v>197</v>
      </c>
    </row>
    <row r="70" spans="1:18" x14ac:dyDescent="0.2">
      <c r="A70" s="87">
        <v>29</v>
      </c>
      <c r="B70" s="40">
        <v>0.5</v>
      </c>
      <c r="C70" s="40">
        <v>4</v>
      </c>
      <c r="D70" s="20">
        <v>12.5</v>
      </c>
      <c r="E70" s="20">
        <v>262</v>
      </c>
      <c r="F70" s="20">
        <v>23.9</v>
      </c>
      <c r="G70" s="20">
        <v>892</v>
      </c>
      <c r="H70" s="20">
        <v>24.1</v>
      </c>
      <c r="I70" s="20">
        <v>906</v>
      </c>
      <c r="J70" s="17" t="s">
        <v>9</v>
      </c>
      <c r="K70" s="17">
        <v>2</v>
      </c>
      <c r="M70" s="17" t="s">
        <v>225</v>
      </c>
      <c r="N70" s="17">
        <f>AVERAGE(B63:B87)</f>
        <v>-0.15</v>
      </c>
      <c r="O70" s="17" t="s">
        <v>227</v>
      </c>
      <c r="P70" s="17">
        <f>AVERAGE(D63:D87)</f>
        <v>8.088000000000001</v>
      </c>
      <c r="Q70" s="17" t="s">
        <v>229</v>
      </c>
      <c r="R70" s="17">
        <f>AVERAGE(E63:E87)</f>
        <v>201.68</v>
      </c>
    </row>
    <row r="71" spans="1:18" x14ac:dyDescent="0.2">
      <c r="A71" s="87">
        <v>31</v>
      </c>
      <c r="B71" s="40">
        <v>0</v>
      </c>
      <c r="C71" s="40">
        <v>2</v>
      </c>
      <c r="D71" s="20">
        <v>5.6</v>
      </c>
      <c r="E71" s="20">
        <v>137</v>
      </c>
      <c r="F71" s="20">
        <v>17</v>
      </c>
      <c r="G71" s="20">
        <v>708</v>
      </c>
      <c r="H71" s="20">
        <v>21.8</v>
      </c>
      <c r="I71" s="20">
        <v>874</v>
      </c>
      <c r="J71" s="17" t="s">
        <v>7</v>
      </c>
      <c r="K71" s="17">
        <v>2</v>
      </c>
      <c r="M71" s="17" t="s">
        <v>226</v>
      </c>
      <c r="N71" s="17">
        <f>AVERAGE(C63:C87)</f>
        <v>2.93</v>
      </c>
      <c r="O71" s="17" t="s">
        <v>228</v>
      </c>
      <c r="P71" s="17">
        <f>AVERAGE(F63:F87)</f>
        <v>22.663999999999998</v>
      </c>
      <c r="Q71" s="17" t="s">
        <v>230</v>
      </c>
      <c r="R71" s="17">
        <f>AVERAGE(G63:G87)</f>
        <v>878.88</v>
      </c>
    </row>
    <row r="72" spans="1:18" x14ac:dyDescent="0.2">
      <c r="A72" s="87">
        <v>34</v>
      </c>
      <c r="B72" s="40">
        <v>0</v>
      </c>
      <c r="C72" s="40">
        <v>2.5</v>
      </c>
      <c r="D72" s="17">
        <v>7.9</v>
      </c>
      <c r="E72" s="17">
        <v>283</v>
      </c>
      <c r="F72" s="17">
        <v>21.5</v>
      </c>
      <c r="G72" s="17">
        <v>824</v>
      </c>
      <c r="H72" s="20">
        <v>16.8</v>
      </c>
      <c r="I72" s="20">
        <v>781</v>
      </c>
      <c r="K72" s="20">
        <v>2</v>
      </c>
    </row>
    <row r="73" spans="1:18" x14ac:dyDescent="0.2">
      <c r="A73" s="86">
        <v>34</v>
      </c>
      <c r="B73" s="40">
        <v>0.5</v>
      </c>
      <c r="C73" s="40">
        <v>3</v>
      </c>
      <c r="D73" s="17">
        <v>8.1999999999999993</v>
      </c>
      <c r="E73" s="17">
        <v>181</v>
      </c>
      <c r="F73" s="17">
        <v>20.8</v>
      </c>
      <c r="G73" s="17">
        <v>834</v>
      </c>
      <c r="H73" s="17">
        <v>20.6</v>
      </c>
      <c r="I73" s="17">
        <v>882</v>
      </c>
      <c r="K73" s="17">
        <v>2</v>
      </c>
      <c r="M73" s="17" t="s">
        <v>198</v>
      </c>
    </row>
    <row r="74" spans="1:18" x14ac:dyDescent="0.2">
      <c r="A74" s="86">
        <v>39</v>
      </c>
      <c r="B74" s="40">
        <v>2</v>
      </c>
      <c r="C74" s="40">
        <v>2</v>
      </c>
      <c r="D74" s="20">
        <v>2.5</v>
      </c>
      <c r="E74" s="20">
        <v>136</v>
      </c>
      <c r="F74" s="20">
        <v>22.1</v>
      </c>
      <c r="G74" s="20">
        <v>946</v>
      </c>
      <c r="H74" s="20">
        <v>10.3</v>
      </c>
      <c r="I74" s="20">
        <v>298</v>
      </c>
      <c r="K74" s="17">
        <v>2</v>
      </c>
      <c r="M74" s="17" t="s">
        <v>225</v>
      </c>
      <c r="N74" s="17">
        <f>AVERAGE(B88:B100)</f>
        <v>0.42307692307692307</v>
      </c>
      <c r="O74" s="17" t="s">
        <v>227</v>
      </c>
      <c r="P74" s="17">
        <f>AVERAGE(D88:D100)</f>
        <v>8.4230769230769234</v>
      </c>
      <c r="Q74" s="17" t="s">
        <v>229</v>
      </c>
      <c r="R74" s="17">
        <f>AVERAGE(E88:E100)</f>
        <v>261.76923076923077</v>
      </c>
    </row>
    <row r="75" spans="1:18" x14ac:dyDescent="0.2">
      <c r="A75" s="86">
        <v>39</v>
      </c>
      <c r="B75" s="40">
        <v>0</v>
      </c>
      <c r="C75" s="40">
        <v>1.5</v>
      </c>
      <c r="D75" s="20">
        <v>1.4</v>
      </c>
      <c r="E75" s="20">
        <v>48</v>
      </c>
      <c r="F75" s="20">
        <v>22.9</v>
      </c>
      <c r="G75" s="20">
        <v>1042</v>
      </c>
      <c r="H75" s="20">
        <v>10.3</v>
      </c>
      <c r="I75" s="20">
        <v>146</v>
      </c>
      <c r="K75" s="17">
        <v>2</v>
      </c>
      <c r="M75" s="17" t="s">
        <v>226</v>
      </c>
      <c r="N75" s="17">
        <f>AVERAGE(C88:C100)</f>
        <v>3.1923076923076925</v>
      </c>
      <c r="O75" s="17" t="s">
        <v>228</v>
      </c>
      <c r="P75" s="17">
        <f>AVERAGE(F88:F100)</f>
        <v>22.233333333333334</v>
      </c>
      <c r="Q75" s="17" t="s">
        <v>230</v>
      </c>
      <c r="R75" s="17">
        <f>AVERAGE(G88:G100)</f>
        <v>861.75</v>
      </c>
    </row>
    <row r="76" spans="1:18" x14ac:dyDescent="0.2">
      <c r="A76" s="87">
        <v>40</v>
      </c>
      <c r="B76" s="40">
        <v>2</v>
      </c>
      <c r="C76" s="40">
        <v>3</v>
      </c>
      <c r="D76" s="20">
        <v>11.5</v>
      </c>
      <c r="E76" s="20">
        <v>287</v>
      </c>
      <c r="F76" s="20">
        <v>22.2</v>
      </c>
      <c r="G76" s="20">
        <v>789</v>
      </c>
      <c r="H76" s="20">
        <v>24.4</v>
      </c>
      <c r="I76" s="20">
        <v>954</v>
      </c>
      <c r="K76" s="17">
        <v>2</v>
      </c>
    </row>
    <row r="77" spans="1:18" x14ac:dyDescent="0.2">
      <c r="A77" s="87">
        <v>40</v>
      </c>
      <c r="B77" s="40">
        <v>0.75</v>
      </c>
      <c r="C77" s="40">
        <v>3</v>
      </c>
      <c r="D77" s="20">
        <v>11.1</v>
      </c>
      <c r="E77" s="20">
        <v>321</v>
      </c>
      <c r="F77" s="20">
        <v>21.5</v>
      </c>
      <c r="G77" s="20">
        <v>912</v>
      </c>
      <c r="H77" s="20">
        <v>24.8</v>
      </c>
      <c r="I77" s="20">
        <v>959</v>
      </c>
      <c r="K77" s="17">
        <v>2</v>
      </c>
    </row>
    <row r="78" spans="1:18" x14ac:dyDescent="0.2">
      <c r="A78" s="94">
        <v>42</v>
      </c>
      <c r="B78" s="40">
        <v>-1</v>
      </c>
      <c r="C78" s="40">
        <v>3</v>
      </c>
      <c r="D78" s="20">
        <v>4.8</v>
      </c>
      <c r="E78" s="20">
        <v>99</v>
      </c>
      <c r="F78" s="20">
        <v>20</v>
      </c>
      <c r="G78" s="20">
        <v>917</v>
      </c>
      <c r="H78" s="20">
        <v>23.3</v>
      </c>
      <c r="I78" s="20">
        <v>991</v>
      </c>
      <c r="K78" s="17">
        <v>2</v>
      </c>
    </row>
    <row r="79" spans="1:18" x14ac:dyDescent="0.2">
      <c r="A79" s="24">
        <v>42</v>
      </c>
      <c r="B79" s="41">
        <v>-1</v>
      </c>
      <c r="C79" s="41">
        <v>3</v>
      </c>
      <c r="D79" s="19">
        <v>7.2</v>
      </c>
      <c r="E79" s="19">
        <v>99</v>
      </c>
      <c r="F79" s="19">
        <v>20</v>
      </c>
      <c r="G79" s="19">
        <v>968</v>
      </c>
      <c r="H79" s="19">
        <v>22.1</v>
      </c>
      <c r="I79" s="19">
        <v>974</v>
      </c>
      <c r="J79" s="18"/>
      <c r="K79" s="18">
        <v>2</v>
      </c>
    </row>
    <row r="80" spans="1:18" x14ac:dyDescent="0.2">
      <c r="A80" s="24">
        <v>99</v>
      </c>
      <c r="B80" s="40">
        <v>-3</v>
      </c>
      <c r="C80" s="40">
        <v>2.5</v>
      </c>
      <c r="D80" s="20">
        <v>1.4</v>
      </c>
      <c r="E80" s="20">
        <v>9</v>
      </c>
      <c r="F80" s="20">
        <v>23.7</v>
      </c>
      <c r="G80" s="20">
        <v>941</v>
      </c>
      <c r="H80" s="20">
        <v>22</v>
      </c>
      <c r="I80" s="20">
        <v>850</v>
      </c>
      <c r="K80" s="17">
        <v>2</v>
      </c>
    </row>
    <row r="81" spans="1:11" x14ac:dyDescent="0.2">
      <c r="A81" s="24">
        <v>99</v>
      </c>
      <c r="B81" s="40">
        <v>-4</v>
      </c>
      <c r="C81" s="40">
        <v>2.5</v>
      </c>
      <c r="D81" s="20">
        <v>1.7</v>
      </c>
      <c r="E81" s="20">
        <v>11</v>
      </c>
      <c r="F81" s="20">
        <v>23.7</v>
      </c>
      <c r="G81" s="20">
        <v>906</v>
      </c>
      <c r="H81" s="20">
        <v>20.8</v>
      </c>
      <c r="I81" s="20">
        <v>718</v>
      </c>
      <c r="K81" s="17">
        <v>2</v>
      </c>
    </row>
    <row r="82" spans="1:11" x14ac:dyDescent="0.2">
      <c r="A82" s="24">
        <v>113</v>
      </c>
      <c r="B82" s="40">
        <v>0.5</v>
      </c>
      <c r="C82" s="40">
        <v>2.5</v>
      </c>
      <c r="D82" s="20">
        <v>12.4</v>
      </c>
      <c r="E82" s="20">
        <v>425</v>
      </c>
      <c r="F82" s="20">
        <v>22.7</v>
      </c>
      <c r="G82" s="20">
        <v>908</v>
      </c>
      <c r="H82" s="20">
        <v>23.3</v>
      </c>
      <c r="I82" s="20">
        <v>946</v>
      </c>
      <c r="K82" s="17">
        <v>2</v>
      </c>
    </row>
    <row r="83" spans="1:11" x14ac:dyDescent="0.2">
      <c r="A83" s="24">
        <v>113</v>
      </c>
      <c r="B83" s="40">
        <v>1</v>
      </c>
      <c r="C83" s="40">
        <v>2.5</v>
      </c>
      <c r="D83" s="20">
        <v>9.6</v>
      </c>
      <c r="E83" s="20">
        <v>380</v>
      </c>
      <c r="F83" s="20">
        <v>22.9</v>
      </c>
      <c r="G83" s="20">
        <v>937</v>
      </c>
      <c r="H83" s="20">
        <v>13.8</v>
      </c>
      <c r="I83" s="20">
        <v>340</v>
      </c>
      <c r="J83" s="17" t="s">
        <v>23</v>
      </c>
      <c r="K83" s="17">
        <v>2</v>
      </c>
    </row>
    <row r="84" spans="1:11" x14ac:dyDescent="0.2">
      <c r="A84" s="24">
        <v>120</v>
      </c>
      <c r="B84" s="40">
        <v>1</v>
      </c>
      <c r="C84" s="40">
        <v>3.5</v>
      </c>
      <c r="D84" s="20">
        <v>9.5</v>
      </c>
      <c r="E84" s="20">
        <v>214</v>
      </c>
      <c r="F84" s="20">
        <v>27.2</v>
      </c>
      <c r="G84" s="20">
        <v>1035</v>
      </c>
      <c r="H84" s="20">
        <v>25.2</v>
      </c>
      <c r="I84" s="20">
        <v>901</v>
      </c>
      <c r="K84" s="17">
        <v>2</v>
      </c>
    </row>
    <row r="85" spans="1:11" x14ac:dyDescent="0.2">
      <c r="A85" s="24">
        <v>134</v>
      </c>
      <c r="B85" s="41">
        <v>2</v>
      </c>
      <c r="C85" s="41">
        <v>3</v>
      </c>
      <c r="D85" s="19">
        <v>14.2</v>
      </c>
      <c r="E85" s="19">
        <v>271</v>
      </c>
      <c r="F85" s="19">
        <v>18.399999999999999</v>
      </c>
      <c r="G85" s="19">
        <v>502</v>
      </c>
      <c r="H85" s="19">
        <v>23.8</v>
      </c>
      <c r="I85" s="19">
        <v>1067</v>
      </c>
      <c r="J85" s="18"/>
      <c r="K85" s="18">
        <v>2</v>
      </c>
    </row>
    <row r="86" spans="1:11" x14ac:dyDescent="0.2">
      <c r="A86" s="24">
        <v>146</v>
      </c>
      <c r="B86" s="41">
        <v>-3</v>
      </c>
      <c r="C86" s="41">
        <v>2</v>
      </c>
      <c r="D86" s="19">
        <v>2.2999999999999998</v>
      </c>
      <c r="E86" s="19">
        <v>19</v>
      </c>
      <c r="F86" s="19">
        <v>23.9</v>
      </c>
      <c r="G86" s="19">
        <v>846</v>
      </c>
      <c r="H86" s="19">
        <v>20.9</v>
      </c>
      <c r="I86" s="19">
        <v>961</v>
      </c>
      <c r="J86" s="18"/>
      <c r="K86" s="18">
        <v>2</v>
      </c>
    </row>
    <row r="87" spans="1:11" x14ac:dyDescent="0.2">
      <c r="A87" s="36">
        <v>146</v>
      </c>
      <c r="B87" s="42">
        <v>-3</v>
      </c>
      <c r="C87" s="42">
        <v>2.25</v>
      </c>
      <c r="D87" s="34">
        <v>2</v>
      </c>
      <c r="E87" s="34">
        <v>41</v>
      </c>
      <c r="F87" s="34">
        <v>22.6</v>
      </c>
      <c r="G87" s="34">
        <v>868</v>
      </c>
      <c r="H87" s="34">
        <v>24.6</v>
      </c>
      <c r="I87" s="34">
        <v>1037</v>
      </c>
      <c r="J87" s="37"/>
      <c r="K87" s="37">
        <v>2</v>
      </c>
    </row>
    <row r="88" spans="1:11" x14ac:dyDescent="0.2">
      <c r="A88" s="24">
        <v>12</v>
      </c>
      <c r="B88" s="40">
        <v>-2</v>
      </c>
      <c r="C88" s="40">
        <v>3</v>
      </c>
      <c r="D88" s="20">
        <v>0.4</v>
      </c>
      <c r="E88" s="20">
        <v>13</v>
      </c>
      <c r="F88" s="20">
        <v>20</v>
      </c>
      <c r="G88" s="20">
        <v>826</v>
      </c>
      <c r="H88" s="20">
        <v>20.7</v>
      </c>
      <c r="I88" s="20">
        <v>688</v>
      </c>
      <c r="J88" s="17" t="s">
        <v>6</v>
      </c>
      <c r="K88" s="17">
        <v>3</v>
      </c>
    </row>
    <row r="89" spans="1:11" x14ac:dyDescent="0.2">
      <c r="A89" s="24">
        <v>18</v>
      </c>
      <c r="B89" s="40">
        <v>1</v>
      </c>
      <c r="C89" s="40">
        <v>3.5</v>
      </c>
      <c r="D89" s="20">
        <v>7.9</v>
      </c>
      <c r="E89" s="20">
        <v>151</v>
      </c>
      <c r="F89" s="20">
        <v>19.600000000000001</v>
      </c>
      <c r="G89" s="20">
        <v>624</v>
      </c>
      <c r="H89" s="20">
        <v>23</v>
      </c>
      <c r="I89" s="20">
        <v>691</v>
      </c>
      <c r="K89" s="17">
        <v>3</v>
      </c>
    </row>
    <row r="90" spans="1:11" x14ac:dyDescent="0.2">
      <c r="A90" s="24">
        <v>18</v>
      </c>
      <c r="B90" s="40">
        <v>1</v>
      </c>
      <c r="C90" s="40">
        <v>3.5</v>
      </c>
      <c r="D90" s="20">
        <v>7.5</v>
      </c>
      <c r="E90" s="20">
        <v>106</v>
      </c>
      <c r="F90" s="20">
        <v>22.9</v>
      </c>
      <c r="G90" s="20">
        <v>702</v>
      </c>
      <c r="H90" s="20">
        <v>24.3</v>
      </c>
      <c r="I90" s="20">
        <v>876</v>
      </c>
      <c r="K90" s="17">
        <v>3</v>
      </c>
    </row>
    <row r="91" spans="1:11" x14ac:dyDescent="0.2">
      <c r="A91" s="24">
        <v>19</v>
      </c>
      <c r="B91" s="40">
        <v>0.5</v>
      </c>
      <c r="C91" s="40">
        <v>3</v>
      </c>
      <c r="D91" s="20">
        <v>13.3</v>
      </c>
      <c r="E91" s="20">
        <v>292</v>
      </c>
      <c r="F91" s="20">
        <v>25.6</v>
      </c>
      <c r="G91" s="20">
        <v>950</v>
      </c>
      <c r="H91" s="20">
        <v>27.1</v>
      </c>
      <c r="I91" s="20">
        <v>1196</v>
      </c>
      <c r="K91" s="17">
        <v>3</v>
      </c>
    </row>
    <row r="92" spans="1:11" x14ac:dyDescent="0.2">
      <c r="A92" s="24">
        <v>19</v>
      </c>
      <c r="B92" s="40">
        <v>0.5</v>
      </c>
      <c r="C92" s="40">
        <v>3</v>
      </c>
      <c r="D92" s="20">
        <v>11.9</v>
      </c>
      <c r="E92" s="20">
        <v>230</v>
      </c>
      <c r="F92" s="20">
        <v>25.9</v>
      </c>
      <c r="G92" s="20">
        <v>997</v>
      </c>
      <c r="H92" s="20">
        <v>27.1</v>
      </c>
      <c r="I92" s="20">
        <v>1123</v>
      </c>
      <c r="K92" s="17">
        <v>3</v>
      </c>
    </row>
    <row r="93" spans="1:11" x14ac:dyDescent="0.2">
      <c r="A93" s="24">
        <v>43</v>
      </c>
      <c r="B93" s="40">
        <v>1</v>
      </c>
      <c r="C93" s="40">
        <v>4</v>
      </c>
      <c r="D93" s="20">
        <v>20</v>
      </c>
      <c r="E93" s="20">
        <v>929</v>
      </c>
      <c r="H93" s="20">
        <v>31</v>
      </c>
      <c r="I93" s="20">
        <v>1504</v>
      </c>
      <c r="J93" s="17" t="s">
        <v>21</v>
      </c>
      <c r="K93" s="17">
        <v>3</v>
      </c>
    </row>
    <row r="94" spans="1:11" x14ac:dyDescent="0.2">
      <c r="A94" s="24">
        <v>43</v>
      </c>
      <c r="B94" s="40">
        <v>0</v>
      </c>
      <c r="C94" s="40">
        <v>4.5</v>
      </c>
      <c r="D94" s="20">
        <v>3.7</v>
      </c>
      <c r="E94" s="20">
        <v>158</v>
      </c>
      <c r="F94" s="20">
        <v>25.3</v>
      </c>
      <c r="G94" s="20">
        <v>1042</v>
      </c>
      <c r="H94" s="20">
        <v>31</v>
      </c>
      <c r="I94" s="20">
        <v>1531</v>
      </c>
      <c r="K94" s="17">
        <v>3</v>
      </c>
    </row>
    <row r="95" spans="1:11" x14ac:dyDescent="0.2">
      <c r="A95" s="24">
        <v>100</v>
      </c>
      <c r="B95" s="40">
        <v>0.5</v>
      </c>
      <c r="C95" s="40">
        <v>3</v>
      </c>
      <c r="D95" s="20">
        <v>6.9</v>
      </c>
      <c r="E95" s="20">
        <v>174</v>
      </c>
      <c r="F95" s="20">
        <v>22.4</v>
      </c>
      <c r="G95" s="20">
        <v>932</v>
      </c>
      <c r="H95" s="20">
        <v>22.9</v>
      </c>
      <c r="I95" s="20">
        <v>895</v>
      </c>
      <c r="K95" s="17">
        <v>3</v>
      </c>
    </row>
    <row r="96" spans="1:11" x14ac:dyDescent="0.2">
      <c r="A96" s="24">
        <v>100</v>
      </c>
      <c r="B96" s="40">
        <v>0.5</v>
      </c>
      <c r="C96" s="40">
        <v>3</v>
      </c>
      <c r="D96" s="20">
        <v>8.4</v>
      </c>
      <c r="E96" s="20">
        <v>333</v>
      </c>
      <c r="F96" s="20">
        <v>22.2</v>
      </c>
      <c r="G96" s="20">
        <v>923</v>
      </c>
      <c r="H96" s="20">
        <v>23.1</v>
      </c>
      <c r="I96" s="20">
        <v>903</v>
      </c>
      <c r="K96" s="17">
        <v>3</v>
      </c>
    </row>
    <row r="97" spans="1:11" x14ac:dyDescent="0.2">
      <c r="A97" s="24">
        <v>121</v>
      </c>
      <c r="B97" s="40">
        <v>1</v>
      </c>
      <c r="C97" s="40">
        <v>2</v>
      </c>
      <c r="D97" s="20">
        <v>10</v>
      </c>
      <c r="E97" s="20">
        <v>406</v>
      </c>
      <c r="F97" s="20">
        <v>24.4</v>
      </c>
      <c r="G97" s="20">
        <v>1057</v>
      </c>
      <c r="H97" s="20">
        <v>22.2</v>
      </c>
      <c r="I97" s="20">
        <v>872</v>
      </c>
      <c r="K97" s="17">
        <v>3</v>
      </c>
    </row>
    <row r="98" spans="1:11" x14ac:dyDescent="0.2">
      <c r="A98" s="24">
        <v>121</v>
      </c>
      <c r="B98" s="41">
        <v>1</v>
      </c>
      <c r="C98" s="41">
        <v>2</v>
      </c>
      <c r="D98" s="19">
        <v>10</v>
      </c>
      <c r="E98" s="19">
        <v>305</v>
      </c>
      <c r="F98" s="19">
        <v>24.9</v>
      </c>
      <c r="G98" s="19">
        <v>1061</v>
      </c>
      <c r="H98" s="19">
        <v>14.4</v>
      </c>
      <c r="I98" s="19">
        <v>581</v>
      </c>
      <c r="J98" s="18"/>
      <c r="K98" s="18">
        <v>3</v>
      </c>
    </row>
    <row r="99" spans="1:11" x14ac:dyDescent="0.2">
      <c r="A99" s="85">
        <v>152</v>
      </c>
      <c r="B99" s="40">
        <v>0.5</v>
      </c>
      <c r="C99" s="40">
        <v>4</v>
      </c>
      <c r="D99" s="19">
        <v>8.6999999999999993</v>
      </c>
      <c r="E99" s="19">
        <v>256</v>
      </c>
      <c r="F99" s="19">
        <v>19.399999999999999</v>
      </c>
      <c r="G99" s="19">
        <v>708</v>
      </c>
      <c r="H99" s="19">
        <v>21.7</v>
      </c>
      <c r="I99" s="19">
        <v>883</v>
      </c>
      <c r="K99" s="18">
        <v>3</v>
      </c>
    </row>
    <row r="100" spans="1:11" x14ac:dyDescent="0.2">
      <c r="A100" s="85">
        <v>152</v>
      </c>
      <c r="B100" s="40">
        <v>0</v>
      </c>
      <c r="C100" s="40">
        <v>3</v>
      </c>
      <c r="D100" s="19">
        <v>0.8</v>
      </c>
      <c r="E100" s="19">
        <v>50</v>
      </c>
      <c r="F100" s="19">
        <v>14.2</v>
      </c>
      <c r="G100" s="19">
        <v>519</v>
      </c>
      <c r="H100" s="19">
        <v>22.4</v>
      </c>
      <c r="I100" s="19">
        <v>849</v>
      </c>
      <c r="K100" s="18">
        <v>3</v>
      </c>
    </row>
  </sheetData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Included pt data</vt:lpstr>
      <vt:lpstr>SVF</vt:lpstr>
      <vt:lpstr>No postTVF</vt:lpstr>
      <vt:lpstr>TVF Times</vt:lpstr>
      <vt:lpstr>Costs</vt:lpstr>
      <vt:lpstr>MRD1 change</vt:lpstr>
      <vt:lpstr>Table</vt:lpstr>
    </vt:vector>
  </TitlesOfParts>
  <Company>Mayo Clinic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L Fuller</dc:creator>
  <cp:lastModifiedBy>WFBMC</cp:lastModifiedBy>
  <dcterms:created xsi:type="dcterms:W3CDTF">2013-11-22T17:38:08Z</dcterms:created>
  <dcterms:modified xsi:type="dcterms:W3CDTF">2017-01-30T14:10:24Z</dcterms:modified>
</cp:coreProperties>
</file>