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5" yWindow="480" windowWidth="20430" windowHeight="121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45" i="1"/>
  <c r="D70"/>
  <c r="E70" s="1"/>
  <c r="F70" s="1"/>
  <c r="G70" s="1"/>
  <c r="H70" s="1"/>
  <c r="D71"/>
  <c r="E71" s="1"/>
  <c r="F71" s="1"/>
  <c r="G71" s="1"/>
  <c r="H71" s="1"/>
  <c r="H45"/>
  <c r="G45"/>
  <c r="F45"/>
  <c r="E45"/>
  <c r="D45"/>
  <c r="C45"/>
  <c r="H30"/>
  <c r="H39"/>
  <c r="G39"/>
  <c r="F39"/>
  <c r="E39"/>
  <c r="D39"/>
  <c r="C39"/>
  <c r="G30"/>
  <c r="F30"/>
  <c r="E30"/>
  <c r="D30"/>
  <c r="C30"/>
  <c r="H24"/>
  <c r="G24"/>
  <c r="F24"/>
  <c r="E24"/>
  <c r="D24"/>
  <c r="C24"/>
  <c r="H15"/>
  <c r="G15"/>
  <c r="F15"/>
  <c r="E15"/>
  <c r="D15"/>
  <c r="C15"/>
  <c r="H9"/>
  <c r="G9"/>
  <c r="F9"/>
  <c r="E9"/>
  <c r="D9"/>
  <c r="C9"/>
  <c r="H53" l="1"/>
  <c r="B54"/>
  <c r="C54" s="1"/>
  <c r="V29"/>
  <c r="V23"/>
  <c r="V14"/>
  <c r="V8"/>
  <c r="I44"/>
  <c r="B67"/>
  <c r="B63"/>
  <c r="B58"/>
  <c r="C58" s="1"/>
  <c r="C50"/>
  <c r="C67" s="1"/>
  <c r="O26"/>
  <c r="O20"/>
  <c r="O11"/>
  <c r="O5"/>
  <c r="B41"/>
  <c r="O8"/>
  <c r="O23"/>
  <c r="B38"/>
  <c r="B39" s="1"/>
  <c r="O14"/>
  <c r="O29"/>
  <c r="T17"/>
  <c r="G47"/>
  <c r="G32"/>
  <c r="B29" s="1"/>
  <c r="B30" s="1"/>
  <c r="G17"/>
  <c r="P29"/>
  <c r="U29"/>
  <c r="T29"/>
  <c r="S29"/>
  <c r="R29"/>
  <c r="Q29"/>
  <c r="U23"/>
  <c r="T23"/>
  <c r="S23"/>
  <c r="R23"/>
  <c r="Q23"/>
  <c r="P23"/>
  <c r="U14"/>
  <c r="T14"/>
  <c r="S14"/>
  <c r="R14"/>
  <c r="Q14"/>
  <c r="P14"/>
  <c r="U8"/>
  <c r="T8"/>
  <c r="S8"/>
  <c r="R8"/>
  <c r="Q8"/>
  <c r="P8"/>
  <c r="H44"/>
  <c r="G44"/>
  <c r="F44"/>
  <c r="E44"/>
  <c r="D44"/>
  <c r="C44"/>
  <c r="H38"/>
  <c r="G38"/>
  <c r="F38"/>
  <c r="E38"/>
  <c r="D38"/>
  <c r="C38"/>
  <c r="H29"/>
  <c r="G29"/>
  <c r="F29"/>
  <c r="E29"/>
  <c r="D29"/>
  <c r="C29"/>
  <c r="H23"/>
  <c r="G23"/>
  <c r="F23"/>
  <c r="E23"/>
  <c r="D23"/>
  <c r="C23"/>
  <c r="H14"/>
  <c r="G14"/>
  <c r="F14"/>
  <c r="E14"/>
  <c r="D14"/>
  <c r="C14"/>
  <c r="H8"/>
  <c r="G8"/>
  <c r="F8"/>
  <c r="E8"/>
  <c r="D8"/>
  <c r="C8"/>
  <c r="T12"/>
  <c r="S12"/>
  <c r="Q12"/>
  <c r="P12"/>
  <c r="T6"/>
  <c r="S6"/>
  <c r="Q6"/>
  <c r="P6"/>
  <c r="T27"/>
  <c r="S27"/>
  <c r="Q27"/>
  <c r="P27"/>
  <c r="T26"/>
  <c r="S26"/>
  <c r="Q26"/>
  <c r="P26"/>
  <c r="T21"/>
  <c r="S21"/>
  <c r="Q21"/>
  <c r="P21"/>
  <c r="T20"/>
  <c r="S20"/>
  <c r="Q20"/>
  <c r="P20"/>
  <c r="T11"/>
  <c r="S11"/>
  <c r="Q11"/>
  <c r="P11"/>
  <c r="T5"/>
  <c r="S5"/>
  <c r="Q5"/>
  <c r="P5"/>
  <c r="G42"/>
  <c r="F42"/>
  <c r="D42"/>
  <c r="C42"/>
  <c r="G41"/>
  <c r="F41"/>
  <c r="D41"/>
  <c r="C41"/>
  <c r="G36"/>
  <c r="F36"/>
  <c r="D36"/>
  <c r="C36"/>
  <c r="G35"/>
  <c r="F35"/>
  <c r="D35"/>
  <c r="C35"/>
  <c r="G27"/>
  <c r="F27"/>
  <c r="D27"/>
  <c r="C27"/>
  <c r="G26"/>
  <c r="F26"/>
  <c r="D26"/>
  <c r="C26"/>
  <c r="G21"/>
  <c r="F21"/>
  <c r="D21"/>
  <c r="C21"/>
  <c r="G20"/>
  <c r="F20"/>
  <c r="D20"/>
  <c r="C20"/>
  <c r="G12"/>
  <c r="F12"/>
  <c r="D12"/>
  <c r="C12"/>
  <c r="G11"/>
  <c r="F11"/>
  <c r="D11"/>
  <c r="C11"/>
  <c r="G6"/>
  <c r="F6"/>
  <c r="E6"/>
  <c r="D6"/>
  <c r="G5"/>
  <c r="F5"/>
  <c r="C5"/>
  <c r="D5"/>
  <c r="B35" l="1"/>
  <c r="C63"/>
  <c r="D54"/>
  <c r="D58"/>
  <c r="I38"/>
  <c r="B14"/>
  <c r="B15" s="1"/>
  <c r="B26"/>
  <c r="B23"/>
  <c r="B24" s="1"/>
  <c r="I29"/>
  <c r="B11" l="1"/>
  <c r="I14"/>
  <c r="B8"/>
  <c r="B9" s="1"/>
  <c r="B20"/>
  <c r="I23"/>
  <c r="B5" l="1"/>
  <c r="I8"/>
</calcChain>
</file>

<file path=xl/sharedStrings.xml><?xml version="1.0" encoding="utf-8"?>
<sst xmlns="http://schemas.openxmlformats.org/spreadsheetml/2006/main" count="78" uniqueCount="21">
  <si>
    <t>Dose 1</t>
  </si>
  <si>
    <t>residual in copper</t>
  </si>
  <si>
    <t>3mL in 5mL Syringe in Copper</t>
  </si>
  <si>
    <t>3mL in 5mL Syringe Alone</t>
  </si>
  <si>
    <t>10mL in Liquid Scintillation Vial in Copper</t>
  </si>
  <si>
    <t>10mL in Liquid Scintillation Vial Alone</t>
  </si>
  <si>
    <t>~1 mL and ~8mL in Wilex Bottle in Copper</t>
  </si>
  <si>
    <t>~1 mL and ~8mL in Wilex Bottle Alone</t>
  </si>
  <si>
    <t>cal #</t>
  </si>
  <si>
    <t>time</t>
  </si>
  <si>
    <t>mCi</t>
  </si>
  <si>
    <t>mCi @ ref</t>
  </si>
  <si>
    <t>Dose 2</t>
  </si>
  <si>
    <t>Reference Time</t>
  </si>
  <si>
    <t>in phantom @ ref</t>
  </si>
  <si>
    <t>DSTE centered</t>
  </si>
  <si>
    <t>DSTE off center</t>
  </si>
  <si>
    <t>D690a off center</t>
  </si>
  <si>
    <t>D690a centered</t>
  </si>
  <si>
    <t>Small Volume in 5 mL Syringe in Copper</t>
  </si>
  <si>
    <t>Small Volume in 5 mL Syringe Alone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</si>
</sst>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21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2" borderId="0" xfId="0" applyFill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Sheet1!$C$4</c:f>
              <c:strCache>
                <c:ptCount val="1"/>
                <c:pt idx="0">
                  <c:v>Small Volume in 5 mL Syringe in Copper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C000"/>
              </a:solidFill>
            </c:spPr>
          </c:marker>
          <c:trendline>
            <c:trendlineType val="poly"/>
            <c:order val="2"/>
          </c:trendline>
          <c:xVal>
            <c:numRef>
              <c:f>Sheet1!$C$9:$G$9</c:f>
              <c:numCache>
                <c:formatCode>General</c:formatCode>
                <c:ptCount val="5"/>
                <c:pt idx="0">
                  <c:v>1162.5432539137084</c:v>
                </c:pt>
                <c:pt idx="1">
                  <c:v>1102.4625358514202</c:v>
                </c:pt>
                <c:pt idx="2">
                  <c:v>1042.3762749626783</c:v>
                </c:pt>
                <c:pt idx="3">
                  <c:v>991.30545069854236</c:v>
                </c:pt>
                <c:pt idx="4">
                  <c:v>943.23704663589717</c:v>
                </c:pt>
              </c:numCache>
            </c:numRef>
          </c:xVal>
          <c:yVal>
            <c:numRef>
              <c:f>Sheet1!$C$5:$G$5</c:f>
              <c:numCache>
                <c:formatCode>General</c:formatCode>
                <c:ptCount val="5"/>
                <c:pt idx="0">
                  <c:v>433</c:v>
                </c:pt>
                <c:pt idx="1">
                  <c:v>463</c:v>
                </c:pt>
                <c:pt idx="2">
                  <c:v>493</c:v>
                </c:pt>
                <c:pt idx="3">
                  <c:v>523</c:v>
                </c:pt>
                <c:pt idx="4">
                  <c:v>553</c:v>
                </c:pt>
              </c:numCache>
            </c:numRef>
          </c:y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Small Volume in 5 mL Syringe Alone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trendline>
            <c:trendlineType val="poly"/>
            <c:order val="2"/>
          </c:trendline>
          <c:xVal>
            <c:numRef>
              <c:f>Sheet1!$C$15:$G$15</c:f>
              <c:numCache>
                <c:formatCode>General</c:formatCode>
                <c:ptCount val="5"/>
                <c:pt idx="0">
                  <c:v>1122.9990886724415</c:v>
                </c:pt>
                <c:pt idx="1">
                  <c:v>1082.9169428480527</c:v>
                </c:pt>
                <c:pt idx="2">
                  <c:v>1042.7608287323997</c:v>
                </c:pt>
                <c:pt idx="3">
                  <c:v>1003.7267127933541</c:v>
                </c:pt>
                <c:pt idx="4">
                  <c:v>969.65645066510365</c:v>
                </c:pt>
              </c:numCache>
            </c:numRef>
          </c:xVal>
          <c:yVal>
            <c:numRef>
              <c:f>Sheet1!$C$11:$G$11</c:f>
              <c:numCache>
                <c:formatCode>General</c:formatCode>
                <c:ptCount val="5"/>
                <c:pt idx="0">
                  <c:v>670</c:v>
                </c:pt>
                <c:pt idx="1">
                  <c:v>700</c:v>
                </c:pt>
                <c:pt idx="2">
                  <c:v>730</c:v>
                </c:pt>
                <c:pt idx="3">
                  <c:v>760</c:v>
                </c:pt>
                <c:pt idx="4">
                  <c:v>790</c:v>
                </c:pt>
              </c:numCache>
            </c:numRef>
          </c:yVal>
        </c:ser>
        <c:ser>
          <c:idx val="2"/>
          <c:order val="2"/>
          <c:tx>
            <c:strRef>
              <c:f>Sheet1!$C$19</c:f>
              <c:strCache>
                <c:ptCount val="1"/>
                <c:pt idx="0">
                  <c:v>3mL in 5mL Syringe in Copper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C000"/>
              </a:solidFill>
            </c:spPr>
          </c:marker>
          <c:trendline>
            <c:trendlineType val="poly"/>
            <c:order val="2"/>
          </c:trendline>
          <c:xVal>
            <c:numRef>
              <c:f>Sheet1!$C$24:$H$24</c:f>
              <c:numCache>
                <c:formatCode>General</c:formatCode>
                <c:ptCount val="6"/>
                <c:pt idx="0">
                  <c:v>1103.9885127427196</c:v>
                </c:pt>
                <c:pt idx="1">
                  <c:v>1043.8190832721721</c:v>
                </c:pt>
                <c:pt idx="2">
                  <c:v>994.54743119763896</c:v>
                </c:pt>
                <c:pt idx="3">
                  <c:v>944.4990824968221</c:v>
                </c:pt>
                <c:pt idx="4">
                  <c:v>899.37321726568064</c:v>
                </c:pt>
                <c:pt idx="5">
                  <c:v>875.32322042070666</c:v>
                </c:pt>
              </c:numCache>
            </c:numRef>
          </c:xVal>
          <c:yVal>
            <c:numRef>
              <c:f>Sheet1!$C$20:$G$20</c:f>
              <c:numCache>
                <c:formatCode>General</c:formatCode>
                <c:ptCount val="5"/>
                <c:pt idx="0">
                  <c:v>433</c:v>
                </c:pt>
                <c:pt idx="1">
                  <c:v>463</c:v>
                </c:pt>
                <c:pt idx="2">
                  <c:v>493</c:v>
                </c:pt>
                <c:pt idx="3">
                  <c:v>523</c:v>
                </c:pt>
                <c:pt idx="4">
                  <c:v>553</c:v>
                </c:pt>
              </c:numCache>
            </c:numRef>
          </c:yVal>
        </c:ser>
        <c:ser>
          <c:idx val="3"/>
          <c:order val="3"/>
          <c:tx>
            <c:strRef>
              <c:f>Sheet1!$C$25</c:f>
              <c:strCache>
                <c:ptCount val="1"/>
                <c:pt idx="0">
                  <c:v>3mL in 5mL Syringe Alone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70C0"/>
              </a:solidFill>
            </c:spPr>
          </c:marker>
          <c:trendline>
            <c:trendlineType val="poly"/>
            <c:order val="2"/>
          </c:trendline>
          <c:xVal>
            <c:numRef>
              <c:f>Sheet1!$C$30:$G$30</c:f>
              <c:numCache>
                <c:formatCode>General</c:formatCode>
                <c:ptCount val="5"/>
                <c:pt idx="0">
                  <c:v>1064.4567793162882</c:v>
                </c:pt>
                <c:pt idx="1">
                  <c:v>1034.3783345524223</c:v>
                </c:pt>
                <c:pt idx="2">
                  <c:v>995.12078558237431</c:v>
                </c:pt>
                <c:pt idx="3">
                  <c:v>961.1123379410883</c:v>
                </c:pt>
                <c:pt idx="4">
                  <c:v>929.01766309480672</c:v>
                </c:pt>
              </c:numCache>
            </c:numRef>
          </c:xVal>
          <c:yVal>
            <c:numRef>
              <c:f>Sheet1!$C$26:$G$26</c:f>
              <c:numCache>
                <c:formatCode>General</c:formatCode>
                <c:ptCount val="5"/>
                <c:pt idx="0">
                  <c:v>724</c:v>
                </c:pt>
                <c:pt idx="1">
                  <c:v>754</c:v>
                </c:pt>
                <c:pt idx="2">
                  <c:v>784</c:v>
                </c:pt>
                <c:pt idx="3">
                  <c:v>814</c:v>
                </c:pt>
                <c:pt idx="4">
                  <c:v>844</c:v>
                </c:pt>
              </c:numCache>
            </c:numRef>
          </c:yVal>
        </c:ser>
        <c:ser>
          <c:idx val="4"/>
          <c:order val="4"/>
          <c:tx>
            <c:strRef>
              <c:f>Sheet1!$C$34</c:f>
              <c:strCache>
                <c:ptCount val="1"/>
                <c:pt idx="0">
                  <c:v>10mL in Liquid Scintillation Vial in Copper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C000"/>
              </a:solidFill>
            </c:spPr>
          </c:marker>
          <c:trendline>
            <c:trendlineType val="poly"/>
            <c:order val="2"/>
          </c:trendline>
          <c:xVal>
            <c:numRef>
              <c:f>Sheet1!$C$39:$G$39</c:f>
              <c:numCache>
                <c:formatCode>General</c:formatCode>
                <c:ptCount val="5"/>
                <c:pt idx="0">
                  <c:v>1105.4911163442996</c:v>
                </c:pt>
                <c:pt idx="1">
                  <c:v>1045.2156962658048</c:v>
                </c:pt>
                <c:pt idx="2">
                  <c:v>991.90416204325447</c:v>
                </c:pt>
                <c:pt idx="3">
                  <c:v>941.72085122349051</c:v>
                </c:pt>
                <c:pt idx="4">
                  <c:v>898.52491966575531</c:v>
                </c:pt>
              </c:numCache>
            </c:numRef>
          </c:xVal>
          <c:yVal>
            <c:numRef>
              <c:f>Sheet1!$C$35:$G$35</c:f>
              <c:numCache>
                <c:formatCode>General</c:formatCode>
                <c:ptCount val="5"/>
                <c:pt idx="0">
                  <c:v>433</c:v>
                </c:pt>
                <c:pt idx="1">
                  <c:v>463</c:v>
                </c:pt>
                <c:pt idx="2">
                  <c:v>493</c:v>
                </c:pt>
                <c:pt idx="3">
                  <c:v>523</c:v>
                </c:pt>
                <c:pt idx="4">
                  <c:v>553</c:v>
                </c:pt>
              </c:numCache>
            </c:numRef>
          </c:yVal>
        </c:ser>
        <c:ser>
          <c:idx val="5"/>
          <c:order val="5"/>
          <c:tx>
            <c:strRef>
              <c:f>Sheet1!$C$40</c:f>
              <c:strCache>
                <c:ptCount val="1"/>
                <c:pt idx="0">
                  <c:v>10mL in Liquid Scintillation Vial Alone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70C0"/>
              </a:solidFill>
            </c:spPr>
          </c:marker>
          <c:trendline>
            <c:trendlineType val="poly"/>
            <c:order val="2"/>
          </c:trendline>
          <c:xVal>
            <c:numRef>
              <c:f>Sheet1!$C$45:$G$45</c:f>
              <c:numCache>
                <c:formatCode>General</c:formatCode>
                <c:ptCount val="5"/>
                <c:pt idx="0">
                  <c:v>1085.9168631845425</c:v>
                </c:pt>
                <c:pt idx="1">
                  <c:v>1035.6906853397593</c:v>
                </c:pt>
                <c:pt idx="2">
                  <c:v>992.36160011336256</c:v>
                </c:pt>
                <c:pt idx="3">
                  <c:v>953.28159198379728</c:v>
                </c:pt>
                <c:pt idx="4">
                  <c:v>918.12892726534619</c:v>
                </c:pt>
              </c:numCache>
            </c:numRef>
          </c:xVal>
          <c:yVal>
            <c:numRef>
              <c:f>Sheet1!$C$41:$G$41</c:f>
              <c:numCache>
                <c:formatCode>General</c:formatCode>
                <c:ptCount val="5"/>
                <c:pt idx="0">
                  <c:v>602</c:v>
                </c:pt>
                <c:pt idx="1">
                  <c:v>632</c:v>
                </c:pt>
                <c:pt idx="2">
                  <c:v>662</c:v>
                </c:pt>
                <c:pt idx="3">
                  <c:v>692</c:v>
                </c:pt>
                <c:pt idx="4">
                  <c:v>722</c:v>
                </c:pt>
              </c:numCache>
            </c:numRef>
          </c:yVal>
        </c:ser>
        <c:ser>
          <c:idx val="6"/>
          <c:order val="6"/>
          <c:tx>
            <c:v>true activity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Sheet1!$K$41:$K$42</c:f>
              <c:numCache>
                <c:formatCode>General</c:formatCode>
                <c:ptCount val="2"/>
                <c:pt idx="0">
                  <c:v>992</c:v>
                </c:pt>
                <c:pt idx="1">
                  <c:v>992</c:v>
                </c:pt>
              </c:numCache>
            </c:numRef>
          </c:xVal>
          <c:yVal>
            <c:numRef>
              <c:f>Sheet1!$L$41:$L$42</c:f>
              <c:numCache>
                <c:formatCode>General</c:formatCode>
                <c:ptCount val="2"/>
                <c:pt idx="0">
                  <c:v>200</c:v>
                </c:pt>
                <c:pt idx="1">
                  <c:v>1000</c:v>
                </c:pt>
              </c:numCache>
            </c:numRef>
          </c:yVal>
        </c:ser>
        <c:axId val="96195712"/>
        <c:axId val="96197632"/>
      </c:scatterChart>
      <c:valAx>
        <c:axId val="96195712"/>
        <c:scaling>
          <c:orientation val="minMax"/>
          <c:max val="1250"/>
          <c:min val="8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activity (microCuries)</a:t>
                </a:r>
              </a:p>
            </c:rich>
          </c:tx>
          <c:layout/>
        </c:title>
        <c:numFmt formatCode="General" sourceLinked="1"/>
        <c:tickLblPos val="nextTo"/>
        <c:crossAx val="96197632"/>
        <c:crosses val="autoZero"/>
        <c:crossBetween val="midCat"/>
      </c:valAx>
      <c:valAx>
        <c:axId val="96197632"/>
        <c:scaling>
          <c:orientation val="minMax"/>
          <c:max val="900"/>
          <c:min val="20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cal number</a:t>
                </a:r>
              </a:p>
            </c:rich>
          </c:tx>
          <c:layout/>
        </c:title>
        <c:numFmt formatCode="General" sourceLinked="1"/>
        <c:tickLblPos val="nextTo"/>
        <c:crossAx val="96195712"/>
        <c:crosses val="autoZero"/>
        <c:crossBetween val="midCat"/>
      </c:valAx>
    </c:plotArea>
    <c:legend>
      <c:legendPos val="r"/>
      <c:legendEntry>
        <c:idx val="7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6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1884265901482571"/>
          <c:y val="3.7745065322204813E-2"/>
          <c:w val="0.35246293639406995"/>
          <c:h val="0.33941853521622578"/>
        </c:manualLayout>
      </c:layout>
      <c:overlay val="1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Sheet1!$P$4</c:f>
              <c:strCache>
                <c:ptCount val="1"/>
                <c:pt idx="0">
                  <c:v>~1 mL and ~8mL in Wilex Bottle in Copper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8243232543836388"/>
                  <c:y val="-0.16468734118941294"/>
                </c:manualLayout>
              </c:layout>
              <c:numFmt formatCode="General" sourceLinked="0"/>
            </c:trendlineLbl>
          </c:trendline>
          <c:xVal>
            <c:numRef>
              <c:f>Sheet1!$P$8:$T$8</c:f>
              <c:numCache>
                <c:formatCode>0.000</c:formatCode>
                <c:ptCount val="5"/>
                <c:pt idx="0">
                  <c:v>0.40040194612987029</c:v>
                </c:pt>
                <c:pt idx="1">
                  <c:v>0.37727183744577925</c:v>
                </c:pt>
                <c:pt idx="2">
                  <c:v>0.35914622987899286</c:v>
                </c:pt>
                <c:pt idx="3">
                  <c:v>0.34005552211807927</c:v>
                </c:pt>
                <c:pt idx="4">
                  <c:v>0.32497179229735174</c:v>
                </c:pt>
              </c:numCache>
            </c:numRef>
          </c:xVal>
          <c:yVal>
            <c:numRef>
              <c:f>Sheet1!$P$5:$T$5</c:f>
              <c:numCache>
                <c:formatCode>General</c:formatCode>
                <c:ptCount val="5"/>
                <c:pt idx="0">
                  <c:v>433</c:v>
                </c:pt>
                <c:pt idx="1">
                  <c:v>463</c:v>
                </c:pt>
                <c:pt idx="2">
                  <c:v>493</c:v>
                </c:pt>
                <c:pt idx="3">
                  <c:v>523</c:v>
                </c:pt>
                <c:pt idx="4">
                  <c:v>553</c:v>
                </c:pt>
              </c:numCache>
            </c:numRef>
          </c:yVal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~1 mL and ~8mL in Wilex Bottle Alone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20139931807629888"/>
                  <c:y val="-0.18117889022414338"/>
                </c:manualLayout>
              </c:layout>
              <c:numFmt formatCode="General" sourceLinked="0"/>
            </c:trendlineLbl>
          </c:trendline>
          <c:xVal>
            <c:numRef>
              <c:f>Sheet1!$P$14:$T$14</c:f>
              <c:numCache>
                <c:formatCode>0.000</c:formatCode>
                <c:ptCount val="5"/>
                <c:pt idx="0">
                  <c:v>0.39245317379272077</c:v>
                </c:pt>
                <c:pt idx="1">
                  <c:v>0.37536354688905765</c:v>
                </c:pt>
                <c:pt idx="2">
                  <c:v>0.35922903436141679</c:v>
                </c:pt>
                <c:pt idx="3">
                  <c:v>0.34418298141550629</c:v>
                </c:pt>
                <c:pt idx="4">
                  <c:v>0.33010883942653779</c:v>
                </c:pt>
              </c:numCache>
            </c:numRef>
          </c:xVal>
          <c:yVal>
            <c:numRef>
              <c:f>Sheet1!$P$11:$T$11</c:f>
              <c:numCache>
                <c:formatCode>General</c:formatCode>
                <c:ptCount val="5"/>
                <c:pt idx="0">
                  <c:v>545</c:v>
                </c:pt>
                <c:pt idx="1">
                  <c:v>575</c:v>
                </c:pt>
                <c:pt idx="2">
                  <c:v>605</c:v>
                </c:pt>
                <c:pt idx="3">
                  <c:v>635</c:v>
                </c:pt>
                <c:pt idx="4">
                  <c:v>665</c:v>
                </c:pt>
              </c:numCache>
            </c:numRef>
          </c:yVal>
        </c:ser>
        <c:ser>
          <c:idx val="2"/>
          <c:order val="2"/>
          <c:tx>
            <c:strRef>
              <c:f>Sheet1!$P$19</c:f>
              <c:strCache>
                <c:ptCount val="1"/>
                <c:pt idx="0">
                  <c:v>10mL in Liquid Scintillation Vial in Copper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4.9351741768428438E-3"/>
                  <c:y val="3.5528133015263778E-3"/>
                </c:manualLayout>
              </c:layout>
              <c:numFmt formatCode="General" sourceLinked="0"/>
            </c:trendlineLbl>
          </c:trendline>
          <c:xVal>
            <c:numRef>
              <c:f>Sheet1!$P$23:$T$23</c:f>
              <c:numCache>
                <c:formatCode>0.000</c:formatCode>
                <c:ptCount val="5"/>
                <c:pt idx="0">
                  <c:v>0.33559713609099401</c:v>
                </c:pt>
                <c:pt idx="1">
                  <c:v>0.3174713875240418</c:v>
                </c:pt>
                <c:pt idx="2">
                  <c:v>0.30031031724229812</c:v>
                </c:pt>
                <c:pt idx="3">
                  <c:v>0.28523347675794969</c:v>
                </c:pt>
                <c:pt idx="4">
                  <c:v>0.2721434261863877</c:v>
                </c:pt>
              </c:numCache>
            </c:numRef>
          </c:xVal>
          <c:yVal>
            <c:numRef>
              <c:f>Sheet1!$P$20:$T$20</c:f>
              <c:numCache>
                <c:formatCode>General</c:formatCode>
                <c:ptCount val="5"/>
                <c:pt idx="0">
                  <c:v>433</c:v>
                </c:pt>
                <c:pt idx="1">
                  <c:v>463</c:v>
                </c:pt>
                <c:pt idx="2">
                  <c:v>493</c:v>
                </c:pt>
                <c:pt idx="3">
                  <c:v>523</c:v>
                </c:pt>
                <c:pt idx="4">
                  <c:v>553</c:v>
                </c:pt>
              </c:numCache>
            </c:numRef>
          </c:yVal>
        </c:ser>
        <c:ser>
          <c:idx val="3"/>
          <c:order val="3"/>
          <c:tx>
            <c:strRef>
              <c:f>Sheet1!$P$25</c:f>
              <c:strCache>
                <c:ptCount val="1"/>
                <c:pt idx="0">
                  <c:v>10mL in Liquid Scintillation Vial Alone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4761904761904771"/>
                  <c:y val="-0.28945866141732307"/>
                </c:manualLayout>
              </c:layout>
              <c:numFmt formatCode="General" sourceLinked="0"/>
            </c:trendlineLbl>
          </c:trendline>
          <c:xVal>
            <c:numRef>
              <c:f>Sheet1!$P$29:$T$29</c:f>
              <c:numCache>
                <c:formatCode>0.000</c:formatCode>
                <c:ptCount val="5"/>
                <c:pt idx="0">
                  <c:v>0.32764802320277814</c:v>
                </c:pt>
                <c:pt idx="1">
                  <c:v>0.31455660505494593</c:v>
                </c:pt>
                <c:pt idx="2">
                  <c:v>0.30041418220701155</c:v>
                </c:pt>
                <c:pt idx="3">
                  <c:v>0.28936509019430473</c:v>
                </c:pt>
                <c:pt idx="4">
                  <c:v>0.27828727270372278</c:v>
                </c:pt>
              </c:numCache>
            </c:numRef>
          </c:xVal>
          <c:yVal>
            <c:numRef>
              <c:f>Sheet1!$P$26:$T$26</c:f>
              <c:numCache>
                <c:formatCode>General</c:formatCode>
                <c:ptCount val="5"/>
                <c:pt idx="0">
                  <c:v>603</c:v>
                </c:pt>
                <c:pt idx="1">
                  <c:v>633</c:v>
                </c:pt>
                <c:pt idx="2">
                  <c:v>663</c:v>
                </c:pt>
                <c:pt idx="3">
                  <c:v>693</c:v>
                </c:pt>
                <c:pt idx="4">
                  <c:v>723</c:v>
                </c:pt>
              </c:numCache>
            </c:numRef>
          </c:yVal>
        </c:ser>
        <c:axId val="96238592"/>
        <c:axId val="96248576"/>
      </c:scatterChart>
      <c:valAx>
        <c:axId val="96238592"/>
        <c:scaling>
          <c:orientation val="minMax"/>
          <c:max val="0.45"/>
          <c:min val="0.2"/>
        </c:scaling>
        <c:axPos val="b"/>
        <c:numFmt formatCode="0.000" sourceLinked="1"/>
        <c:tickLblPos val="nextTo"/>
        <c:crossAx val="96248576"/>
        <c:crosses val="autoZero"/>
        <c:crossBetween val="midCat"/>
      </c:valAx>
      <c:valAx>
        <c:axId val="96248576"/>
        <c:scaling>
          <c:orientation val="minMax"/>
          <c:min val="400"/>
        </c:scaling>
        <c:axPos val="l"/>
        <c:majorGridlines/>
        <c:numFmt formatCode="General" sourceLinked="1"/>
        <c:tickLblPos val="nextTo"/>
        <c:crossAx val="962385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3</xdr:row>
      <xdr:rowOff>9524</xdr:rowOff>
    </xdr:from>
    <xdr:to>
      <xdr:col>12</xdr:col>
      <xdr:colOff>447675</xdr:colOff>
      <xdr:row>38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47624</xdr:colOff>
      <xdr:row>3</xdr:row>
      <xdr:rowOff>76199</xdr:rowOff>
    </xdr:from>
    <xdr:to>
      <xdr:col>33</xdr:col>
      <xdr:colOff>266700</xdr:colOff>
      <xdr:row>25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Normal="100" workbookViewId="0">
      <selection activeCell="I44" sqref="I44"/>
    </sheetView>
  </sheetViews>
  <sheetFormatPr defaultRowHeight="15"/>
  <cols>
    <col min="11" max="12" width="46.28515625" customWidth="1"/>
  </cols>
  <sheetData>
    <row r="1" spans="1:22">
      <c r="A1" t="s">
        <v>13</v>
      </c>
      <c r="D1" s="1">
        <v>0.29166666666666669</v>
      </c>
      <c r="G1">
        <v>4.1760000000000002</v>
      </c>
    </row>
    <row r="3" spans="1:22">
      <c r="C3" t="s">
        <v>0</v>
      </c>
      <c r="P3" t="s">
        <v>12</v>
      </c>
    </row>
    <row r="4" spans="1:22">
      <c r="C4" t="s">
        <v>19</v>
      </c>
      <c r="P4" t="s">
        <v>6</v>
      </c>
    </row>
    <row r="5" spans="1:22">
      <c r="A5" t="s">
        <v>8</v>
      </c>
      <c r="B5" s="5">
        <f>426.58*B8^2-1442.8*B8+1534.2</f>
        <v>507.09721451283508</v>
      </c>
      <c r="C5">
        <f>E5-60</f>
        <v>433</v>
      </c>
      <c r="D5">
        <f>E5-30</f>
        <v>463</v>
      </c>
      <c r="E5">
        <v>493</v>
      </c>
      <c r="F5">
        <f>E5+30</f>
        <v>523</v>
      </c>
      <c r="G5">
        <f>E5+60</f>
        <v>553</v>
      </c>
      <c r="H5">
        <v>570</v>
      </c>
      <c r="N5" t="s">
        <v>8</v>
      </c>
      <c r="O5" s="5">
        <f>4819.6*O8^2-5082.7*O8+1695.3</f>
        <v>499.91553100152964</v>
      </c>
      <c r="P5">
        <f>R5-60</f>
        <v>433</v>
      </c>
      <c r="Q5">
        <f>R5-30</f>
        <v>463</v>
      </c>
      <c r="R5">
        <v>493</v>
      </c>
      <c r="S5">
        <f>R5+30</f>
        <v>523</v>
      </c>
      <c r="T5">
        <f>R5+60</f>
        <v>553</v>
      </c>
      <c r="U5">
        <v>570</v>
      </c>
    </row>
    <row r="6" spans="1:22">
      <c r="A6" t="s">
        <v>9</v>
      </c>
      <c r="C6" s="2">
        <v>0.30486111111111108</v>
      </c>
      <c r="D6" s="2">
        <f>(H6-C6)/5+C6</f>
        <v>0.30513888888888885</v>
      </c>
      <c r="E6" s="2">
        <f>(H6-C6)*2/5+C6</f>
        <v>0.30541666666666661</v>
      </c>
      <c r="F6" s="2">
        <f>(H6-C6)*3/5+C6</f>
        <v>0.30569444444444444</v>
      </c>
      <c r="G6" s="2">
        <f>(H6-C6)*4/5+C6</f>
        <v>0.3059722222222222</v>
      </c>
      <c r="H6" s="2">
        <v>0.30624999999999997</v>
      </c>
      <c r="I6" s="2"/>
      <c r="N6" t="s">
        <v>9</v>
      </c>
      <c r="P6" s="2">
        <f>(U6-R6)/5+R6</f>
        <v>0.32791666666666669</v>
      </c>
      <c r="Q6" s="2">
        <f>(U6-R6)*2/5+R6</f>
        <v>0.32805555555555554</v>
      </c>
      <c r="R6" s="2">
        <v>0.32777777777777778</v>
      </c>
      <c r="S6" s="2">
        <f>(U6-R6)*3/5+R6</f>
        <v>0.32819444444444446</v>
      </c>
      <c r="T6" s="2">
        <f>(U6-R6)*4/5+R6</f>
        <v>0.32833333333333331</v>
      </c>
      <c r="U6" s="2">
        <v>0.32847222222222222</v>
      </c>
    </row>
    <row r="7" spans="1:22">
      <c r="A7" t="s">
        <v>10</v>
      </c>
      <c r="C7">
        <v>1.1599999999999999</v>
      </c>
      <c r="D7">
        <v>1.1000000000000001</v>
      </c>
      <c r="E7">
        <v>1.04</v>
      </c>
      <c r="F7">
        <v>0.98899999999999999</v>
      </c>
      <c r="G7">
        <v>0.94099999999999995</v>
      </c>
      <c r="H7">
        <v>0.91700000000000004</v>
      </c>
      <c r="N7" t="s">
        <v>10</v>
      </c>
      <c r="P7">
        <v>0.39800000000000002</v>
      </c>
      <c r="Q7">
        <v>0.375</v>
      </c>
      <c r="R7">
        <v>0.35699999999999998</v>
      </c>
      <c r="S7">
        <v>0.33800000000000002</v>
      </c>
      <c r="T7">
        <v>0.32300000000000001</v>
      </c>
      <c r="U7">
        <v>0.314</v>
      </c>
    </row>
    <row r="8" spans="1:22">
      <c r="A8" t="s">
        <v>11</v>
      </c>
      <c r="B8">
        <f>B14</f>
        <v>1.018709915337338</v>
      </c>
      <c r="C8" s="3">
        <f>C7*2^((C6-$D$1)/$G$1)</f>
        <v>1.1625432539137084</v>
      </c>
      <c r="D8" s="3">
        <f t="shared" ref="D8:H8" si="0">D7*2^((D6-$D$1)/$G$1)</f>
        <v>1.1024625358514202</v>
      </c>
      <c r="E8" s="3">
        <f t="shared" si="0"/>
        <v>1.0423762749626784</v>
      </c>
      <c r="F8" s="3">
        <f t="shared" si="0"/>
        <v>0.99130545069854237</v>
      </c>
      <c r="G8" s="3">
        <f t="shared" si="0"/>
        <v>0.94323704663589714</v>
      </c>
      <c r="H8" s="3">
        <f t="shared" si="0"/>
        <v>0.91922237242878324</v>
      </c>
      <c r="I8" s="6">
        <f>(H8-B8)/B8</f>
        <v>-9.7660326468512124E-2</v>
      </c>
      <c r="N8" t="s">
        <v>11</v>
      </c>
      <c r="O8">
        <f>O14</f>
        <v>0.35404889426849717</v>
      </c>
      <c r="P8" s="3">
        <f t="shared" ref="P8:U8" si="1">P7*2^((P6-$D$1)/$G$1)</f>
        <v>0.40040194612987029</v>
      </c>
      <c r="Q8" s="3">
        <f t="shared" si="1"/>
        <v>0.37727183744577925</v>
      </c>
      <c r="R8" s="3">
        <f t="shared" si="1"/>
        <v>0.35914622987899286</v>
      </c>
      <c r="S8" s="3">
        <f t="shared" si="1"/>
        <v>0.34005552211807927</v>
      </c>
      <c r="T8" s="3">
        <f t="shared" si="1"/>
        <v>0.32497179229735174</v>
      </c>
      <c r="U8" s="3">
        <f t="shared" si="1"/>
        <v>0.31592413371567407</v>
      </c>
      <c r="V8" s="6">
        <f>(U8-O8)/O8</f>
        <v>-0.10768219070869556</v>
      </c>
    </row>
    <row r="9" spans="1:22">
      <c r="B9">
        <f t="shared" ref="B9" si="2">B8*1000</f>
        <v>1018.709915337338</v>
      </c>
      <c r="C9">
        <f>C8*1000</f>
        <v>1162.5432539137084</v>
      </c>
      <c r="D9">
        <f t="shared" ref="D9:H9" si="3">D8*1000</f>
        <v>1102.4625358514202</v>
      </c>
      <c r="E9">
        <f t="shared" si="3"/>
        <v>1042.3762749626783</v>
      </c>
      <c r="F9">
        <f t="shared" si="3"/>
        <v>991.30545069854236</v>
      </c>
      <c r="G9">
        <f t="shared" si="3"/>
        <v>943.23704663589717</v>
      </c>
      <c r="H9">
        <f t="shared" si="3"/>
        <v>919.22237242878327</v>
      </c>
    </row>
    <row r="10" spans="1:22">
      <c r="C10" t="s">
        <v>20</v>
      </c>
      <c r="P10" t="s">
        <v>7</v>
      </c>
    </row>
    <row r="11" spans="1:22">
      <c r="A11" t="s">
        <v>8</v>
      </c>
      <c r="B11">
        <f>487.17*B14^2-1796.2*B14+2073.1</f>
        <v>748.86360816506385</v>
      </c>
      <c r="C11">
        <f>E11-60</f>
        <v>670</v>
      </c>
      <c r="D11">
        <f>E11-30</f>
        <v>700</v>
      </c>
      <c r="E11">
        <v>730</v>
      </c>
      <c r="F11">
        <f>E11+30</f>
        <v>760</v>
      </c>
      <c r="G11">
        <f>E11+60</f>
        <v>790</v>
      </c>
      <c r="H11">
        <v>570</v>
      </c>
      <c r="N11" t="s">
        <v>8</v>
      </c>
      <c r="O11">
        <f>4021.6*O14^2-4828.1*O14+1820.5</f>
        <v>615.22658509515782</v>
      </c>
      <c r="P11">
        <f>R11-60</f>
        <v>545</v>
      </c>
      <c r="Q11">
        <f>R11-30</f>
        <v>575</v>
      </c>
      <c r="R11">
        <v>605</v>
      </c>
      <c r="S11">
        <f>R11+30</f>
        <v>635</v>
      </c>
      <c r="T11">
        <f>R11+60</f>
        <v>665</v>
      </c>
      <c r="U11">
        <v>570</v>
      </c>
    </row>
    <row r="12" spans="1:22">
      <c r="A12" t="s">
        <v>9</v>
      </c>
      <c r="C12" s="2">
        <f>(H12-E12)/5+E12</f>
        <v>0.30777777777777782</v>
      </c>
      <c r="D12" s="2">
        <f>(H12-E12)*2/5+E12</f>
        <v>0.30791666666666667</v>
      </c>
      <c r="E12" s="2">
        <v>0.30763888888888891</v>
      </c>
      <c r="F12" s="2">
        <f>(H12-E12)*3/5+E12</f>
        <v>0.30805555555555558</v>
      </c>
      <c r="G12" s="2">
        <f>(H12-E12)*4/5+E12</f>
        <v>0.30819444444444444</v>
      </c>
      <c r="H12" s="2">
        <v>0.30833333333333335</v>
      </c>
      <c r="I12" s="2"/>
      <c r="N12" t="s">
        <v>9</v>
      </c>
      <c r="P12" s="2">
        <f>(U12-R12)/5+R12</f>
        <v>0.32944444444444443</v>
      </c>
      <c r="Q12" s="2">
        <f>(U12-R12)*2/5+R12</f>
        <v>0.32972222222222219</v>
      </c>
      <c r="R12" s="2">
        <v>0.32916666666666666</v>
      </c>
      <c r="S12" s="2">
        <f>(U12-R12)*3/5+R12</f>
        <v>0.33</v>
      </c>
      <c r="T12" s="2">
        <f>(U12-R12)*4/5+R12</f>
        <v>0.33027777777777778</v>
      </c>
      <c r="U12" s="2">
        <v>0.33055555555555555</v>
      </c>
    </row>
    <row r="13" spans="1:22">
      <c r="A13" t="s">
        <v>10</v>
      </c>
      <c r="C13">
        <v>1.1200000000000001</v>
      </c>
      <c r="D13">
        <v>1.08</v>
      </c>
      <c r="E13">
        <v>1.04</v>
      </c>
      <c r="F13">
        <v>1.0009999999999999</v>
      </c>
      <c r="G13">
        <v>0.96699999999999997</v>
      </c>
      <c r="H13">
        <v>1.3</v>
      </c>
      <c r="N13" t="s">
        <v>10</v>
      </c>
      <c r="P13">
        <v>0.39</v>
      </c>
      <c r="Q13">
        <v>0.373</v>
      </c>
      <c r="R13">
        <v>0.35699999999999998</v>
      </c>
      <c r="S13">
        <v>0.34200000000000003</v>
      </c>
      <c r="T13">
        <v>0.32800000000000001</v>
      </c>
      <c r="U13">
        <v>0.376</v>
      </c>
    </row>
    <row r="14" spans="1:22">
      <c r="A14" t="s">
        <v>11</v>
      </c>
      <c r="B14">
        <f>B29/(1-(G17/E8))</f>
        <v>1.018709915337338</v>
      </c>
      <c r="C14" s="3">
        <f t="shared" ref="C14:H14" si="4">C13*2^((C12-$D$1)/$G$1)</f>
        <v>1.1229990886724415</v>
      </c>
      <c r="D14" s="3">
        <f t="shared" si="4"/>
        <v>1.0829169428480527</v>
      </c>
      <c r="E14" s="3">
        <f t="shared" si="4"/>
        <v>1.0427608287323997</v>
      </c>
      <c r="F14" s="3">
        <f t="shared" si="4"/>
        <v>1.003726712793354</v>
      </c>
      <c r="G14" s="3">
        <f t="shared" si="4"/>
        <v>0.96965645066510364</v>
      </c>
      <c r="H14" s="3">
        <f t="shared" si="4"/>
        <v>1.3036012885966861</v>
      </c>
      <c r="I14" s="6">
        <f>(H14-B14)/B14</f>
        <v>0.27965897746760271</v>
      </c>
      <c r="N14" t="s">
        <v>11</v>
      </c>
      <c r="O14">
        <f>O29/(1-(T17/R8))</f>
        <v>0.35404889426849717</v>
      </c>
      <c r="P14" s="3">
        <f t="shared" ref="P14:U14" si="5">P13*2^((P12-$D$1)/$G$1)</f>
        <v>0.39245317379272077</v>
      </c>
      <c r="Q14" s="3">
        <f t="shared" si="5"/>
        <v>0.37536354688905765</v>
      </c>
      <c r="R14" s="3">
        <f t="shared" si="5"/>
        <v>0.35922903436141679</v>
      </c>
      <c r="S14" s="3">
        <f t="shared" si="5"/>
        <v>0.34418298141550629</v>
      </c>
      <c r="T14" s="3">
        <f t="shared" si="5"/>
        <v>0.33010883942653779</v>
      </c>
      <c r="U14" s="3">
        <f t="shared" si="5"/>
        <v>0.37843489799335417</v>
      </c>
      <c r="V14" s="6">
        <f>(U14-O14)/O14</f>
        <v>6.887750285237039E-2</v>
      </c>
    </row>
    <row r="15" spans="1:22">
      <c r="B15">
        <f t="shared" ref="B15" si="6">B14*1000</f>
        <v>1018.709915337338</v>
      </c>
      <c r="C15">
        <f t="shared" ref="C15:H15" si="7">C14*1000</f>
        <v>1122.9990886724415</v>
      </c>
      <c r="D15">
        <f t="shared" si="7"/>
        <v>1082.9169428480527</v>
      </c>
      <c r="E15">
        <f t="shared" si="7"/>
        <v>1042.7608287323997</v>
      </c>
      <c r="F15">
        <f t="shared" si="7"/>
        <v>1003.7267127933541</v>
      </c>
      <c r="G15">
        <f t="shared" si="7"/>
        <v>969.65645066510365</v>
      </c>
      <c r="H15">
        <f t="shared" si="7"/>
        <v>1303.6012885966861</v>
      </c>
    </row>
    <row r="16" spans="1:22">
      <c r="C16" t="s">
        <v>1</v>
      </c>
      <c r="E16">
        <v>493</v>
      </c>
      <c r="F16" s="1">
        <v>0.3125</v>
      </c>
      <c r="G16">
        <v>2.7099999999999999E-2</v>
      </c>
      <c r="P16" t="s">
        <v>1</v>
      </c>
      <c r="R16">
        <v>493</v>
      </c>
      <c r="S16" s="1">
        <v>0.33680555555555558</v>
      </c>
      <c r="T16">
        <v>5.5120000000000002E-2</v>
      </c>
    </row>
    <row r="17" spans="1:22">
      <c r="F17" t="s">
        <v>11</v>
      </c>
      <c r="G17" s="3">
        <f>G16*2^((F16-$D$1)/$G$1)</f>
        <v>2.7193873742830044E-2</v>
      </c>
      <c r="S17" t="s">
        <v>11</v>
      </c>
      <c r="T17" s="3">
        <f>T16*2^((S16-$D$1)/$G$1)</f>
        <v>5.5534527163929287E-2</v>
      </c>
    </row>
    <row r="19" spans="1:22">
      <c r="C19" t="s">
        <v>2</v>
      </c>
      <c r="P19" t="s">
        <v>4</v>
      </c>
    </row>
    <row r="20" spans="1:22">
      <c r="A20" t="s">
        <v>8</v>
      </c>
      <c r="B20" s="5">
        <f>477.75*B23^2-1545.5*B23+1556.6</f>
        <v>493.52082426080642</v>
      </c>
      <c r="C20">
        <f>E20-60</f>
        <v>433</v>
      </c>
      <c r="D20">
        <f>E20-30</f>
        <v>463</v>
      </c>
      <c r="E20">
        <v>493</v>
      </c>
      <c r="F20">
        <f>E20+30</f>
        <v>523</v>
      </c>
      <c r="G20">
        <f>E20+60</f>
        <v>553</v>
      </c>
      <c r="H20">
        <v>570</v>
      </c>
      <c r="N20" t="s">
        <v>8</v>
      </c>
      <c r="O20" s="5">
        <f>6432.7*O23^2-5787.6*O23+1651.2</f>
        <v>495.21077066551629</v>
      </c>
      <c r="P20">
        <f>R20-60</f>
        <v>433</v>
      </c>
      <c r="Q20">
        <f>R20-30</f>
        <v>463</v>
      </c>
      <c r="R20">
        <v>493</v>
      </c>
      <c r="S20">
        <f>R20+30</f>
        <v>523</v>
      </c>
      <c r="T20">
        <f>R20+60</f>
        <v>553</v>
      </c>
      <c r="U20">
        <v>570</v>
      </c>
    </row>
    <row r="21" spans="1:22">
      <c r="A21" t="s">
        <v>9</v>
      </c>
      <c r="C21" s="2">
        <f>(H21-E21)/5+E21</f>
        <v>0.31347222222222221</v>
      </c>
      <c r="D21" s="2">
        <f>(H21-E21)*2/5+E21</f>
        <v>0.31374999999999997</v>
      </c>
      <c r="E21" s="2">
        <v>0.31319444444444444</v>
      </c>
      <c r="F21" s="2">
        <f>(H21-E21)*3/5+E21</f>
        <v>0.31402777777777779</v>
      </c>
      <c r="G21" s="2">
        <f>(H21-E21)*4/5+E21</f>
        <v>0.31430555555555556</v>
      </c>
      <c r="H21" s="2">
        <v>0.31458333333333333</v>
      </c>
      <c r="I21" s="2"/>
      <c r="N21" t="s">
        <v>9</v>
      </c>
      <c r="P21" s="2">
        <f>(U21-R21)/5+R21</f>
        <v>0.33847222222222223</v>
      </c>
      <c r="Q21" s="2">
        <f>(U21-R21)*2/5+R21</f>
        <v>0.33875</v>
      </c>
      <c r="R21" s="2">
        <v>0.33819444444444446</v>
      </c>
      <c r="S21" s="2">
        <f>(U21-R21)*3/5+R21</f>
        <v>0.33902777777777782</v>
      </c>
      <c r="T21" s="2">
        <f>(U21-R21)*4/5+R21</f>
        <v>0.33930555555555558</v>
      </c>
      <c r="U21" s="2">
        <v>0.33958333333333335</v>
      </c>
    </row>
    <row r="22" spans="1:22">
      <c r="A22" t="s">
        <v>10</v>
      </c>
      <c r="C22">
        <v>1.1000000000000001</v>
      </c>
      <c r="D22">
        <v>1.04</v>
      </c>
      <c r="E22">
        <v>0.99099999999999999</v>
      </c>
      <c r="F22">
        <v>0.94099999999999995</v>
      </c>
      <c r="G22">
        <v>0.89600000000000002</v>
      </c>
      <c r="H22">
        <v>0.872</v>
      </c>
      <c r="N22" t="s">
        <v>10</v>
      </c>
      <c r="P22">
        <v>0.33300000000000002</v>
      </c>
      <c r="Q22">
        <v>0.315</v>
      </c>
      <c r="R22">
        <v>0.29799999999999999</v>
      </c>
      <c r="S22">
        <v>0.28299999999999997</v>
      </c>
      <c r="T22">
        <v>0.27</v>
      </c>
      <c r="U22">
        <v>0.26300000000000001</v>
      </c>
    </row>
    <row r="23" spans="1:22">
      <c r="A23" t="s">
        <v>11</v>
      </c>
      <c r="B23">
        <f>B29</f>
        <v>0.99213345779157847</v>
      </c>
      <c r="C23" s="3">
        <f t="shared" ref="C23:H23" si="8">C22*2^((C21-$D$1)/$G$1)</f>
        <v>1.1039885127427196</v>
      </c>
      <c r="D23" s="3">
        <f t="shared" si="8"/>
        <v>1.0438190832721721</v>
      </c>
      <c r="E23" s="3">
        <f t="shared" si="8"/>
        <v>0.994547431197639</v>
      </c>
      <c r="F23" s="3">
        <f t="shared" si="8"/>
        <v>0.94449908249682213</v>
      </c>
      <c r="G23" s="3">
        <f t="shared" si="8"/>
        <v>0.89937321726568065</v>
      </c>
      <c r="H23" s="3">
        <f t="shared" si="8"/>
        <v>0.87532322042070665</v>
      </c>
      <c r="I23" s="6">
        <f>(H23-B23)/B23</f>
        <v>-0.1177364158556687</v>
      </c>
      <c r="N23" t="s">
        <v>11</v>
      </c>
      <c r="O23">
        <f>O29</f>
        <v>0.2993025644998743</v>
      </c>
      <c r="P23" s="3">
        <f t="shared" ref="P23:U23" si="9">P22*2^((P21-$D$1)/$G$1)</f>
        <v>0.33559713609099401</v>
      </c>
      <c r="Q23" s="3">
        <f t="shared" si="9"/>
        <v>0.3174713875240418</v>
      </c>
      <c r="R23" s="3">
        <f t="shared" si="9"/>
        <v>0.30031031724229812</v>
      </c>
      <c r="S23" s="3">
        <f t="shared" si="9"/>
        <v>0.28523347675794969</v>
      </c>
      <c r="T23" s="3">
        <f t="shared" si="9"/>
        <v>0.2721434261863877</v>
      </c>
      <c r="U23" s="3">
        <f t="shared" si="9"/>
        <v>0.26510007844170114</v>
      </c>
      <c r="V23" s="6">
        <f>(U23-O23)/O23</f>
        <v>-0.11427394922367105</v>
      </c>
    </row>
    <row r="24" spans="1:22">
      <c r="B24">
        <f t="shared" ref="B24" si="10">B23*1000</f>
        <v>992.13345779157851</v>
      </c>
      <c r="C24">
        <f t="shared" ref="C24:H24" si="11">C23*1000</f>
        <v>1103.9885127427196</v>
      </c>
      <c r="D24">
        <f t="shared" si="11"/>
        <v>1043.8190832721721</v>
      </c>
      <c r="E24">
        <f t="shared" si="11"/>
        <v>994.54743119763896</v>
      </c>
      <c r="F24">
        <f t="shared" si="11"/>
        <v>944.4990824968221</v>
      </c>
      <c r="G24">
        <f t="shared" si="11"/>
        <v>899.37321726568064</v>
      </c>
      <c r="H24">
        <f t="shared" si="11"/>
        <v>875.32322042070666</v>
      </c>
    </row>
    <row r="25" spans="1:22">
      <c r="C25" t="s">
        <v>3</v>
      </c>
      <c r="P25" t="s">
        <v>5</v>
      </c>
    </row>
    <row r="26" spans="1:22">
      <c r="A26" t="s">
        <v>8</v>
      </c>
      <c r="B26">
        <f>103*B29^2-1075.9*B29+1753.9</f>
        <v>787.84947896319659</v>
      </c>
      <c r="C26">
        <f>E26-60</f>
        <v>724</v>
      </c>
      <c r="D26">
        <f>E26-30</f>
        <v>754</v>
      </c>
      <c r="E26">
        <v>784</v>
      </c>
      <c r="F26">
        <f>E26+30</f>
        <v>814</v>
      </c>
      <c r="G26">
        <f>E26+60</f>
        <v>844</v>
      </c>
      <c r="H26">
        <v>570</v>
      </c>
      <c r="N26" t="s">
        <v>8</v>
      </c>
      <c r="O26">
        <f>8090*O29^2-7318.3*O29+2132.9</f>
        <v>667.23262541063946</v>
      </c>
      <c r="P26">
        <f>R26-60</f>
        <v>603</v>
      </c>
      <c r="Q26">
        <f>R26-30</f>
        <v>633</v>
      </c>
      <c r="R26">
        <v>663</v>
      </c>
      <c r="S26">
        <f>R26+30</f>
        <v>693</v>
      </c>
      <c r="T26">
        <f>R26+60</f>
        <v>723</v>
      </c>
      <c r="U26">
        <v>570</v>
      </c>
    </row>
    <row r="27" spans="1:22">
      <c r="A27" t="s">
        <v>9</v>
      </c>
      <c r="C27" s="2">
        <f>(H27-E27)/5+E27</f>
        <v>0.31694444444444442</v>
      </c>
      <c r="D27" s="2">
        <f>(H27-E27)*2/5+E27</f>
        <v>0.31722222222222218</v>
      </c>
      <c r="E27" s="2">
        <v>0.31666666666666665</v>
      </c>
      <c r="F27" s="2">
        <f>(H27-E27)*3/5+E27</f>
        <v>0.3175</v>
      </c>
      <c r="G27" s="2">
        <f>(H27-E27)*4/5+E27</f>
        <v>0.31777777777777777</v>
      </c>
      <c r="H27" s="2">
        <v>0.31805555555555554</v>
      </c>
      <c r="I27" s="2"/>
      <c r="N27" t="s">
        <v>9</v>
      </c>
      <c r="O27" s="1">
        <v>0.33819444444444446</v>
      </c>
      <c r="P27" s="2">
        <f>(U27-R27)/5+R27</f>
        <v>0.3405555555555555</v>
      </c>
      <c r="Q27" s="2">
        <f>(U27-R27)*2/5+R27</f>
        <v>0.34083333333333327</v>
      </c>
      <c r="R27" s="2">
        <v>0.34027777777777773</v>
      </c>
      <c r="S27" s="2">
        <f>(U27-R27)*3/5+R27</f>
        <v>0.34111111111111109</v>
      </c>
      <c r="T27" s="2">
        <f>(U27-R27)*4/5+R27</f>
        <v>0.34138888888888885</v>
      </c>
      <c r="U27" s="2">
        <v>0.34166666666666662</v>
      </c>
    </row>
    <row r="28" spans="1:22">
      <c r="A28" t="s">
        <v>10</v>
      </c>
      <c r="C28">
        <v>1.06</v>
      </c>
      <c r="D28">
        <v>1.03</v>
      </c>
      <c r="E28">
        <v>0.99099999999999999</v>
      </c>
      <c r="F28">
        <v>0.95699999999999996</v>
      </c>
      <c r="G28">
        <v>0.92500000000000004</v>
      </c>
      <c r="H28">
        <v>1.32</v>
      </c>
      <c r="N28" t="s">
        <v>10</v>
      </c>
      <c r="O28">
        <v>0.29699999999999999</v>
      </c>
      <c r="P28">
        <v>0.32500000000000001</v>
      </c>
      <c r="Q28">
        <v>0.312</v>
      </c>
      <c r="R28">
        <v>0.29799999999999999</v>
      </c>
      <c r="S28">
        <v>0.28699999999999998</v>
      </c>
      <c r="T28">
        <v>0.27600000000000002</v>
      </c>
      <c r="U28">
        <v>0.34200000000000003</v>
      </c>
    </row>
    <row r="29" spans="1:22">
      <c r="A29" t="s">
        <v>11</v>
      </c>
      <c r="B29">
        <f>B44/(1-(G32/E23))</f>
        <v>0.99213345779157847</v>
      </c>
      <c r="C29" s="3">
        <f t="shared" ref="C29:H29" si="12">C28*2^((C27-$D$1)/$G$1)</f>
        <v>1.0644567793162882</v>
      </c>
      <c r="D29" s="3">
        <f t="shared" si="12"/>
        <v>1.0343783345524222</v>
      </c>
      <c r="E29" s="3">
        <f t="shared" si="12"/>
        <v>0.99512078558237427</v>
      </c>
      <c r="F29" s="3">
        <f t="shared" si="12"/>
        <v>0.9611123379410883</v>
      </c>
      <c r="G29" s="3">
        <f t="shared" si="12"/>
        <v>0.92901766309480671</v>
      </c>
      <c r="H29" s="3">
        <f t="shared" si="12"/>
        <v>1.3257944401982467</v>
      </c>
      <c r="I29" s="6">
        <f>(H29-B29)/B29</f>
        <v>0.33630655209368188</v>
      </c>
      <c r="N29" t="s">
        <v>11</v>
      </c>
      <c r="O29" s="3">
        <f t="shared" ref="O29:U29" si="13">O28*2^((O27-$D$1)/$G$1)</f>
        <v>0.2993025644998743</v>
      </c>
      <c r="P29" s="3">
        <f t="shared" si="13"/>
        <v>0.32764802320277814</v>
      </c>
      <c r="Q29" s="3">
        <f t="shared" si="13"/>
        <v>0.31455660505494593</v>
      </c>
      <c r="R29" s="3">
        <f t="shared" si="13"/>
        <v>0.30041418220701155</v>
      </c>
      <c r="S29" s="3">
        <f t="shared" si="13"/>
        <v>0.28936509019430473</v>
      </c>
      <c r="T29" s="3">
        <f t="shared" si="13"/>
        <v>0.27828727270372278</v>
      </c>
      <c r="U29" s="3">
        <f t="shared" si="13"/>
        <v>0.34485012869727028</v>
      </c>
      <c r="V29" s="6">
        <f>(U29-O29)/O29</f>
        <v>0.15217899744195176</v>
      </c>
    </row>
    <row r="30" spans="1:22">
      <c r="B30">
        <f t="shared" ref="B30" si="14">B29*1000</f>
        <v>992.13345779157851</v>
      </c>
      <c r="C30">
        <f t="shared" ref="C30:G30" si="15">C29*1000</f>
        <v>1064.4567793162882</v>
      </c>
      <c r="D30">
        <f t="shared" si="15"/>
        <v>1034.3783345524223</v>
      </c>
      <c r="E30">
        <f t="shared" si="15"/>
        <v>995.12078558237431</v>
      </c>
      <c r="F30">
        <f t="shared" si="15"/>
        <v>961.1123379410883</v>
      </c>
      <c r="G30">
        <f t="shared" si="15"/>
        <v>929.01766309480672</v>
      </c>
      <c r="H30">
        <f>H29*1000</f>
        <v>1325.7944401982465</v>
      </c>
    </row>
    <row r="31" spans="1:22">
      <c r="C31" t="s">
        <v>1</v>
      </c>
      <c r="E31">
        <v>493</v>
      </c>
      <c r="F31" s="1">
        <v>0.32013888888888892</v>
      </c>
      <c r="G31">
        <v>3.2000000000000002E-3</v>
      </c>
    </row>
    <row r="32" spans="1:22">
      <c r="F32" t="s">
        <v>11</v>
      </c>
      <c r="G32" s="3">
        <f>G31*2^((F31-$D$1)/$G$1)</f>
        <v>3.2151587342228488E-3</v>
      </c>
    </row>
    <row r="34" spans="1:12">
      <c r="C34" t="s">
        <v>4</v>
      </c>
    </row>
    <row r="35" spans="1:12">
      <c r="A35" t="s">
        <v>8</v>
      </c>
      <c r="B35" s="5">
        <f>572.98*B38^2-1726.1*B38+1641</f>
        <v>494.37467587728815</v>
      </c>
      <c r="C35">
        <f>E35-60</f>
        <v>433</v>
      </c>
      <c r="D35">
        <f>E35-30</f>
        <v>463</v>
      </c>
      <c r="E35">
        <v>493</v>
      </c>
      <c r="F35">
        <f>E35+30</f>
        <v>523</v>
      </c>
      <c r="G35">
        <f>E35+60</f>
        <v>553</v>
      </c>
      <c r="H35">
        <v>570</v>
      </c>
    </row>
    <row r="36" spans="1:12">
      <c r="A36" t="s">
        <v>9</v>
      </c>
      <c r="C36" s="2">
        <f>(H36-E36)/5+E36</f>
        <v>0.32166666666666671</v>
      </c>
      <c r="D36" s="2">
        <f>(H36-E36)*2/5+E36</f>
        <v>0.32180555555555557</v>
      </c>
      <c r="E36" s="2">
        <v>0.3215277777777778</v>
      </c>
      <c r="F36" s="2">
        <f>(H36-E36)*3/5+E36</f>
        <v>0.32194444444444448</v>
      </c>
      <c r="G36" s="2">
        <f>(H36-E36)*4/5+E36</f>
        <v>0.32208333333333333</v>
      </c>
      <c r="H36" s="2">
        <v>0.32222222222222224</v>
      </c>
      <c r="I36" s="2"/>
    </row>
    <row r="37" spans="1:12">
      <c r="A37" t="s">
        <v>10</v>
      </c>
      <c r="C37">
        <v>1.1000000000000001</v>
      </c>
      <c r="D37">
        <v>1.04</v>
      </c>
      <c r="E37">
        <v>0.98699999999999999</v>
      </c>
      <c r="F37">
        <v>0.93700000000000006</v>
      </c>
      <c r="G37">
        <v>0.89400000000000002</v>
      </c>
      <c r="H37">
        <v>0.86899999999999999</v>
      </c>
    </row>
    <row r="38" spans="1:12">
      <c r="A38" t="s">
        <v>11</v>
      </c>
      <c r="B38">
        <f>B44</f>
        <v>0.98892610291611305</v>
      </c>
      <c r="C38" s="3">
        <f t="shared" ref="C38:H38" si="16">C37*2^((C36-$D$1)/$G$1)</f>
        <v>1.1054911163442995</v>
      </c>
      <c r="D38" s="3">
        <f t="shared" si="16"/>
        <v>1.0452156962658048</v>
      </c>
      <c r="E38" s="3">
        <f t="shared" si="16"/>
        <v>0.99190416204325449</v>
      </c>
      <c r="F38" s="3">
        <f t="shared" si="16"/>
        <v>0.94172085122349047</v>
      </c>
      <c r="G38" s="3">
        <f t="shared" si="16"/>
        <v>0.89852491966575532</v>
      </c>
      <c r="H38" s="3">
        <f t="shared" si="16"/>
        <v>0.87341851879888555</v>
      </c>
      <c r="I38" s="6">
        <f>(H38-B38)/B38</f>
        <v>-0.1168010266658171</v>
      </c>
    </row>
    <row r="39" spans="1:12">
      <c r="B39">
        <f t="shared" ref="B39:H39" si="17">B38*1000</f>
        <v>988.926102916113</v>
      </c>
      <c r="C39">
        <f t="shared" si="17"/>
        <v>1105.4911163442996</v>
      </c>
      <c r="D39">
        <f t="shared" si="17"/>
        <v>1045.2156962658048</v>
      </c>
      <c r="E39">
        <f t="shared" si="17"/>
        <v>991.90416204325447</v>
      </c>
      <c r="F39">
        <f t="shared" si="17"/>
        <v>941.72085122349051</v>
      </c>
      <c r="G39">
        <f t="shared" si="17"/>
        <v>898.52491966575531</v>
      </c>
      <c r="H39">
        <f t="shared" si="17"/>
        <v>873.41851879888554</v>
      </c>
    </row>
    <row r="40" spans="1:12">
      <c r="C40" t="s">
        <v>5</v>
      </c>
    </row>
    <row r="41" spans="1:12">
      <c r="A41" t="s">
        <v>8</v>
      </c>
      <c r="B41">
        <f>1003.3*B44^2-2725.4*B44+2378.5</f>
        <v>664.48295310347112</v>
      </c>
      <c r="C41">
        <f>E41-60</f>
        <v>602</v>
      </c>
      <c r="D41">
        <f>E41-30</f>
        <v>632</v>
      </c>
      <c r="E41">
        <v>662</v>
      </c>
      <c r="F41">
        <f>E41+30</f>
        <v>692</v>
      </c>
      <c r="G41">
        <f>E41+60</f>
        <v>722</v>
      </c>
      <c r="H41">
        <v>570</v>
      </c>
      <c r="K41">
        <v>992</v>
      </c>
      <c r="L41">
        <v>200</v>
      </c>
    </row>
    <row r="42" spans="1:12">
      <c r="A42" t="s">
        <v>9</v>
      </c>
      <c r="B42" s="1">
        <v>0.3215277777777778</v>
      </c>
      <c r="C42" s="2">
        <f>(H42-E42)/5+E42</f>
        <v>0.32458333333333333</v>
      </c>
      <c r="D42" s="2">
        <f>(H42-E42)*2/5+E42</f>
        <v>0.3248611111111111</v>
      </c>
      <c r="E42" s="2">
        <v>0.32430555555555557</v>
      </c>
      <c r="F42" s="2">
        <f>(H42-E42)*3/5+E42</f>
        <v>0.32513888888888892</v>
      </c>
      <c r="G42" s="2">
        <f>(H42-E42)*4/5+E42</f>
        <v>0.32541666666666669</v>
      </c>
      <c r="H42" s="2">
        <v>0.32569444444444445</v>
      </c>
      <c r="I42" s="2"/>
      <c r="K42">
        <v>992</v>
      </c>
      <c r="L42">
        <v>1000</v>
      </c>
    </row>
    <row r="43" spans="1:12">
      <c r="A43" t="s">
        <v>10</v>
      </c>
      <c r="B43">
        <v>0.9738</v>
      </c>
      <c r="C43">
        <v>1.08</v>
      </c>
      <c r="D43">
        <v>1.03</v>
      </c>
      <c r="E43">
        <v>0.98699999999999999</v>
      </c>
      <c r="F43">
        <v>0.94799999999999995</v>
      </c>
      <c r="G43">
        <v>0.91300000000000003</v>
      </c>
      <c r="H43">
        <v>1.1299999999999999</v>
      </c>
    </row>
    <row r="44" spans="1:12">
      <c r="A44" t="s">
        <v>11</v>
      </c>
      <c r="B44" s="3">
        <v>0.98892610291611305</v>
      </c>
      <c r="C44" s="3">
        <f t="shared" ref="B44:H44" si="18">C43*2^((C42-$D$1)/$G$1)</f>
        <v>1.0859168631845426</v>
      </c>
      <c r="D44" s="3">
        <f t="shared" si="18"/>
        <v>1.0356906853397594</v>
      </c>
      <c r="E44" s="3">
        <f t="shared" si="18"/>
        <v>0.99236160011336261</v>
      </c>
      <c r="F44" s="3">
        <f t="shared" si="18"/>
        <v>0.95328159198379725</v>
      </c>
      <c r="G44" s="3">
        <f t="shared" si="18"/>
        <v>0.91812892726534623</v>
      </c>
      <c r="H44" s="3">
        <f t="shared" si="18"/>
        <v>1.1364003546343129</v>
      </c>
      <c r="I44" s="6">
        <f>(H44-B44)/B44</f>
        <v>0.14912565386163087</v>
      </c>
    </row>
    <row r="45" spans="1:12">
      <c r="B45">
        <f t="shared" ref="B45:H45" si="19">B44*1000</f>
        <v>988.926102916113</v>
      </c>
      <c r="C45">
        <f t="shared" si="19"/>
        <v>1085.9168631845425</v>
      </c>
      <c r="D45">
        <f t="shared" si="19"/>
        <v>1035.6906853397593</v>
      </c>
      <c r="E45">
        <f t="shared" si="19"/>
        <v>992.36160011336256</v>
      </c>
      <c r="F45">
        <f t="shared" si="19"/>
        <v>953.28159198379728</v>
      </c>
      <c r="G45">
        <f t="shared" si="19"/>
        <v>918.12892726534619</v>
      </c>
      <c r="H45">
        <f t="shared" si="19"/>
        <v>1136.4003546343129</v>
      </c>
    </row>
    <row r="46" spans="1:12">
      <c r="C46" t="s">
        <v>1</v>
      </c>
      <c r="E46">
        <v>498</v>
      </c>
      <c r="F46" s="1">
        <v>0.41875000000000001</v>
      </c>
      <c r="G46">
        <v>4.3999999999999997E-2</v>
      </c>
    </row>
    <row r="47" spans="1:12">
      <c r="F47" t="s">
        <v>11</v>
      </c>
      <c r="G47" s="3">
        <f>G46*2^((F46-$D$1)/$G$1)</f>
        <v>4.4937982517587648E-2</v>
      </c>
    </row>
    <row r="50" spans="1:8">
      <c r="A50" t="s">
        <v>14</v>
      </c>
      <c r="C50">
        <f>B44-B44*(G47/(572.98*E46^2-1726.1*E46+1641))</f>
        <v>0.9889261026014764</v>
      </c>
    </row>
    <row r="52" spans="1:8">
      <c r="A52" t="s">
        <v>9</v>
      </c>
      <c r="B52" s="2">
        <v>0.93275462962962974</v>
      </c>
      <c r="C52" t="s">
        <v>15</v>
      </c>
    </row>
    <row r="53" spans="1:8">
      <c r="A53" t="s">
        <v>10</v>
      </c>
      <c r="B53">
        <v>0.80166045405405406</v>
      </c>
      <c r="H53">
        <f>5168.72*5640/37000000</f>
        <v>0.78788056216216218</v>
      </c>
    </row>
    <row r="54" spans="1:8">
      <c r="A54" t="s">
        <v>11</v>
      </c>
      <c r="B54" s="3">
        <f t="shared" ref="B54" si="20">B53*2^((B52-$D$1)/$G$1)</f>
        <v>0.89166917264663526</v>
      </c>
      <c r="C54">
        <f>B54*0.25/0.2286</f>
        <v>0.97514126492414177</v>
      </c>
      <c r="D54" s="4">
        <f>(C54-$C$50)/$C$50</f>
        <v>-1.3939198936171399E-2</v>
      </c>
    </row>
    <row r="56" spans="1:8">
      <c r="A56" t="s">
        <v>9</v>
      </c>
      <c r="B56" s="2">
        <v>0.94430555555555562</v>
      </c>
      <c r="C56" t="s">
        <v>16</v>
      </c>
    </row>
    <row r="57" spans="1:8">
      <c r="A57" t="s">
        <v>10</v>
      </c>
      <c r="B57">
        <v>0.78788056216216218</v>
      </c>
    </row>
    <row r="58" spans="1:8">
      <c r="A58" t="s">
        <v>11</v>
      </c>
      <c r="B58" s="3">
        <f t="shared" ref="B58" si="21">B57*2^((B56-$D$1)/$G$1)</f>
        <v>0.8780238943082056</v>
      </c>
      <c r="C58">
        <f>B58*0.25/0.2286</f>
        <v>0.96021860707371565</v>
      </c>
      <c r="D58" s="4">
        <f>(C58-$C$50)/$C$50</f>
        <v>-2.9028959244014895E-2</v>
      </c>
    </row>
    <row r="61" spans="1:8">
      <c r="A61" t="s">
        <v>9</v>
      </c>
      <c r="B61" s="2">
        <v>0.94980324074074074</v>
      </c>
      <c r="C61" t="s">
        <v>18</v>
      </c>
    </row>
    <row r="62" spans="1:8">
      <c r="A62" t="s">
        <v>10</v>
      </c>
      <c r="B62">
        <v>0.95089999999999997</v>
      </c>
    </row>
    <row r="63" spans="1:8">
      <c r="A63" t="s">
        <v>11</v>
      </c>
      <c r="B63" s="3">
        <f t="shared" ref="B63" si="22">B62*2^((B61-$D$1)/$G$1)</f>
        <v>1.0606622221487756</v>
      </c>
      <c r="C63" s="4">
        <f>(B63-$C$50)/$C$50</f>
        <v>7.2539413570528288E-2</v>
      </c>
    </row>
    <row r="65" spans="1:8">
      <c r="A65" t="s">
        <v>9</v>
      </c>
      <c r="B65" s="2">
        <v>0.9620023148148148</v>
      </c>
      <c r="C65" t="s">
        <v>17</v>
      </c>
    </row>
    <row r="66" spans="1:8">
      <c r="A66" t="s">
        <v>10</v>
      </c>
      <c r="B66">
        <v>0.88080000000000003</v>
      </c>
    </row>
    <row r="67" spans="1:8">
      <c r="A67" t="s">
        <v>11</v>
      </c>
      <c r="B67" s="3">
        <f t="shared" ref="B67" si="23">B66*2^((B65-$D$1)/$G$1)</f>
        <v>0.98446195764401745</v>
      </c>
      <c r="C67" s="4">
        <f>(B67-$C$50)/$C$50</f>
        <v>-4.5141340143773486E-3</v>
      </c>
    </row>
    <row r="70" spans="1:8">
      <c r="A70" s="2">
        <v>0.88395833333333329</v>
      </c>
      <c r="B70">
        <v>1812.21</v>
      </c>
      <c r="C70" s="2">
        <v>0.73125000000000007</v>
      </c>
      <c r="D70" s="7">
        <f>B70*EXP((A70-C70)/4.176)</f>
        <v>1879.7056255538082</v>
      </c>
      <c r="E70">
        <f>D70/37000</f>
        <v>5.080285474469752E-2</v>
      </c>
      <c r="F70">
        <f>E70*5640</f>
        <v>286.52810076009399</v>
      </c>
      <c r="G70">
        <f>F70*0.25/0.2286</f>
        <v>313.35094133868546</v>
      </c>
      <c r="H70" s="4">
        <f>(G70-312)/312</f>
        <v>4.3299401880944194E-3</v>
      </c>
    </row>
    <row r="71" spans="1:8">
      <c r="A71" s="2">
        <v>0.93077546296296287</v>
      </c>
      <c r="B71">
        <v>1803.1</v>
      </c>
      <c r="C71" s="2">
        <v>0.73125000000000007</v>
      </c>
      <c r="D71" s="7">
        <f>B71*EXP((A71-C71)/4.176)</f>
        <v>1891.3417385133739</v>
      </c>
      <c r="E71">
        <f>D71/37000</f>
        <v>5.1117344284145244E-2</v>
      </c>
      <c r="F71">
        <f>E71*5640</f>
        <v>288.30182176257915</v>
      </c>
      <c r="G71">
        <f>F71*0.25/0.2286</f>
        <v>315.29070621454412</v>
      </c>
      <c r="H71" s="4">
        <f>(G71-312)/312</f>
        <v>1.0547135303026013E-2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MSKCC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Beattie, Brad/Sloan-Kettering Institute</dc:creator>
  <cp:lastModifiedBy>Beattie, Brad/Sloan-Kettering Institute</cp:lastModifiedBy>
  <dcterms:created xsi:type="dcterms:W3CDTF">2013-06-28T13:04:01Z</dcterms:created>
  <dcterms:modified xsi:type="dcterms:W3CDTF">2013-09-12T18:21:28Z</dcterms:modified>
</cp:coreProperties>
</file>