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5" windowWidth="13140" windowHeight="8445" activeTab="0"/>
  </bookViews>
  <sheets>
    <sheet name="Sheet1" sheetId="1" r:id="rId1"/>
    <sheet name="Sheet2" sheetId="2" r:id="rId2"/>
    <sheet name="Sheet3" sheetId="3" r:id="rId3"/>
  </sheets>
  <definedNames>
    <definedName name="Ai">'Sheet1'!$J$45</definedName>
    <definedName name="Alpha">'Sheet1'!$D$38</definedName>
    <definedName name="Beta">'Sheet1'!$F$36</definedName>
    <definedName name="Beta0">'Sheet1'!$D$36</definedName>
    <definedName name="Bi">'Sheet1'!$J$44</definedName>
    <definedName name="Dat">'Sheet1'!$M$24:$M$41</definedName>
    <definedName name="Datmin">'Sheet1'!$L$42</definedName>
    <definedName name="Det1">'Sheet1'!$F$49</definedName>
    <definedName name="Det2">'Sheet1'!$L$49</definedName>
    <definedName name="N">'Sheet1'!$J$42</definedName>
    <definedName name="Obs">'Sheet1'!$J$24:$J$41</definedName>
    <definedName name="P">'Sheet1'!$D$31</definedName>
    <definedName name="Sa">'Sheet1'!$F$39</definedName>
    <definedName name="Sa0">'Sheet1'!$D$39</definedName>
    <definedName name="Sb">'Sheet1'!$D$37</definedName>
    <definedName name="Se">'Sheet1'!$D$40</definedName>
    <definedName name="ST">'Sheet1'!$Q$42</definedName>
    <definedName name="ST2">'Sheet1'!$R$42</definedName>
    <definedName name="STY">'Sheet1'!$S$42</definedName>
    <definedName name="SY">'Sheet1'!$P$42</definedName>
    <definedName name="T">'Sheet1'!$Q$24:$Q$41</definedName>
    <definedName name="T_2">'Sheet1'!$R$24:$R$41</definedName>
    <definedName name="T0">'Sheet1'!$N$22</definedName>
    <definedName name="Target">'Sheet1'!$D$29</definedName>
    <definedName name="Tnext1">'Sheet1'!$D$49</definedName>
    <definedName name="Tnext2">'Sheet1'!$J$49</definedName>
    <definedName name="Tobs">'Sheet1'!$M$24</definedName>
    <definedName name="Tseroc">'Sheet1'!$M$21</definedName>
    <definedName name="TY">'Sheet1'!$S$24:$S$41</definedName>
    <definedName name="Y">'Sheet1'!$P$24:$P$41</definedName>
    <definedName name="Yart">'Sheet1'!$F$29</definedName>
    <definedName name="Yobs">'Sheet1'!$P$24</definedName>
    <definedName name="Ypred">'Sheet1'!$L$45</definedName>
    <definedName name="_xlnm.Print_Area" localSheetId="0">'Sheet1'!$A$1:$O$71</definedName>
    <definedName name="Zp">'Sheet1'!$F$31</definedName>
  </definedNames>
  <calcPr fullCalcOnLoad="1"/>
</workbook>
</file>

<file path=xl/sharedStrings.xml><?xml version="1.0" encoding="utf-8"?>
<sst xmlns="http://schemas.openxmlformats.org/spreadsheetml/2006/main" count="81" uniqueCount="63">
  <si>
    <t>Centre of Evidence-Based Medicine, University of Oxford</t>
  </si>
  <si>
    <t>Division of Clinical Pharmacology, University Hospital of Lausanne</t>
  </si>
  <si>
    <r>
      <t xml:space="preserve">Population slope </t>
    </r>
    <r>
      <rPr>
        <sz val="11"/>
        <rFont val="Symbol"/>
        <family val="1"/>
      </rPr>
      <t>b</t>
    </r>
  </si>
  <si>
    <r>
      <t xml:space="preserve">Inter-patient </t>
    </r>
    <r>
      <rPr>
        <sz val="11"/>
        <rFont val="Symbol"/>
        <family val="1"/>
      </rPr>
      <t>s</t>
    </r>
    <r>
      <rPr>
        <vertAlign val="subscript"/>
        <sz val="10"/>
        <rFont val="Arial"/>
        <family val="2"/>
      </rPr>
      <t>b</t>
    </r>
  </si>
  <si>
    <r>
      <t xml:space="preserve">Intra-patient </t>
    </r>
    <r>
      <rPr>
        <sz val="11"/>
        <rFont val="Symbol"/>
        <family val="1"/>
      </rPr>
      <t>s</t>
    </r>
    <r>
      <rPr>
        <vertAlign val="subscript"/>
        <sz val="10"/>
        <rFont val="Arial"/>
        <family val="2"/>
      </rPr>
      <t>e</t>
    </r>
  </si>
  <si>
    <t>Underlying model parameter values:</t>
  </si>
  <si>
    <r>
      <t xml:space="preserve">Population intercept </t>
    </r>
    <r>
      <rPr>
        <sz val="11"/>
        <rFont val="Symbol"/>
        <family val="1"/>
      </rPr>
      <t>a</t>
    </r>
  </si>
  <si>
    <r>
      <t xml:space="preserve">Inter-patient </t>
    </r>
    <r>
      <rPr>
        <sz val="11"/>
        <rFont val="Symbol"/>
        <family val="1"/>
      </rPr>
      <t>s</t>
    </r>
    <r>
      <rPr>
        <vertAlign val="subscript"/>
        <sz val="10"/>
        <rFont val="Arial"/>
        <family val="2"/>
      </rPr>
      <t>a</t>
    </r>
  </si>
  <si>
    <t>Patient Identification:</t>
  </si>
  <si>
    <t>Laboratory for CD4 cells count determination:</t>
  </si>
  <si>
    <t>CD4 cells count results:</t>
  </si>
  <si>
    <t>dd/mm/yy</t>
  </si>
  <si>
    <t>Anterior results:</t>
  </si>
  <si>
    <t>Date:</t>
  </si>
  <si>
    <t>Dates:</t>
  </si>
  <si>
    <t>Physician:</t>
  </si>
  <si>
    <t>Individual slope b</t>
  </si>
  <si>
    <t>Individual intercept a</t>
  </si>
  <si>
    <t>Target CD4 count</t>
  </si>
  <si>
    <t>Probability level</t>
  </si>
  <si>
    <t>Y</t>
  </si>
  <si>
    <t>T</t>
  </si>
  <si>
    <t>Conditions for Rules operation:</t>
  </si>
  <si>
    <t>ST2</t>
  </si>
  <si>
    <t>STY</t>
  </si>
  <si>
    <t>Current result:</t>
  </si>
  <si>
    <t>I</t>
  </si>
  <si>
    <t>O</t>
  </si>
  <si>
    <t>N</t>
  </si>
  <si>
    <t>Tyear</t>
  </si>
  <si>
    <t>Tyearobs</t>
  </si>
  <si>
    <t>Cart</t>
  </si>
  <si>
    <t>Cobs</t>
  </si>
  <si>
    <t>Cpred</t>
  </si>
  <si>
    <t>Cinf</t>
  </si>
  <si>
    <t xml:space="preserve">   (considered to indicate therapy initiation in this patient)</t>
  </si>
  <si>
    <t xml:space="preserve">   (desired for the next measurement to reach the target)</t>
  </si>
  <si>
    <r>
      <t xml:space="preserve">This rule uses the average population slope </t>
    </r>
    <r>
      <rPr>
        <sz val="11"/>
        <rFont val="Symbol"/>
        <family val="1"/>
      </rPr>
      <t>b</t>
    </r>
  </si>
  <si>
    <t>They will indicate the time to next measurement for the result to have a given probability of reaching a</t>
  </si>
  <si>
    <r>
      <t xml:space="preserve">predefined target threshold, indicating antiretroviral therapy initiation. The </t>
    </r>
    <r>
      <rPr>
        <i/>
        <sz val="10"/>
        <rFont val="Arial"/>
        <family val="2"/>
      </rPr>
      <t>Snap-shot Rule</t>
    </r>
    <r>
      <rPr>
        <sz val="10"/>
        <rFont val="Arial"/>
        <family val="0"/>
      </rPr>
      <t xml:space="preserve"> uses a single </t>
    </r>
  </si>
  <si>
    <t xml:space="preserve">clinicians only as an aid to decision making, taking into account all other aspects of the patient's condition. </t>
  </si>
  <si>
    <t xml:space="preserve">These rules are based on a linear mixed-effects model of the fall in CD4 cell count (in the square root scale). </t>
  </si>
  <si>
    <r>
      <t>10</t>
    </r>
    <r>
      <rPr>
        <vertAlign val="superscript"/>
        <sz val="9"/>
        <color indexed="63"/>
        <rFont val="Arial"/>
        <family val="2"/>
      </rPr>
      <t>6</t>
    </r>
    <r>
      <rPr>
        <sz val="9"/>
        <color indexed="63"/>
        <rFont val="Arial"/>
        <family val="2"/>
      </rPr>
      <t>/L</t>
    </r>
  </si>
  <si>
    <t xml:space="preserve">   (for Track-shot rule)</t>
  </si>
  <si>
    <r>
      <t>Snap-shot rule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(based on the current result alone)</t>
    </r>
    <r>
      <rPr>
        <b/>
        <sz val="12"/>
        <rFont val="Arial"/>
        <family val="2"/>
      </rPr>
      <t>:</t>
    </r>
  </si>
  <si>
    <r>
      <t>Track-shot rule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(based on multiple serial measurements)</t>
    </r>
    <r>
      <rPr>
        <b/>
        <sz val="12"/>
        <rFont val="Arial"/>
        <family val="2"/>
      </rPr>
      <t>:</t>
    </r>
  </si>
  <si>
    <t>and only the current CD4 cell count</t>
  </si>
  <si>
    <t>Next date for CD4 cell measurement</t>
  </si>
  <si>
    <r>
      <t>(count)</t>
    </r>
    <r>
      <rPr>
        <vertAlign val="superscript"/>
        <sz val="8"/>
        <color indexed="63"/>
        <rFont val="Arial"/>
        <family val="2"/>
      </rPr>
      <t>.5</t>
    </r>
    <r>
      <rPr>
        <sz val="8"/>
        <color indexed="63"/>
        <rFont val="Arial"/>
        <family val="2"/>
      </rPr>
      <t>/year</t>
    </r>
  </si>
  <si>
    <r>
      <t>(count)</t>
    </r>
    <r>
      <rPr>
        <vertAlign val="superscript"/>
        <sz val="8"/>
        <color indexed="63"/>
        <rFont val="Arial"/>
        <family val="2"/>
      </rPr>
      <t>.5</t>
    </r>
  </si>
  <si>
    <t>Monitoring CD4 Cell Count in HIV-1 Infection</t>
  </si>
  <si>
    <t xml:space="preserve"> Before Starting Antiretroviral Therapy: </t>
  </si>
  <si>
    <t xml:space="preserve">a Decision Rule to Guide Determination Frequency </t>
  </si>
  <si>
    <r>
      <t xml:space="preserve">current CD4 count while the </t>
    </r>
    <r>
      <rPr>
        <i/>
        <sz val="10"/>
        <rFont val="Arial"/>
        <family val="2"/>
      </rPr>
      <t>Track-shot Rule</t>
    </r>
    <r>
      <rPr>
        <sz val="10"/>
        <rFont val="Arial"/>
        <family val="0"/>
      </rPr>
      <t xml:space="preserve"> integrates previous results. These rules must be used by trained</t>
    </r>
  </si>
  <si>
    <r>
      <t xml:space="preserve">Approximative date of seroconversion </t>
    </r>
    <r>
      <rPr>
        <i/>
        <sz val="10"/>
        <rFont val="Arial"/>
        <family val="2"/>
      </rPr>
      <t>(if known)</t>
    </r>
  </si>
  <si>
    <t xml:space="preserve">   (for both Snap-shot and Track-shot rules)</t>
  </si>
  <si>
    <t>&lt;fill here the lab name and address&gt;</t>
  </si>
  <si>
    <t>&lt;indicate here the practitioner in charge of the patient&gt;</t>
  </si>
  <si>
    <t>&lt;fill here the name of the patient&gt;</t>
  </si>
  <si>
    <r>
      <t xml:space="preserve"> T</t>
    </r>
    <r>
      <rPr>
        <vertAlign val="subscript"/>
        <sz val="11"/>
        <rFont val="Arial"/>
        <family val="2"/>
      </rPr>
      <t>next</t>
    </r>
    <r>
      <rPr>
        <sz val="11"/>
        <rFont val="Arial"/>
        <family val="2"/>
      </rPr>
      <t xml:space="preserve"> by SS Rule =</t>
    </r>
  </si>
  <si>
    <r>
      <t xml:space="preserve"> T</t>
    </r>
    <r>
      <rPr>
        <vertAlign val="subscript"/>
        <sz val="11"/>
        <rFont val="Arial"/>
        <family val="2"/>
      </rPr>
      <t>next</t>
    </r>
    <r>
      <rPr>
        <sz val="11"/>
        <rFont val="Arial"/>
        <family val="2"/>
      </rPr>
      <t xml:space="preserve"> by TS Rule =</t>
    </r>
  </si>
  <si>
    <t>Frequency of Monitoring CD4 Cell Count in HIV-1 Infection before Starting Antiretroviral Therapy. PloS ONE 2011)</t>
  </si>
  <si>
    <t xml:space="preserve">(See Buclin T, Telenti A, Perera F, Csajka C, Furrer H, Aronson JK, Glasziou P. Development and Validation of Decision Rules to Guide 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</si>
</sst>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_);\(&quot;SFr.&quot;\ #,##0\)"/>
    <numFmt numFmtId="165" formatCode="&quot;SFr.&quot;\ #,##0_);[Red]\(&quot;SFr.&quot;\ #,##0\)"/>
    <numFmt numFmtId="166" formatCode="&quot;SFr.&quot;\ #,##0.00_);\(&quot;SFr.&quot;\ #,##0.00\)"/>
    <numFmt numFmtId="167" formatCode="&quot;SFr.&quot;\ #,##0.00_);[Red]\(&quot;SFr.&quot;\ #,##0.00\)"/>
    <numFmt numFmtId="168" formatCode="_(&quot;SFr.&quot;\ * #,##0_);_(&quot;SFr.&quot;\ * \(#,##0\);_(&quot;SFr.&quot;\ * &quot;-&quot;_);_(@_)"/>
    <numFmt numFmtId="169" formatCode="_(* #,##0_);_(* \(#,##0\);_(* &quot;-&quot;_);_(@_)"/>
    <numFmt numFmtId="170" formatCode="_(&quot;SFr.&quot;\ * #,##0.00_);_(&quot;SFr.&quot;\ * \(#,##0.00\);_(&quot;SFr.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yyyy"/>
    <numFmt numFmtId="182" formatCode="yy"/>
    <numFmt numFmtId="183" formatCode="dd/mm/yy;@"/>
    <numFmt numFmtId="184" formatCode="d/m/yy;@"/>
    <numFmt numFmtId="185" formatCode="0.00000"/>
    <numFmt numFmtId="186" formatCode="0.0000"/>
    <numFmt numFmtId="187" formatCode="0.000"/>
    <numFmt numFmtId="188" formatCode="0.0"/>
  </numFmts>
  <fonts count="8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Symbol"/>
      <family val="1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sz val="10"/>
      <color indexed="20"/>
      <name val="Arial"/>
      <family val="2"/>
    </font>
    <font>
      <sz val="8"/>
      <color indexed="63"/>
      <name val="Arial"/>
      <family val="2"/>
    </font>
    <font>
      <vertAlign val="superscript"/>
      <sz val="8"/>
      <color indexed="63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9"/>
      <color indexed="63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8"/>
      <color indexed="14"/>
      <name val="Arial"/>
      <family val="0"/>
    </font>
    <font>
      <b/>
      <sz val="8"/>
      <color indexed="14"/>
      <name val="Arial"/>
      <family val="0"/>
    </font>
    <font>
      <sz val="8"/>
      <color indexed="23"/>
      <name val="Arial"/>
      <family val="0"/>
    </font>
    <font>
      <b/>
      <sz val="8"/>
      <color indexed="23"/>
      <name val="Arial"/>
      <family val="0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8"/>
      <color indexed="20"/>
      <name val="Arial"/>
      <family val="0"/>
    </font>
    <font>
      <b/>
      <sz val="8"/>
      <color indexed="20"/>
      <name val="Arial"/>
      <family val="0"/>
    </font>
    <font>
      <sz val="8"/>
      <color indexed="46"/>
      <name val="Arial"/>
      <family val="0"/>
    </font>
    <font>
      <b/>
      <sz val="8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17" fillId="33" borderId="0" xfId="0" applyNumberFormat="1" applyFont="1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4" fontId="17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88" fontId="0" fillId="33" borderId="0" xfId="0" applyNumberForma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5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14" fontId="10" fillId="34" borderId="2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14" fontId="11" fillId="34" borderId="2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395"/>
          <c:h val="0.966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Sheet1!$C$77:$C$102</c:f>
            </c:numRef>
          </c:xVal>
          <c:yVal>
            <c:numRef>
              <c:f>Sheet1!$D$77:$D$102</c:f>
            </c:numRef>
          </c:yVal>
          <c:smooth val="1"/>
        </c:ser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Sheet1!$C$77:$C$102</c:f>
            </c:numRef>
          </c:xVal>
          <c:yVal>
            <c:numRef>
              <c:f>Sheet1!$G$77:$G$102</c:f>
            </c:numRef>
          </c:yVal>
          <c:smooth val="1"/>
        </c:ser>
        <c:ser>
          <c:idx val="0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Sheet1!$C$77:$C$102</c:f>
            </c:numRef>
          </c:xVal>
          <c:yVal>
            <c:numRef>
              <c:f>Sheet1!$F$77:$F$102</c:f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Sheet1!$C$73</c:f>
            </c:numRef>
          </c:xVal>
          <c:yVal>
            <c:numRef>
              <c:f>Sheet1!$E$73</c:f>
            </c:numRef>
          </c:yVal>
          <c:smooth val="1"/>
        </c:ser>
        <c:ser>
          <c:idx val="4"/>
          <c:order val="4"/>
          <c:tx>
            <c:strRef>
              <c:f>Sheet1!$B$74</c:f>
              <c:strCache>
                <c:ptCount val="1"/>
                <c:pt idx="0">
                  <c:v>17.4.12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Sheet1!$C$74:$C$76</c:f>
            </c:numRef>
          </c:xVal>
          <c:yVal>
            <c:numRef>
              <c:f>Sheet1!$G$74:$G$76</c:f>
            </c:numRef>
          </c:yVal>
          <c:smooth val="1"/>
        </c:ser>
        <c:axId val="19370592"/>
        <c:axId val="40117601"/>
      </c:scatterChart>
      <c:valAx>
        <c:axId val="19370592"/>
        <c:scaling>
          <c:orientation val="minMax"/>
        </c:scaling>
        <c:axPos val="b"/>
        <c:delete val="0"/>
        <c:numFmt formatCode="0" sourceLinked="0"/>
        <c:majorTickMark val="out"/>
        <c:minorTickMark val="in"/>
        <c:tickLblPos val="nextTo"/>
        <c:spPr>
          <a:ln w="25400">
            <a:solidFill>
              <a:srgbClr val="000000"/>
            </a:solidFill>
          </a:ln>
        </c:spPr>
        <c:crossAx val="40117601"/>
        <c:crosses val="autoZero"/>
        <c:crossBetween val="midCat"/>
        <c:dispUnits/>
        <c:majorUnit val="1"/>
        <c:minorUnit val="0.25"/>
      </c:valAx>
      <c:valAx>
        <c:axId val="4011760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9370592"/>
        <c:crosses val="autoZero"/>
        <c:crossBetween val="midCat"/>
        <c:dispUnits/>
        <c:majorUnit val="2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4"/>
          <c:h val="0.966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Sheet1!$J$77:$J$102</c:f>
            </c:numRef>
          </c:xVal>
          <c:yVal>
            <c:numRef>
              <c:f>Sheet1!$K$77:$K$102</c:f>
            </c:numRef>
          </c:yVal>
          <c:smooth val="1"/>
        </c:ser>
        <c:ser>
          <c:idx val="2"/>
          <c:order val="1"/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Sheet1!$J$77:$J$102</c:f>
            </c:numRef>
          </c:xVal>
          <c:yVal>
            <c:numRef>
              <c:f>Sheet1!$N$77:$N$102</c:f>
            </c:numRef>
          </c:yVal>
          <c:smooth val="1"/>
        </c:ser>
        <c:ser>
          <c:idx val="0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Sheet1!$J$77:$J$102</c:f>
            </c:numRef>
          </c:xVal>
          <c:yVal>
            <c:numRef>
              <c:f>Sheet1!$M$77:$M$102</c:f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Sheet1!$J$73</c:f>
            </c:numRef>
          </c:xVal>
          <c:yVal>
            <c:numRef>
              <c:f>Sheet1!$L$73</c:f>
            </c:numRef>
          </c:yVal>
          <c:smooth val="1"/>
        </c:ser>
        <c:ser>
          <c:idx val="4"/>
          <c:order val="4"/>
          <c:tx>
            <c:strRef>
              <c:f>Sheet1!$I$74</c:f>
              <c:strCache>
                <c:ptCount val="1"/>
                <c:pt idx="0">
                  <c:v>12.4.13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Sheet1!$J$74:$J$76</c:f>
            </c:numRef>
          </c:xVal>
          <c:yVal>
            <c:numRef>
              <c:f>Sheet1!$N$74:$N$76</c:f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Sheet1!$O$73:$O$88</c:f>
            </c:numRef>
          </c:xVal>
          <c:yVal>
            <c:numRef>
              <c:f>Sheet1!$P$73:$P$88</c:f>
            </c:numRef>
          </c:yVal>
          <c:smooth val="1"/>
        </c:ser>
        <c:axId val="25514090"/>
        <c:axId val="28300219"/>
      </c:scatterChart>
      <c:valAx>
        <c:axId val="25514090"/>
        <c:scaling>
          <c:orientation val="minMax"/>
        </c:scaling>
        <c:axPos val="b"/>
        <c:delete val="0"/>
        <c:numFmt formatCode="0" sourceLinked="0"/>
        <c:majorTickMark val="out"/>
        <c:minorTickMark val="in"/>
        <c:tickLblPos val="nextTo"/>
        <c:spPr>
          <a:ln w="25400">
            <a:solidFill>
              <a:srgbClr val="000000"/>
            </a:solidFill>
          </a:ln>
        </c:spPr>
        <c:crossAx val="28300219"/>
        <c:crosses val="autoZero"/>
        <c:crossBetween val="midCat"/>
        <c:dispUnits/>
        <c:majorUnit val="1"/>
        <c:minorUnit val="0.25"/>
      </c:valAx>
      <c:valAx>
        <c:axId val="2830021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25514090"/>
        <c:crosses val="autoZero"/>
        <c:crossBetween val="midCat"/>
        <c:dispUnits/>
        <c:majorUnit val="2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0.94325</cdr:y>
    </cdr:from>
    <cdr:to>
      <cdr:x>0.65625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2733675"/>
          <a:ext cx="933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0000" tIns="10800" rIns="90000" bIns="10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(years)</a:t>
          </a:r>
        </a:p>
      </cdr:txBody>
    </cdr:sp>
  </cdr:relSizeAnchor>
  <cdr:relSizeAnchor xmlns:cdr="http://schemas.openxmlformats.org/drawingml/2006/chartDrawing">
    <cdr:from>
      <cdr:x>-0.00075</cdr:x>
      <cdr:y>0.138</cdr:y>
    </cdr:from>
    <cdr:to>
      <cdr:x>0.072</cdr:x>
      <cdr:y>0.76825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400050"/>
          <a:ext cx="247650" cy="1828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CD4 count (M/L)</a:t>
          </a:r>
        </a:p>
      </cdr:txBody>
    </cdr:sp>
  </cdr:relSizeAnchor>
  <cdr:relSizeAnchor xmlns:cdr="http://schemas.openxmlformats.org/drawingml/2006/chartDrawing">
    <cdr:from>
      <cdr:x>0.32475</cdr:x>
      <cdr:y>0.06075</cdr:y>
    </cdr:from>
    <cdr:to>
      <cdr:x>0.94275</cdr:x>
      <cdr:y>0.11375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14425" y="171450"/>
          <a:ext cx="2133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Population average prediction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0.6225</cdr:x>
      <cdr:y>0.1145</cdr:y>
    </cdr:from>
    <cdr:to>
      <cdr:x>0.94275</cdr:x>
      <cdr:y>0.16925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143125" y="323850"/>
          <a:ext cx="1104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Worst case 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0.6225</cdr:x>
      <cdr:y>0.16925</cdr:y>
    </cdr:from>
    <cdr:to>
      <cdr:x>0.94275</cdr:x>
      <cdr:y>0.22225</cdr:y>
    </cdr:to>
    <cdr:sp>
      <cdr:nvSpPr>
        <cdr:cNvPr id="5" name="Text Box 5"/>
        <cdr:cNvSpPr txBox="1">
          <a:spLocks noChangeArrowheads="1"/>
        </cdr:cNvSpPr>
      </cdr:nvSpPr>
      <cdr:spPr>
        <a:xfrm>
          <a:off x="2143125" y="485775"/>
          <a:ext cx="1104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Target count  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0.27</cdr:x>
      <cdr:y>0.00175</cdr:y>
    </cdr:from>
    <cdr:to>
      <cdr:x>0.8605</cdr:x>
      <cdr:y>0.05975</cdr:y>
    </cdr:to>
    <cdr:sp>
      <cdr:nvSpPr>
        <cdr:cNvPr id="6" name="Text Box 6"/>
        <cdr:cNvSpPr txBox="1">
          <a:spLocks noChangeArrowheads="1"/>
        </cdr:cNvSpPr>
      </cdr:nvSpPr>
      <cdr:spPr>
        <a:xfrm>
          <a:off x="923925" y="0"/>
          <a:ext cx="2038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Snap-shot rule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(single sample)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0.94325</cdr:y>
    </cdr:from>
    <cdr:to>
      <cdr:x>0.711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771650" y="2733675"/>
          <a:ext cx="1133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0000" tIns="10800" rIns="90000" bIns="10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(years)</a:t>
          </a:r>
        </a:p>
      </cdr:txBody>
    </cdr:sp>
  </cdr:relSizeAnchor>
  <cdr:relSizeAnchor xmlns:cdr="http://schemas.openxmlformats.org/drawingml/2006/chartDrawing">
    <cdr:from>
      <cdr:x>-0.00075</cdr:x>
      <cdr:y>0.14825</cdr:y>
    </cdr:from>
    <cdr:to>
      <cdr:x>0.0635</cdr:x>
      <cdr:y>0.7975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428625"/>
          <a:ext cx="266700" cy="1885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CD4 count (M/L)</a:t>
          </a:r>
        </a:p>
      </cdr:txBody>
    </cdr:sp>
  </cdr:relSizeAnchor>
  <cdr:relSizeAnchor xmlns:cdr="http://schemas.openxmlformats.org/drawingml/2006/chartDrawing">
    <cdr:from>
      <cdr:x>0.545</cdr:x>
      <cdr:y>0.06225</cdr:y>
    </cdr:from>
    <cdr:to>
      <cdr:x>0.949</cdr:x>
      <cdr:y>0.1205</cdr:y>
    </cdr:to>
    <cdr:sp>
      <cdr:nvSpPr>
        <cdr:cNvPr id="3" name="Text Box 3"/>
        <cdr:cNvSpPr txBox="1">
          <a:spLocks noChangeArrowheads="1"/>
        </cdr:cNvSpPr>
      </cdr:nvSpPr>
      <cdr:spPr>
        <a:xfrm>
          <a:off x="2228850" y="171450"/>
          <a:ext cx="1657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Bayesian average prediction 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0.61975</cdr:x>
      <cdr:y>0.1195</cdr:y>
    </cdr:from>
    <cdr:to>
      <cdr:x>0.949</cdr:x>
      <cdr:y>0.1775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43175" y="342900"/>
          <a:ext cx="1352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Worst case </a:t>
          </a:r>
          <a:r>
            <a:rPr lang="en-US" cap="none" sz="800" b="1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0.61975</cdr:x>
      <cdr:y>0.1775</cdr:y>
    </cdr:from>
    <cdr:to>
      <cdr:x>0.949</cdr:x>
      <cdr:y>0.234</cdr:y>
    </cdr:to>
    <cdr:sp>
      <cdr:nvSpPr>
        <cdr:cNvPr id="5" name="Text Box 5"/>
        <cdr:cNvSpPr txBox="1">
          <a:spLocks noChangeArrowheads="1"/>
        </cdr:cNvSpPr>
      </cdr:nvSpPr>
      <cdr:spPr>
        <a:xfrm>
          <a:off x="2543175" y="514350"/>
          <a:ext cx="1352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Target count  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—</a:t>
          </a:r>
        </a:p>
      </cdr:txBody>
    </cdr:sp>
  </cdr:relSizeAnchor>
  <cdr:relSizeAnchor xmlns:cdr="http://schemas.openxmlformats.org/drawingml/2006/chartDrawing">
    <cdr:from>
      <cdr:x>0.29125</cdr:x>
      <cdr:y>0.00175</cdr:y>
    </cdr:from>
    <cdr:to>
      <cdr:x>0.78225</cdr:x>
      <cdr:y>0.06225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90625" y="0"/>
          <a:ext cx="2019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Track-shot rule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(multiple samples)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52</xdr:row>
      <xdr:rowOff>19050</xdr:rowOff>
    </xdr:from>
    <xdr:to>
      <xdr:col>6</xdr:col>
      <xdr:colOff>114300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85725" y="7991475"/>
        <a:ext cx="3448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52</xdr:row>
      <xdr:rowOff>19050</xdr:rowOff>
    </xdr:from>
    <xdr:to>
      <xdr:col>13</xdr:col>
      <xdr:colOff>447675</xdr:colOff>
      <xdr:row>69</xdr:row>
      <xdr:rowOff>133350</xdr:rowOff>
    </xdr:to>
    <xdr:graphicFrame>
      <xdr:nvGraphicFramePr>
        <xdr:cNvPr id="2" name="Chart 2"/>
        <xdr:cNvGraphicFramePr/>
      </xdr:nvGraphicFramePr>
      <xdr:xfrm>
        <a:off x="3638550" y="7991475"/>
        <a:ext cx="4105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457200</xdr:colOff>
      <xdr:row>2</xdr:row>
      <xdr:rowOff>76200</xdr:rowOff>
    </xdr:from>
    <xdr:to>
      <xdr:col>13</xdr:col>
      <xdr:colOff>438150</xdr:colOff>
      <xdr:row>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762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152400</xdr:rowOff>
    </xdr:from>
    <xdr:to>
      <xdr:col>1</xdr:col>
      <xdr:colOff>638175</xdr:colOff>
      <xdr:row>6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9050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windowProtection="1" tabSelected="1" zoomScalePageLayoutView="0" workbookViewId="0" topLeftCell="A1">
      <selection activeCell="J24" sqref="J24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8.8515625" style="0" customWidth="1"/>
    <col min="4" max="4" width="11.57421875" style="0" customWidth="1"/>
    <col min="5" max="5" width="9.8515625" style="0" customWidth="1"/>
    <col min="6" max="6" width="9.421875" style="0" customWidth="1"/>
    <col min="7" max="7" width="5.00390625" style="0" customWidth="1"/>
    <col min="8" max="8" width="10.421875" style="0" customWidth="1"/>
    <col min="9" max="9" width="7.140625" style="0" customWidth="1"/>
    <col min="10" max="10" width="11.421875" style="0" customWidth="1"/>
    <col min="11" max="11" width="7.57421875" style="0" customWidth="1"/>
    <col min="12" max="12" width="6.57421875" style="0" customWidth="1"/>
    <col min="13" max="13" width="10.00390625" style="0" customWidth="1"/>
    <col min="14" max="14" width="7.421875" style="0" customWidth="1"/>
    <col min="15" max="15" width="0.85546875" style="0" customWidth="1"/>
    <col min="16" max="16" width="8.28125" style="0" hidden="1" customWidth="1"/>
    <col min="17" max="17" width="10.140625" style="0" hidden="1" customWidth="1"/>
    <col min="18" max="19" width="9.140625" style="0" hidden="1" customWidth="1"/>
  </cols>
  <sheetData>
    <row r="1" spans="1:15" ht="3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2.75">
      <c r="A2" s="14"/>
      <c r="B2" s="15" t="s">
        <v>0</v>
      </c>
      <c r="C2" s="7"/>
      <c r="D2" s="7"/>
      <c r="E2" s="7"/>
      <c r="F2" s="7"/>
      <c r="G2" s="7"/>
      <c r="H2" s="6"/>
      <c r="I2" s="7"/>
      <c r="J2" s="7"/>
      <c r="K2" s="7"/>
      <c r="L2" s="7"/>
      <c r="M2" s="7"/>
      <c r="N2" s="53" t="s">
        <v>1</v>
      </c>
      <c r="O2" s="16"/>
    </row>
    <row r="3" spans="1:15" ht="7.5" customHeight="1">
      <c r="A3" s="1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6"/>
    </row>
    <row r="4" spans="1:15" ht="3.75" customHeight="1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/>
    </row>
    <row r="5" spans="1:15" ht="18" customHeight="1">
      <c r="A5" s="14"/>
      <c r="B5" s="7"/>
      <c r="C5" s="7"/>
      <c r="D5" s="7"/>
      <c r="E5" s="7"/>
      <c r="F5" s="7"/>
      <c r="G5" s="58" t="s">
        <v>50</v>
      </c>
      <c r="H5" s="7"/>
      <c r="I5" s="7"/>
      <c r="J5" s="7"/>
      <c r="K5" s="7"/>
      <c r="L5" s="7"/>
      <c r="M5" s="7"/>
      <c r="N5" s="7"/>
      <c r="O5" s="16"/>
    </row>
    <row r="6" spans="1:15" ht="18" customHeight="1">
      <c r="A6" s="14"/>
      <c r="B6" s="7"/>
      <c r="C6" s="7"/>
      <c r="D6" s="7"/>
      <c r="E6" s="7"/>
      <c r="F6" s="7"/>
      <c r="G6" s="58" t="s">
        <v>51</v>
      </c>
      <c r="H6" s="7"/>
      <c r="I6" s="7"/>
      <c r="J6" s="7"/>
      <c r="K6" s="7"/>
      <c r="L6" s="7"/>
      <c r="M6" s="7"/>
      <c r="N6" s="7"/>
      <c r="O6" s="16"/>
    </row>
    <row r="7" spans="1:15" ht="17.25" customHeight="1">
      <c r="A7" s="14"/>
      <c r="B7" s="7"/>
      <c r="C7" s="7"/>
      <c r="D7" s="7"/>
      <c r="E7" s="7"/>
      <c r="F7" s="7"/>
      <c r="G7" s="17" t="s">
        <v>52</v>
      </c>
      <c r="H7" s="7"/>
      <c r="I7" s="7"/>
      <c r="J7" s="7"/>
      <c r="K7" s="7"/>
      <c r="L7" s="7"/>
      <c r="M7" s="7"/>
      <c r="N7" s="7"/>
      <c r="O7" s="16"/>
    </row>
    <row r="8" spans="1:15" ht="6" customHeight="1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6"/>
    </row>
    <row r="9" spans="1:15" ht="12" customHeight="1">
      <c r="A9" s="14"/>
      <c r="B9" s="7"/>
      <c r="C9" s="7" t="s">
        <v>41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6"/>
    </row>
    <row r="10" spans="1:15" ht="12" customHeight="1">
      <c r="A10" s="14"/>
      <c r="B10" s="7"/>
      <c r="C10" s="7" t="s">
        <v>38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</row>
    <row r="11" spans="1:15" ht="12" customHeight="1">
      <c r="A11" s="14"/>
      <c r="B11" s="7"/>
      <c r="C11" s="7" t="s">
        <v>39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6"/>
    </row>
    <row r="12" spans="1:15" ht="12" customHeight="1">
      <c r="A12" s="14"/>
      <c r="B12" s="7"/>
      <c r="C12" s="7" t="s">
        <v>53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</row>
    <row r="13" spans="1:15" ht="12" customHeight="1">
      <c r="A13" s="14"/>
      <c r="B13" s="7"/>
      <c r="C13" s="7" t="s">
        <v>40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6"/>
    </row>
    <row r="14" spans="1:15" ht="12" customHeight="1">
      <c r="A14" s="14"/>
      <c r="B14" s="7"/>
      <c r="C14" s="18" t="s">
        <v>62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</row>
    <row r="15" spans="1:15" ht="10.5" customHeight="1">
      <c r="A15" s="14"/>
      <c r="B15" s="7"/>
      <c r="C15" s="18" t="s">
        <v>61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6"/>
    </row>
    <row r="16" spans="1:15" ht="6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6"/>
    </row>
    <row r="17" spans="1:15" ht="15.75">
      <c r="A17" s="14"/>
      <c r="B17" s="19" t="s">
        <v>9</v>
      </c>
      <c r="C17" s="19"/>
      <c r="D17" s="20"/>
      <c r="E17" s="20"/>
      <c r="F17" s="20"/>
      <c r="G17" s="7"/>
      <c r="H17" s="19" t="s">
        <v>8</v>
      </c>
      <c r="I17" s="20"/>
      <c r="J17" s="20"/>
      <c r="K17" s="20"/>
      <c r="L17" s="20"/>
      <c r="M17" s="20"/>
      <c r="N17" s="7"/>
      <c r="O17" s="16"/>
    </row>
    <row r="18" spans="1:15" ht="12" customHeight="1">
      <c r="A18" s="14"/>
      <c r="B18" s="60" t="s">
        <v>56</v>
      </c>
      <c r="C18" s="59"/>
      <c r="D18" s="59"/>
      <c r="E18" s="59"/>
      <c r="F18" s="59"/>
      <c r="G18" s="7"/>
      <c r="H18" s="60" t="s">
        <v>58</v>
      </c>
      <c r="I18" s="59"/>
      <c r="J18" s="59"/>
      <c r="K18" s="59"/>
      <c r="L18" s="59"/>
      <c r="M18" s="59"/>
      <c r="N18" s="7"/>
      <c r="O18" s="16"/>
    </row>
    <row r="19" spans="1:15" ht="12" customHeight="1">
      <c r="A19" s="14"/>
      <c r="B19" s="59"/>
      <c r="C19" s="59"/>
      <c r="D19" s="59"/>
      <c r="E19" s="59"/>
      <c r="F19" s="59"/>
      <c r="G19" s="7"/>
      <c r="H19" s="59"/>
      <c r="I19" s="59"/>
      <c r="J19" s="59"/>
      <c r="K19" s="59"/>
      <c r="L19" s="59"/>
      <c r="M19" s="59"/>
      <c r="N19" s="7"/>
      <c r="O19" s="16"/>
    </row>
    <row r="20" spans="1:15" ht="12" customHeight="1">
      <c r="A20" s="14"/>
      <c r="B20" s="59"/>
      <c r="C20" s="59"/>
      <c r="D20" s="59"/>
      <c r="E20" s="59"/>
      <c r="F20" s="59"/>
      <c r="G20" s="7"/>
      <c r="H20" s="59"/>
      <c r="I20" s="59"/>
      <c r="J20" s="59"/>
      <c r="K20" s="59"/>
      <c r="L20" s="59"/>
      <c r="M20" s="59"/>
      <c r="N20" s="7"/>
      <c r="O20" s="16"/>
    </row>
    <row r="21" spans="1:15" ht="12" customHeight="1">
      <c r="A21" s="14"/>
      <c r="B21" s="59"/>
      <c r="C21" s="59"/>
      <c r="D21" s="59"/>
      <c r="E21" s="59"/>
      <c r="F21" s="59"/>
      <c r="G21" s="7"/>
      <c r="H21" s="7" t="s">
        <v>54</v>
      </c>
      <c r="I21" s="7"/>
      <c r="J21" s="7"/>
      <c r="K21" s="7"/>
      <c r="L21" s="7"/>
      <c r="M21" s="40">
        <v>39449</v>
      </c>
      <c r="N21" s="52" t="s">
        <v>11</v>
      </c>
      <c r="O21" s="16"/>
    </row>
    <row r="22" spans="1:15" ht="12" customHeight="1">
      <c r="A22" s="14"/>
      <c r="B22" s="7"/>
      <c r="C22" s="7"/>
      <c r="D22" s="7"/>
      <c r="E22" s="7"/>
      <c r="F22" s="7"/>
      <c r="G22" s="7"/>
      <c r="H22" s="46">
        <f>IF(ISNUMBER(Tseroc),"","Seroconversion unknown -&gt; uninformative intercept in Rule 2")</f>
      </c>
      <c r="I22" s="7"/>
      <c r="J22" s="7"/>
      <c r="K22" s="7"/>
      <c r="L22" s="7"/>
      <c r="M22" s="7"/>
      <c r="N22" s="21">
        <f>IF(ISNUMBER(Tseroc),Tseroc,Datmin-365)</f>
        <v>39449</v>
      </c>
      <c r="O22" s="16"/>
    </row>
    <row r="23" spans="1:19" ht="15.75">
      <c r="A23" s="14"/>
      <c r="B23" s="19" t="s">
        <v>15</v>
      </c>
      <c r="C23" s="20"/>
      <c r="D23" s="20"/>
      <c r="E23" s="20"/>
      <c r="F23" s="20"/>
      <c r="G23" s="7"/>
      <c r="H23" s="19" t="s">
        <v>10</v>
      </c>
      <c r="I23" s="20"/>
      <c r="J23" s="20"/>
      <c r="K23" s="8">
        <f>IF(M42&lt;&gt;N,"&gt;&gt;&gt; Enter exacty one date per result!  ","")&amp;IF(MAX(Dat)&lt;&gt;Tobs,"&gt;&gt;&gt; Current result must be the most recent!","")</f>
      </c>
      <c r="L23" s="8"/>
      <c r="M23" s="20"/>
      <c r="N23" s="20"/>
      <c r="O23" s="16"/>
      <c r="P23" s="2" t="s">
        <v>20</v>
      </c>
      <c r="Q23" s="2" t="s">
        <v>21</v>
      </c>
      <c r="R23" s="2" t="s">
        <v>23</v>
      </c>
      <c r="S23" s="2" t="s">
        <v>24</v>
      </c>
    </row>
    <row r="24" spans="1:19" ht="12" customHeight="1">
      <c r="A24" s="14"/>
      <c r="B24" s="60" t="s">
        <v>57</v>
      </c>
      <c r="C24" s="59"/>
      <c r="D24" s="59"/>
      <c r="E24" s="59"/>
      <c r="F24" s="59"/>
      <c r="G24" s="7"/>
      <c r="H24" s="15" t="s">
        <v>25</v>
      </c>
      <c r="I24" s="7"/>
      <c r="J24" s="41">
        <v>875</v>
      </c>
      <c r="K24" s="54" t="s">
        <v>42</v>
      </c>
      <c r="L24" s="7" t="s">
        <v>13</v>
      </c>
      <c r="M24" s="44">
        <v>40725</v>
      </c>
      <c r="N24" s="52" t="s">
        <v>11</v>
      </c>
      <c r="O24" s="16"/>
      <c r="P24">
        <f aca="true" t="shared" si="0" ref="P24:P41">IF(ISNUMBER(Obs),SQRT(Obs),"")</f>
        <v>29.58039891549808</v>
      </c>
      <c r="Q24">
        <f aca="true" t="shared" si="1" ref="Q24:Q41">IF(AND(ISNUMBER(Dat),ISNUMBER(T0)),Dat/365.25-T0/365.25,"")</f>
        <v>3.4934976043805506</v>
      </c>
      <c r="R24">
        <f aca="true" t="shared" si="2" ref="R24:R41">IF(ISNUMBER(T),T^2,"")</f>
        <v>12.204525511812646</v>
      </c>
      <c r="S24">
        <f aca="true" t="shared" si="3" ref="S24:S41">IF(AND(ISNUMBER(T),ISNUMBER(Y)),T*Y,"")</f>
        <v>103.33905274791358</v>
      </c>
    </row>
    <row r="25" spans="1:15" ht="12" customHeight="1">
      <c r="A25" s="14"/>
      <c r="B25" s="59"/>
      <c r="C25" s="59"/>
      <c r="D25" s="59"/>
      <c r="E25" s="59"/>
      <c r="F25" s="59"/>
      <c r="G25" s="7"/>
      <c r="H25" s="56" t="s">
        <v>55</v>
      </c>
      <c r="I25" s="7"/>
      <c r="J25" s="7"/>
      <c r="K25" s="7"/>
      <c r="L25" s="7"/>
      <c r="M25" s="7"/>
      <c r="N25" s="52"/>
      <c r="O25" s="16"/>
    </row>
    <row r="26" spans="1:19" ht="12" customHeight="1">
      <c r="A26" s="14"/>
      <c r="B26" s="59"/>
      <c r="C26" s="59"/>
      <c r="D26" s="59"/>
      <c r="E26" s="59"/>
      <c r="F26" s="59"/>
      <c r="G26" s="7"/>
      <c r="H26" s="15" t="s">
        <v>12</v>
      </c>
      <c r="I26" s="7"/>
      <c r="J26" s="41">
        <v>1050</v>
      </c>
      <c r="K26" s="54" t="s">
        <v>42</v>
      </c>
      <c r="L26" s="7" t="s">
        <v>14</v>
      </c>
      <c r="M26" s="44">
        <v>40533</v>
      </c>
      <c r="N26" s="52" t="s">
        <v>11</v>
      </c>
      <c r="O26" s="16"/>
      <c r="P26">
        <f t="shared" si="0"/>
        <v>32.4037034920393</v>
      </c>
      <c r="Q26">
        <f t="shared" si="1"/>
        <v>2.9678302532511935</v>
      </c>
      <c r="R26">
        <f t="shared" si="2"/>
        <v>8.808016412113044</v>
      </c>
      <c r="S26">
        <f t="shared" si="3"/>
        <v>96.16869154105558</v>
      </c>
    </row>
    <row r="27" spans="1:19" ht="12" customHeight="1">
      <c r="A27" s="14"/>
      <c r="B27" s="7"/>
      <c r="C27" s="7"/>
      <c r="D27" s="7"/>
      <c r="E27" s="7"/>
      <c r="F27" s="7"/>
      <c r="G27" s="7"/>
      <c r="H27" s="56" t="s">
        <v>43</v>
      </c>
      <c r="I27" s="7"/>
      <c r="J27" s="41">
        <v>1000</v>
      </c>
      <c r="K27" s="54" t="str">
        <f aca="true" t="shared" si="4" ref="K27:K41">IF(ISNUMBER(J27),"   ''","")</f>
        <v>   ''</v>
      </c>
      <c r="L27" s="23"/>
      <c r="M27" s="44">
        <v>40440</v>
      </c>
      <c r="N27" s="52" t="str">
        <f aca="true" t="shared" si="5" ref="N27:N41">IF(ISNUMBER(M27),"   ''","")</f>
        <v>   ''</v>
      </c>
      <c r="O27" s="16"/>
      <c r="P27">
        <f t="shared" si="0"/>
        <v>31.622776601683793</v>
      </c>
      <c r="Q27">
        <f t="shared" si="1"/>
        <v>2.713210130047912</v>
      </c>
      <c r="R27">
        <f t="shared" si="2"/>
        <v>7.361509209794608</v>
      </c>
      <c r="S27">
        <f t="shared" si="3"/>
        <v>85.79923781593055</v>
      </c>
    </row>
    <row r="28" spans="1:19" ht="12.75" customHeight="1">
      <c r="A28" s="14"/>
      <c r="B28" s="19" t="s">
        <v>22</v>
      </c>
      <c r="C28" s="20"/>
      <c r="D28" s="20"/>
      <c r="E28" s="20"/>
      <c r="F28" s="20"/>
      <c r="G28" s="7"/>
      <c r="H28" s="7"/>
      <c r="I28" s="7"/>
      <c r="J28" s="41">
        <v>750</v>
      </c>
      <c r="K28" s="54" t="str">
        <f t="shared" si="4"/>
        <v>   ''</v>
      </c>
      <c r="L28" s="7"/>
      <c r="M28" s="44">
        <v>40331</v>
      </c>
      <c r="N28" s="52" t="str">
        <f t="shared" si="5"/>
        <v>   ''</v>
      </c>
      <c r="O28" s="16"/>
      <c r="P28">
        <f t="shared" si="0"/>
        <v>27.386127875258307</v>
      </c>
      <c r="Q28">
        <f t="shared" si="1"/>
        <v>2.4147843942505034</v>
      </c>
      <c r="R28">
        <f t="shared" si="2"/>
        <v>5.83118367071577</v>
      </c>
      <c r="S28">
        <f t="shared" si="3"/>
        <v>66.13159421212245</v>
      </c>
    </row>
    <row r="29" spans="1:19" ht="12" customHeight="1">
      <c r="A29" s="14"/>
      <c r="B29" s="15" t="s">
        <v>18</v>
      </c>
      <c r="C29" s="7"/>
      <c r="D29" s="41">
        <v>350</v>
      </c>
      <c r="E29" s="54" t="s">
        <v>42</v>
      </c>
      <c r="F29" s="24">
        <f>SQRT(Target)</f>
        <v>18.708286933869708</v>
      </c>
      <c r="G29" s="7"/>
      <c r="H29" s="7"/>
      <c r="I29" s="7"/>
      <c r="J29" s="41">
        <v>835</v>
      </c>
      <c r="K29" s="54" t="str">
        <f t="shared" si="4"/>
        <v>   ''</v>
      </c>
      <c r="L29" s="7"/>
      <c r="M29" s="44">
        <v>40238</v>
      </c>
      <c r="N29" s="52" t="str">
        <f t="shared" si="5"/>
        <v>   ''</v>
      </c>
      <c r="O29" s="16"/>
      <c r="P29">
        <f t="shared" si="0"/>
        <v>28.89636655359978</v>
      </c>
      <c r="Q29">
        <f t="shared" si="1"/>
        <v>2.160164271047222</v>
      </c>
      <c r="R29">
        <f t="shared" si="2"/>
        <v>4.666309677908976</v>
      </c>
      <c r="S29">
        <f t="shared" si="3"/>
        <v>62.4208985921702</v>
      </c>
    </row>
    <row r="30" spans="1:19" ht="12" customHeight="1">
      <c r="A30" s="14"/>
      <c r="B30" s="56" t="s">
        <v>35</v>
      </c>
      <c r="C30" s="7"/>
      <c r="D30" s="7"/>
      <c r="E30" s="18"/>
      <c r="F30" s="24"/>
      <c r="G30" s="7"/>
      <c r="H30" s="7"/>
      <c r="I30" s="7"/>
      <c r="J30" s="41">
        <v>1220</v>
      </c>
      <c r="K30" s="54" t="str">
        <f t="shared" si="4"/>
        <v>   ''</v>
      </c>
      <c r="L30" s="7"/>
      <c r="M30" s="44">
        <v>39820</v>
      </c>
      <c r="N30" s="52" t="str">
        <f t="shared" si="5"/>
        <v>   ''</v>
      </c>
      <c r="O30" s="16"/>
      <c r="P30">
        <f t="shared" si="0"/>
        <v>34.92849839314596</v>
      </c>
      <c r="Q30">
        <f t="shared" si="1"/>
        <v>1.015742642025998</v>
      </c>
      <c r="R30">
        <f t="shared" si="2"/>
        <v>1.031733114829955</v>
      </c>
      <c r="S30">
        <f t="shared" si="3"/>
        <v>35.4783652398549</v>
      </c>
    </row>
    <row r="31" spans="1:19" ht="12" customHeight="1">
      <c r="A31" s="14"/>
      <c r="B31" s="15" t="s">
        <v>19</v>
      </c>
      <c r="C31" s="7"/>
      <c r="D31" s="45">
        <v>0.05</v>
      </c>
      <c r="E31" s="18"/>
      <c r="F31" s="24">
        <f>-NORMSINV(P)</f>
        <v>1.6448536269514742</v>
      </c>
      <c r="G31" s="7"/>
      <c r="H31" s="7"/>
      <c r="I31" s="7"/>
      <c r="J31" s="41"/>
      <c r="K31" s="54">
        <f t="shared" si="4"/>
      </c>
      <c r="L31" s="7"/>
      <c r="M31" s="41"/>
      <c r="N31" s="52">
        <f t="shared" si="5"/>
      </c>
      <c r="O31" s="16"/>
      <c r="P31">
        <f t="shared" si="0"/>
      </c>
      <c r="Q31">
        <f t="shared" si="1"/>
      </c>
      <c r="R31">
        <f t="shared" si="2"/>
      </c>
      <c r="S31">
        <f t="shared" si="3"/>
      </c>
    </row>
    <row r="32" spans="1:19" ht="12" customHeight="1">
      <c r="A32" s="14"/>
      <c r="B32" s="56" t="s">
        <v>36</v>
      </c>
      <c r="C32" s="7"/>
      <c r="D32" s="7"/>
      <c r="E32" s="18"/>
      <c r="F32" s="24"/>
      <c r="G32" s="7"/>
      <c r="H32" s="7"/>
      <c r="I32" s="7"/>
      <c r="J32" s="41"/>
      <c r="K32" s="54">
        <f t="shared" si="4"/>
      </c>
      <c r="L32" s="7"/>
      <c r="M32" s="41"/>
      <c r="N32" s="52">
        <f t="shared" si="5"/>
      </c>
      <c r="O32" s="16"/>
      <c r="P32">
        <f t="shared" si="0"/>
      </c>
      <c r="Q32">
        <f t="shared" si="1"/>
      </c>
      <c r="R32">
        <f t="shared" si="2"/>
      </c>
      <c r="S32">
        <f t="shared" si="3"/>
      </c>
    </row>
    <row r="33" spans="1:19" ht="12" customHeight="1">
      <c r="A33" s="14"/>
      <c r="B33" s="9">
        <f>IF(Yobs&lt;=Yart,"&gt;&gt;&gt; Current result is below Target!","")</f>
      </c>
      <c r="C33" s="7"/>
      <c r="D33" s="7"/>
      <c r="E33" s="18"/>
      <c r="F33" s="24"/>
      <c r="G33" s="7"/>
      <c r="H33" s="7"/>
      <c r="I33" s="7"/>
      <c r="J33" s="41"/>
      <c r="K33" s="54">
        <f t="shared" si="4"/>
      </c>
      <c r="L33" s="7"/>
      <c r="M33" s="41"/>
      <c r="N33" s="52">
        <f t="shared" si="5"/>
      </c>
      <c r="O33" s="16"/>
      <c r="P33">
        <f t="shared" si="0"/>
      </c>
      <c r="Q33">
        <f t="shared" si="1"/>
      </c>
      <c r="R33">
        <f t="shared" si="2"/>
      </c>
      <c r="S33">
        <f t="shared" si="3"/>
      </c>
    </row>
    <row r="34" spans="1:19" ht="12" customHeight="1">
      <c r="A34" s="14"/>
      <c r="B34" s="9">
        <f>IF(P&gt;0.5,"&gt;&gt;&gt; Probability over 50% does not make sense!","")</f>
      </c>
      <c r="C34" s="7"/>
      <c r="D34" s="7"/>
      <c r="E34" s="18"/>
      <c r="F34" s="24"/>
      <c r="G34" s="7"/>
      <c r="H34" s="7"/>
      <c r="I34" s="7"/>
      <c r="J34" s="41"/>
      <c r="K34" s="54">
        <f t="shared" si="4"/>
      </c>
      <c r="L34" s="7"/>
      <c r="M34" s="41"/>
      <c r="N34" s="52">
        <f t="shared" si="5"/>
      </c>
      <c r="O34" s="16"/>
      <c r="P34">
        <f t="shared" si="0"/>
      </c>
      <c r="Q34">
        <f t="shared" si="1"/>
      </c>
      <c r="R34">
        <f t="shared" si="2"/>
      </c>
      <c r="S34">
        <f t="shared" si="3"/>
      </c>
    </row>
    <row r="35" spans="1:19" ht="12" customHeight="1">
      <c r="A35" s="14"/>
      <c r="B35" s="19" t="s">
        <v>5</v>
      </c>
      <c r="C35" s="19"/>
      <c r="D35" s="19"/>
      <c r="E35" s="25"/>
      <c r="F35" s="26"/>
      <c r="G35" s="7"/>
      <c r="H35" s="7"/>
      <c r="I35" s="7"/>
      <c r="J35" s="41"/>
      <c r="K35" s="54">
        <f t="shared" si="4"/>
      </c>
      <c r="L35" s="7"/>
      <c r="M35" s="41"/>
      <c r="N35" s="52">
        <f t="shared" si="5"/>
      </c>
      <c r="O35" s="16"/>
      <c r="P35">
        <f t="shared" si="0"/>
      </c>
      <c r="Q35">
        <f t="shared" si="1"/>
      </c>
      <c r="R35">
        <f t="shared" si="2"/>
      </c>
      <c r="S35">
        <f t="shared" si="3"/>
      </c>
    </row>
    <row r="36" spans="1:19" ht="12" customHeight="1">
      <c r="A36" s="14"/>
      <c r="B36" s="7" t="s">
        <v>2</v>
      </c>
      <c r="C36" s="7"/>
      <c r="D36" s="22">
        <v>1.8</v>
      </c>
      <c r="E36" s="52" t="s">
        <v>48</v>
      </c>
      <c r="F36" s="27">
        <f>IF(Yobs&lt;=Yart,#N/A,Beta0)</f>
        <v>1.8</v>
      </c>
      <c r="G36" s="7"/>
      <c r="H36" s="7"/>
      <c r="I36" s="7"/>
      <c r="J36" s="41"/>
      <c r="K36" s="54">
        <f t="shared" si="4"/>
      </c>
      <c r="L36" s="7"/>
      <c r="M36" s="41"/>
      <c r="N36" s="52">
        <f t="shared" si="5"/>
      </c>
      <c r="O36" s="16"/>
      <c r="P36">
        <f t="shared" si="0"/>
      </c>
      <c r="Q36">
        <f t="shared" si="1"/>
      </c>
      <c r="R36">
        <f t="shared" si="2"/>
      </c>
      <c r="S36">
        <f t="shared" si="3"/>
      </c>
    </row>
    <row r="37" spans="1:19" s="1" customFormat="1" ht="12" customHeight="1">
      <c r="A37" s="28"/>
      <c r="B37" s="7" t="s">
        <v>3</v>
      </c>
      <c r="C37" s="7"/>
      <c r="D37" s="22">
        <v>1.2</v>
      </c>
      <c r="E37" s="52" t="s">
        <v>48</v>
      </c>
      <c r="F37" s="24"/>
      <c r="G37" s="10"/>
      <c r="H37" s="10"/>
      <c r="I37" s="10"/>
      <c r="J37" s="42"/>
      <c r="K37" s="54">
        <f t="shared" si="4"/>
      </c>
      <c r="L37" s="29"/>
      <c r="M37" s="42"/>
      <c r="N37" s="52">
        <f t="shared" si="5"/>
      </c>
      <c r="O37" s="30"/>
      <c r="P37">
        <f t="shared" si="0"/>
      </c>
      <c r="Q37">
        <f t="shared" si="1"/>
      </c>
      <c r="R37">
        <f t="shared" si="2"/>
      </c>
      <c r="S37">
        <f t="shared" si="3"/>
      </c>
    </row>
    <row r="38" spans="1:19" s="1" customFormat="1" ht="12" customHeight="1">
      <c r="A38" s="28"/>
      <c r="B38" s="7" t="s">
        <v>6</v>
      </c>
      <c r="C38" s="7"/>
      <c r="D38" s="22">
        <v>30</v>
      </c>
      <c r="E38" s="52" t="s">
        <v>49</v>
      </c>
      <c r="F38" s="31"/>
      <c r="G38" s="10"/>
      <c r="H38" s="10"/>
      <c r="I38" s="10"/>
      <c r="J38" s="42"/>
      <c r="K38" s="54">
        <f t="shared" si="4"/>
      </c>
      <c r="L38" s="29"/>
      <c r="M38" s="42"/>
      <c r="N38" s="52">
        <f t="shared" si="5"/>
      </c>
      <c r="O38" s="30"/>
      <c r="P38">
        <f t="shared" si="0"/>
      </c>
      <c r="Q38">
        <f t="shared" si="1"/>
      </c>
      <c r="R38">
        <f t="shared" si="2"/>
      </c>
      <c r="S38">
        <f t="shared" si="3"/>
      </c>
    </row>
    <row r="39" spans="1:19" s="1" customFormat="1" ht="12" customHeight="1">
      <c r="A39" s="28"/>
      <c r="B39" s="7" t="s">
        <v>7</v>
      </c>
      <c r="C39" s="7"/>
      <c r="D39" s="22">
        <v>5</v>
      </c>
      <c r="E39" s="52" t="s">
        <v>49</v>
      </c>
      <c r="F39" s="27">
        <f>IF(ISNUMBER(Tseroc),Sa0,9999)</f>
        <v>5</v>
      </c>
      <c r="G39" s="10"/>
      <c r="H39" s="10"/>
      <c r="I39" s="10"/>
      <c r="J39" s="42"/>
      <c r="K39" s="54">
        <f t="shared" si="4"/>
      </c>
      <c r="L39" s="29"/>
      <c r="M39" s="42"/>
      <c r="N39" s="52">
        <f t="shared" si="5"/>
      </c>
      <c r="O39" s="30"/>
      <c r="P39">
        <f t="shared" si="0"/>
      </c>
      <c r="Q39">
        <f t="shared" si="1"/>
      </c>
      <c r="R39">
        <f t="shared" si="2"/>
      </c>
      <c r="S39">
        <f t="shared" si="3"/>
      </c>
    </row>
    <row r="40" spans="1:19" s="1" customFormat="1" ht="12" customHeight="1">
      <c r="A40" s="28"/>
      <c r="B40" s="7" t="s">
        <v>4</v>
      </c>
      <c r="C40" s="7"/>
      <c r="D40" s="22">
        <v>4</v>
      </c>
      <c r="E40" s="52" t="s">
        <v>49</v>
      </c>
      <c r="F40" s="24"/>
      <c r="G40" s="10"/>
      <c r="H40" s="10"/>
      <c r="I40" s="10"/>
      <c r="J40" s="42"/>
      <c r="K40" s="54">
        <f t="shared" si="4"/>
      </c>
      <c r="L40" s="29"/>
      <c r="M40" s="42"/>
      <c r="N40" s="52">
        <f t="shared" si="5"/>
      </c>
      <c r="O40" s="30"/>
      <c r="P40">
        <f t="shared" si="0"/>
      </c>
      <c r="Q40">
        <f t="shared" si="1"/>
      </c>
      <c r="R40">
        <f t="shared" si="2"/>
      </c>
      <c r="S40">
        <f t="shared" si="3"/>
      </c>
    </row>
    <row r="41" spans="1:19" ht="12" customHeight="1">
      <c r="A41" s="14"/>
      <c r="B41" s="32">
        <f>IF(OR(Beta0&lt;&gt;1.8,Sb&lt;&gt;1.2,Alpha&lt;&gt;30,Sa0&lt;&gt;5,Se&lt;&gt;4),"WARNING: Parameter values have been modified!","")</f>
      </c>
      <c r="C41" s="7"/>
      <c r="D41" s="7"/>
      <c r="E41" s="7"/>
      <c r="F41" s="7"/>
      <c r="G41" s="7"/>
      <c r="H41" s="7"/>
      <c r="I41" s="7"/>
      <c r="J41" s="43"/>
      <c r="K41" s="54">
        <f t="shared" si="4"/>
      </c>
      <c r="L41" s="7"/>
      <c r="M41" s="43"/>
      <c r="N41" s="52">
        <f t="shared" si="5"/>
      </c>
      <c r="O41" s="16"/>
      <c r="P41">
        <f t="shared" si="0"/>
      </c>
      <c r="Q41">
        <f t="shared" si="1"/>
      </c>
      <c r="R41">
        <f t="shared" si="2"/>
      </c>
      <c r="S41">
        <f t="shared" si="3"/>
      </c>
    </row>
    <row r="42" spans="1:19" ht="6" customHeight="1">
      <c r="A42" s="14"/>
      <c r="B42" s="7"/>
      <c r="C42" s="7"/>
      <c r="D42" s="7"/>
      <c r="E42" s="7"/>
      <c r="F42" s="7"/>
      <c r="G42" s="7"/>
      <c r="H42" s="24"/>
      <c r="I42" s="24"/>
      <c r="J42" s="24">
        <f>COUNT(Obs)</f>
        <v>6</v>
      </c>
      <c r="K42" s="24"/>
      <c r="L42" s="33">
        <f>DATE(YEAR(MIN(Dat)),1,1)</f>
        <v>39814</v>
      </c>
      <c r="M42" s="24">
        <f>COUNT(Dat)</f>
        <v>6</v>
      </c>
      <c r="N42" s="24"/>
      <c r="O42" s="16"/>
      <c r="P42">
        <f>SUM(Y)</f>
        <v>184.81787183122523</v>
      </c>
      <c r="Q42">
        <f>SUM(T)</f>
        <v>14.76522929500338</v>
      </c>
      <c r="R42">
        <f>SUM(T_2)</f>
        <v>39.903277597175</v>
      </c>
      <c r="S42">
        <f>SUM(TY)</f>
        <v>449.3378401490472</v>
      </c>
    </row>
    <row r="43" spans="1:15" ht="15.75">
      <c r="A43" s="14"/>
      <c r="B43" s="57" t="s">
        <v>44</v>
      </c>
      <c r="C43" s="19"/>
      <c r="D43" s="19"/>
      <c r="E43" s="19"/>
      <c r="F43" s="19"/>
      <c r="G43" s="10"/>
      <c r="H43" s="57" t="s">
        <v>45</v>
      </c>
      <c r="I43" s="20"/>
      <c r="J43" s="20"/>
      <c r="K43" s="20"/>
      <c r="L43" s="20"/>
      <c r="M43" s="20"/>
      <c r="N43" s="20"/>
      <c r="O43" s="16"/>
    </row>
    <row r="44" spans="1:15" ht="15.75">
      <c r="A44" s="14"/>
      <c r="B44" s="7" t="s">
        <v>37</v>
      </c>
      <c r="C44" s="10"/>
      <c r="D44" s="10"/>
      <c r="E44" s="10"/>
      <c r="F44" s="10"/>
      <c r="G44" s="10"/>
      <c r="H44" s="7" t="s">
        <v>16</v>
      </c>
      <c r="I44" s="7"/>
      <c r="J44" s="34">
        <f>(Beta*Se^4+Sa^2*N*(Beta*Se^2-Sb^2*STY)+Sb^2*(ST*(Alpha*Se^2+Sa^2*SY)-Se^2*STY))/(Se^4+Sa^2*(Se^2*N-Sb^2*ST^2)+Sb^2*(Se^2+Sa^2*N)*ST2)</f>
        <v>1.3383255058119832</v>
      </c>
      <c r="K44" s="52" t="s">
        <v>48</v>
      </c>
      <c r="L44" s="7"/>
      <c r="M44" s="7"/>
      <c r="N44" s="7"/>
      <c r="O44" s="16"/>
    </row>
    <row r="45" spans="1:15" ht="12" customHeight="1">
      <c r="A45" s="14"/>
      <c r="B45" s="7" t="s">
        <v>46</v>
      </c>
      <c r="C45" s="10"/>
      <c r="D45" s="10"/>
      <c r="E45" s="10"/>
      <c r="F45" s="10"/>
      <c r="G45" s="10"/>
      <c r="H45" s="7" t="s">
        <v>17</v>
      </c>
      <c r="I45" s="7"/>
      <c r="J45" s="35">
        <f>((Se^2+Sb^2*ST2)*(Alpha*Se^2+Sa^2*SY)+Sa^2*ST*(Beta*Se^2-Sb^2*STY))/(Se^4+Sa^2*(Se^2*N-Sb^2*ST^2)+Sb^2*(Se^2+Sa^2*N)*ST2)</f>
        <v>33.701589577694335</v>
      </c>
      <c r="K45" s="52" t="s">
        <v>49</v>
      </c>
      <c r="L45" s="24">
        <f>Ai-Bi*(Tobs-T0)/365.25</f>
        <v>29.026152629258767</v>
      </c>
      <c r="M45" s="7"/>
      <c r="N45" s="7"/>
      <c r="O45" s="16"/>
    </row>
    <row r="46" spans="1:15" ht="15">
      <c r="A46" s="14"/>
      <c r="B46" s="55" t="s">
        <v>47</v>
      </c>
      <c r="C46" s="7"/>
      <c r="D46" s="7"/>
      <c r="E46" s="7"/>
      <c r="F46" s="24"/>
      <c r="G46" s="7"/>
      <c r="H46" s="55" t="s">
        <v>47</v>
      </c>
      <c r="I46" s="7"/>
      <c r="J46" s="7"/>
      <c r="K46" s="7"/>
      <c r="L46" s="7"/>
      <c r="M46" s="7"/>
      <c r="N46" s="7"/>
      <c r="O46" s="16"/>
    </row>
    <row r="47" spans="1:15" ht="15">
      <c r="A47" s="14"/>
      <c r="B47" s="55" t="str">
        <f>"having at least "&amp;INT(100*P)&amp;"% chance (i.e. 1 in "&amp;INT(1/P+0.5)&amp;")"</f>
        <v>having at least 5% chance (i.e. 1 in 20)</v>
      </c>
      <c r="C47" s="7"/>
      <c r="D47" s="7"/>
      <c r="E47" s="7"/>
      <c r="F47" s="24"/>
      <c r="G47" s="7"/>
      <c r="H47" s="55" t="str">
        <f>"having at least "&amp;INT(100*P)&amp;"% chance (i.e. 1 in "&amp;INT(1/P+0.5)&amp;")"</f>
        <v>having at least 5% chance (i.e. 1 in 20)</v>
      </c>
      <c r="I47" s="7"/>
      <c r="J47" s="7"/>
      <c r="K47" s="7"/>
      <c r="L47" s="7"/>
      <c r="M47" s="7"/>
      <c r="N47" s="7"/>
      <c r="O47" s="16"/>
    </row>
    <row r="48" spans="1:15" ht="15">
      <c r="A48" s="14"/>
      <c r="B48" s="55" t="str">
        <f>"to reach a count of "&amp;Target&amp;" x 10°/L:"</f>
        <v>to reach a count of 350 x 10°/L:</v>
      </c>
      <c r="C48" s="7"/>
      <c r="D48" s="7"/>
      <c r="E48" s="7"/>
      <c r="F48" s="24"/>
      <c r="G48" s="7"/>
      <c r="H48" s="55" t="str">
        <f>"to reach a count of "&amp;Target&amp;" x 10°/L:"</f>
        <v>to reach a count of 350 x 10°/L:</v>
      </c>
      <c r="I48" s="7"/>
      <c r="J48" s="7"/>
      <c r="K48" s="7"/>
      <c r="L48" s="7"/>
      <c r="M48" s="7"/>
      <c r="N48" s="7"/>
      <c r="O48" s="16"/>
    </row>
    <row r="49" spans="1:15" ht="18.75">
      <c r="A49" s="14"/>
      <c r="B49" s="47" t="s">
        <v>59</v>
      </c>
      <c r="C49" s="48"/>
      <c r="D49" s="49">
        <f>IF(Det1&gt;0,Tobs+365.25*(-Beta*(Yart-Yobs)-SQRT(Zp^2*(Sb^2*(Yart-Yobs)^2+2*Se^2*(Beta^2-Zp^2*Sb^2))))/(Beta^2-Zp^2*Sb^2),"#N/E")</f>
        <v>41016.23584821751</v>
      </c>
      <c r="E49" s="50"/>
      <c r="F49" s="24">
        <f>Zp^2*(Sb^2*(Yart-Yobs)^2+2*Se^2*(Beta^2-Zp^2*Sb^2))</f>
        <v>403.72286329806667</v>
      </c>
      <c r="G49" s="7"/>
      <c r="H49" s="47" t="s">
        <v>60</v>
      </c>
      <c r="I49" s="48"/>
      <c r="J49" s="51">
        <f>IF(Det2&gt;0,Tobs+365.25*(-Bi*(Yart-Ypred)-SQRT(Zp^2*(Sb^2*(Yart-Ypred)^2+(1+1/N)*Se^2*(Bi^2-Zp^2*Sb^2))))/(Bi^2-Zp^2*Sb^2),"#N/E")</f>
        <v>41376.46559298977</v>
      </c>
      <c r="K49" s="50"/>
      <c r="L49" s="24">
        <f>Zp^2*(Sb^2*(Yart-Ypred)^2+(1+1/N)*Se^2*(Bi^2-Zp^2*Sb^2))</f>
        <v>308.45676146212924</v>
      </c>
      <c r="M49" s="7"/>
      <c r="N49" s="7"/>
      <c r="O49" s="16"/>
    </row>
    <row r="50" spans="1:15" ht="12.75">
      <c r="A50" s="14"/>
      <c r="B50" s="36">
        <f>IF(Tnext1&lt;Tobs,IF(Tnext2="#N/E","&gt;&gt;&gt; Past date! From now on, recheck on a frequent basis",IF(Tnext2&lt;Tobs,"&gt;&gt;&gt; Past date! From now on, recheck at a frequent rate","&gt;&gt;&gt; Past date! Follow Rule 2")),"")</f>
      </c>
      <c r="C50" s="7"/>
      <c r="D50" s="7"/>
      <c r="E50" s="7"/>
      <c r="F50" s="7"/>
      <c r="G50" s="7"/>
      <c r="H50" s="36">
        <f>IF(Tnext2&lt;Tobs,IF(Tnext1="#N/E","&gt;&gt;&gt; Past date! From now on, recheck on a frequent basis",IF(Tnext1&lt;Tobs,"&gt;&gt;&gt; Past date! From now on, recheck at a frequent rate","&gt;&gt;&gt; Past date! Follow Rule 2")),"")</f>
      </c>
      <c r="I50" s="7"/>
      <c r="J50" s="7"/>
      <c r="K50" s="7"/>
      <c r="L50" s="7"/>
      <c r="M50" s="7"/>
      <c r="N50" s="7"/>
      <c r="O50" s="16"/>
    </row>
    <row r="51" spans="1:15" ht="12.75">
      <c r="A51" s="14"/>
      <c r="B51" s="9">
        <f>IF(ISNA(Tnext1),"&gt;&gt;&gt; The Rule cannot be applied on a result below target",IF(Tnext1="#N/E","&gt;&gt;&gt; No calculation possible with Rule 1",""))</f>
      </c>
      <c r="C51" s="7"/>
      <c r="D51" s="7"/>
      <c r="E51" s="7"/>
      <c r="F51" s="7"/>
      <c r="G51" s="7"/>
      <c r="H51" s="9">
        <f>IF(ISNA(Tnext2),"&gt;&gt;&gt; The Rule cannot be applied on a result below target",IF(Tnext2="#N/E","&gt;&gt;&gt; No calculation possible with Rule 2",""))</f>
      </c>
      <c r="I51" s="7"/>
      <c r="J51" s="7"/>
      <c r="K51" s="7"/>
      <c r="L51" s="7"/>
      <c r="M51" s="7"/>
      <c r="N51" s="7"/>
      <c r="O51" s="16"/>
    </row>
    <row r="52" spans="1:15" ht="6" customHeight="1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6"/>
    </row>
    <row r="53" spans="1:15" ht="12.7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6"/>
    </row>
    <row r="54" spans="1:15" ht="12.7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6"/>
    </row>
    <row r="55" spans="1:15" ht="12.75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6"/>
    </row>
    <row r="56" spans="1:15" ht="12.75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6"/>
    </row>
    <row r="57" spans="1:15" s="1" customFormat="1" ht="15.75">
      <c r="A57" s="28"/>
      <c r="B57" s="29"/>
      <c r="C57" s="29"/>
      <c r="D57" s="29"/>
      <c r="E57" s="29"/>
      <c r="F57" s="29"/>
      <c r="G57" s="29"/>
      <c r="H57" s="29"/>
      <c r="I57" s="10"/>
      <c r="J57" s="29"/>
      <c r="K57" s="29"/>
      <c r="L57" s="29"/>
      <c r="M57" s="29"/>
      <c r="N57" s="29"/>
      <c r="O57" s="30"/>
    </row>
    <row r="58" spans="1:15" ht="12.75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6"/>
    </row>
    <row r="59" spans="1:15" ht="12.75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6"/>
    </row>
    <row r="60" spans="1:15" ht="12.75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6"/>
    </row>
    <row r="61" spans="1:15" ht="12.75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6"/>
    </row>
    <row r="62" spans="1:15" ht="12.75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6"/>
    </row>
    <row r="63" spans="1:15" ht="12.75">
      <c r="A63" s="1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6"/>
    </row>
    <row r="64" spans="1:15" ht="12.75">
      <c r="A64" s="1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6"/>
    </row>
    <row r="65" spans="1:15" ht="12.75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6"/>
    </row>
    <row r="66" spans="1:15" ht="12.75">
      <c r="A66" s="1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6"/>
    </row>
    <row r="67" spans="1:15" ht="12.75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6"/>
    </row>
    <row r="68" spans="1:15" ht="12.75">
      <c r="A68" s="1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6"/>
    </row>
    <row r="69" spans="1:15" ht="12.75">
      <c r="A69" s="1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6"/>
    </row>
    <row r="70" spans="1:15" ht="12.75">
      <c r="A70" s="1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6"/>
    </row>
    <row r="71" spans="1:15" ht="6" customHeight="1" thickBot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</row>
    <row r="72" spans="1:16" ht="12.75" hidden="1">
      <c r="A72" t="s">
        <v>26</v>
      </c>
      <c r="B72" t="s">
        <v>21</v>
      </c>
      <c r="C72" t="s">
        <v>29</v>
      </c>
      <c r="D72" t="s">
        <v>31</v>
      </c>
      <c r="E72" t="s">
        <v>32</v>
      </c>
      <c r="F72" t="s">
        <v>33</v>
      </c>
      <c r="G72" t="s">
        <v>34</v>
      </c>
      <c r="I72" t="s">
        <v>21</v>
      </c>
      <c r="J72" t="s">
        <v>29</v>
      </c>
      <c r="K72" t="s">
        <v>31</v>
      </c>
      <c r="L72" t="s">
        <v>32</v>
      </c>
      <c r="M72" t="s">
        <v>33</v>
      </c>
      <c r="N72" t="s">
        <v>34</v>
      </c>
      <c r="O72" t="s">
        <v>30</v>
      </c>
      <c r="P72" t="s">
        <v>32</v>
      </c>
    </row>
    <row r="73" spans="1:16" ht="12.75" hidden="1">
      <c r="A73" t="s">
        <v>27</v>
      </c>
      <c r="B73" s="4">
        <f>Tobs</f>
        <v>40725</v>
      </c>
      <c r="C73">
        <f>C$77+(B73-B$77)/365</f>
        <v>2011.495890410959</v>
      </c>
      <c r="D73">
        <f>Yart^2</f>
        <v>350.00000000000006</v>
      </c>
      <c r="E73">
        <f>Yobs^2</f>
        <v>875</v>
      </c>
      <c r="I73" s="4">
        <f>Tobs</f>
        <v>40725</v>
      </c>
      <c r="J73">
        <f>J$77+(I73-I$77)/365</f>
        <v>2011.4986301369863</v>
      </c>
      <c r="K73">
        <f>Yart^2</f>
        <v>350.00000000000006</v>
      </c>
      <c r="L73">
        <f>Yobs^2</f>
        <v>875</v>
      </c>
      <c r="O73">
        <f aca="true" t="shared" si="6" ref="O73:O88">IF(ISNUMBER(M26),J$77+(M26-I$77)/365,#N/A)</f>
        <v>2010.972602739726</v>
      </c>
      <c r="P73">
        <f>IF(ISNUMBER(J26),J26,#N/A)</f>
        <v>1050</v>
      </c>
    </row>
    <row r="74" spans="1:16" ht="12.75" hidden="1">
      <c r="A74" t="s">
        <v>28</v>
      </c>
      <c r="B74" s="4">
        <f>IF(Tnext1&lt;&gt;"#N/E",IF(Tnext1&gt;DATE(YEAR(Tobs-1*365),1,1),Tnext1,#N/A),#N/A)</f>
        <v>41016.23584821751</v>
      </c>
      <c r="C74">
        <f>C$77+(B74-B$77)/365</f>
        <v>2012.2937968444314</v>
      </c>
      <c r="F74">
        <f>(Yobs-Beta*(Tnext1-Tobs)/365.25)^2</f>
        <v>792.1494900359751</v>
      </c>
      <c r="G74">
        <v>0</v>
      </c>
      <c r="I74" s="4">
        <f>IF(Tnext2&lt;&gt;"#N/E",IF(Tnext2&gt;DATE(YEAR(Tobs-1*365),1,1),Tnext2,#N/A),#N/A)</f>
        <v>41376.46559298977</v>
      </c>
      <c r="J74">
        <f>J$77+(I74-I$77)/365</f>
        <v>2013.2834673780542</v>
      </c>
      <c r="M74">
        <f>(Ai-Bi*(Tnext2-T0)/365.25)^2</f>
        <v>709.6413503032719</v>
      </c>
      <c r="N74">
        <v>0</v>
      </c>
      <c r="O74">
        <f t="shared" si="6"/>
        <v>2010.717808219178</v>
      </c>
      <c r="P74">
        <f aca="true" t="shared" si="7" ref="P74:P88">IF(ISNUMBER(J27),J27,#N/A)</f>
        <v>1000</v>
      </c>
    </row>
    <row r="75" spans="2:16" ht="12.75" hidden="1">
      <c r="B75" s="4">
        <f>IF(Tnext1&lt;&gt;"#N/E",IF(Tnext1&gt;DATE(YEAR(Tobs-1*365),1,1),Tnext1,#N/A),#N/A)</f>
        <v>41016.23584821751</v>
      </c>
      <c r="C75">
        <f>C$77+(B75-B$77)/365</f>
        <v>2012.2937968444314</v>
      </c>
      <c r="G75">
        <v>70</v>
      </c>
      <c r="I75" s="4">
        <f>IF(Tnext2&lt;&gt;"#N/E",IF(Tnext2&gt;DATE(YEAR(Tobs-1*365),1,1),Tnext2,#N/A),#N/A)</f>
        <v>41376.46559298977</v>
      </c>
      <c r="J75">
        <f>J$77+(I75-I$77)/365</f>
        <v>2013.2834673780542</v>
      </c>
      <c r="N75">
        <v>70</v>
      </c>
      <c r="O75">
        <f t="shared" si="6"/>
        <v>2010.4191780821918</v>
      </c>
      <c r="P75">
        <f t="shared" si="7"/>
        <v>750</v>
      </c>
    </row>
    <row r="76" spans="2:16" ht="12.75" hidden="1">
      <c r="B76" s="4">
        <f>IF(Tnext1&lt;&gt;"#N/E",IF(Tnext1&gt;DATE(YEAR(Tobs-1*365),1,1),Tnext1,#N/A),#N/A)</f>
        <v>41016.23584821751</v>
      </c>
      <c r="C76">
        <f>C$77+(B76-B$77)/365</f>
        <v>2012.2937968444314</v>
      </c>
      <c r="G76" s="3">
        <f>IF(Det1&gt;0,(SQRT(F74)-Zp*SQRT(2*Se^2+Sb^2*((B76-Tobs)/365.25)^2))^2,#N/A)</f>
        <v>349.99999999999966</v>
      </c>
      <c r="I76" s="4">
        <f>IF(Tnext2&lt;&gt;"#N/E",IF(Tnext2&gt;DATE(YEAR(Tobs-1*365),1,1),Tnext2,#N/A),#N/A)</f>
        <v>41376.46559298977</v>
      </c>
      <c r="J76">
        <f>J$77+(I76-I$77)/365</f>
        <v>2013.2834673780542</v>
      </c>
      <c r="N76" s="3">
        <f>IF(Det2&gt;0,(SQRT(M74)-Zp*SQRT((1+1/N)*Se^2+Sb^2*((I76-Tobs)/365.25)^2))^2,#N/A)</f>
        <v>350.00000000000045</v>
      </c>
      <c r="O76">
        <f t="shared" si="6"/>
        <v>2010.164383561644</v>
      </c>
      <c r="P76">
        <f t="shared" si="7"/>
        <v>835</v>
      </c>
    </row>
    <row r="77" spans="1:16" ht="12.75" hidden="1">
      <c r="A77">
        <v>0</v>
      </c>
      <c r="B77" s="5">
        <f>DATE(YEAR(Tobs-1*365),1,1)</f>
        <v>40179</v>
      </c>
      <c r="C77">
        <f>YEAR(B77)</f>
        <v>2010</v>
      </c>
      <c r="D77">
        <f aca="true" t="shared" si="8" ref="D77:D102">Yart^2</f>
        <v>350.00000000000006</v>
      </c>
      <c r="F77" t="e">
        <f aca="true" t="shared" si="9" ref="F77:F102">IF(B77&gt;=Tobs,(MAX(Yobs-Beta*(B77-Tobs)/365.25,0))^2,#N/A)</f>
        <v>#N/A</v>
      </c>
      <c r="G77" s="3" t="e">
        <f aca="true" t="shared" si="10" ref="G77:G102">IF(B77&gt;=Tobs,IF((SQRT(F77)-Zp*SQRT(2*Se^2+Sb^2*((B77-Tobs)/365.25)^2))&gt;0,(SQRT(F77)-Zp*SQRT(2*Se^2+Sb^2*((B77-Tobs)/365.25)^2))^2,0),#N/A)</f>
        <v>#N/A</v>
      </c>
      <c r="I77" s="5">
        <f>DATE(YEAR(Datmin-1*365),1,1)</f>
        <v>39448</v>
      </c>
      <c r="J77">
        <f>YEAR(I77)</f>
        <v>2008</v>
      </c>
      <c r="K77">
        <f aca="true" t="shared" si="11" ref="K77:K102">Yart^2</f>
        <v>350.00000000000006</v>
      </c>
      <c r="M77" s="3" t="e">
        <f aca="true" t="shared" si="12" ref="M77:M102">IF(I77&gt;=Datmin-182,(MAX(Ai-Bi*(I77-T0)/365.25,0))^2,#N/A)</f>
        <v>#N/A</v>
      </c>
      <c r="N77" s="3" t="e">
        <f aca="true" t="shared" si="13" ref="N77:N102">IF(I77&gt;=Tobs,IF((SQRT(M77)-Zp*SQRT((1+1/N)*Se^2+Sb^2*((I77-Tobs)/365.25)^2))&gt;0,(SQRT(M77)-Zp*SQRT((1+1/N)*Se^2+Sb^2*((I77-Tobs)/365.25)^2))^2,0),#N/A)</f>
        <v>#N/A</v>
      </c>
      <c r="O77">
        <f t="shared" si="6"/>
        <v>2009.0191780821917</v>
      </c>
      <c r="P77">
        <f t="shared" si="7"/>
        <v>1220</v>
      </c>
    </row>
    <row r="78" spans="1:16" ht="12.75" hidden="1">
      <c r="A78">
        <v>1</v>
      </c>
      <c r="B78" s="4">
        <f>B$77+$A78/MAX($A$77:$A$102)*(B$102-B$77)</f>
        <v>40281.28</v>
      </c>
      <c r="C78">
        <f>C$77+(B78-B$77)/365.26</f>
        <v>2010.280019711986</v>
      </c>
      <c r="D78">
        <f t="shared" si="8"/>
        <v>350.00000000000006</v>
      </c>
      <c r="F78" t="e">
        <f t="shared" si="9"/>
        <v>#N/A</v>
      </c>
      <c r="G78" s="3" t="e">
        <f t="shared" si="10"/>
        <v>#N/A</v>
      </c>
      <c r="I78" s="4">
        <f>I$77+$A78/MAX($A$77:$A$102)*(I$102-I$77)</f>
        <v>39594.12</v>
      </c>
      <c r="J78">
        <f>J$77+(I78-I$77)/365.26</f>
        <v>2008.4000438044134</v>
      </c>
      <c r="K78">
        <f t="shared" si="11"/>
        <v>350.00000000000006</v>
      </c>
      <c r="M78" s="3" t="e">
        <f t="shared" si="12"/>
        <v>#N/A</v>
      </c>
      <c r="N78" s="3" t="e">
        <f t="shared" si="13"/>
        <v>#N/A</v>
      </c>
      <c r="O78" t="e">
        <f t="shared" si="6"/>
        <v>#N/A</v>
      </c>
      <c r="P78" t="e">
        <f t="shared" si="7"/>
        <v>#N/A</v>
      </c>
    </row>
    <row r="79" spans="1:16" ht="12.75" hidden="1">
      <c r="A79">
        <v>2</v>
      </c>
      <c r="B79" s="4">
        <f aca="true" t="shared" si="14" ref="B79:B101">B$77+$A79/MAX($A$77:$A$102)*(B$102-B$77)</f>
        <v>40383.56</v>
      </c>
      <c r="C79">
        <f aca="true" t="shared" si="15" ref="C79:C102">C$77+(B79-B$77)/365.26</f>
        <v>2010.560039423972</v>
      </c>
      <c r="D79">
        <f t="shared" si="8"/>
        <v>350.00000000000006</v>
      </c>
      <c r="F79" t="e">
        <f t="shared" si="9"/>
        <v>#N/A</v>
      </c>
      <c r="G79" s="3" t="e">
        <f t="shared" si="10"/>
        <v>#N/A</v>
      </c>
      <c r="I79" s="4">
        <f aca="true" t="shared" si="16" ref="I79:I101">I$77+$A79/MAX($A$77:$A$102)*(I$102-I$77)</f>
        <v>39740.24</v>
      </c>
      <c r="J79">
        <f aca="true" t="shared" si="17" ref="J79:J102">J$77+(I79-I$77)/365.26</f>
        <v>2008.8000876088265</v>
      </c>
      <c r="K79">
        <f t="shared" si="11"/>
        <v>350.00000000000006</v>
      </c>
      <c r="M79" s="3">
        <f t="shared" si="12"/>
        <v>1065.0071142323225</v>
      </c>
      <c r="N79" s="3" t="e">
        <f t="shared" si="13"/>
        <v>#N/A</v>
      </c>
      <c r="O79" t="e">
        <f t="shared" si="6"/>
        <v>#N/A</v>
      </c>
      <c r="P79" t="e">
        <f t="shared" si="7"/>
        <v>#N/A</v>
      </c>
    </row>
    <row r="80" spans="1:16" ht="12.75" hidden="1">
      <c r="A80">
        <v>3</v>
      </c>
      <c r="B80" s="4">
        <f t="shared" si="14"/>
        <v>40485.84</v>
      </c>
      <c r="C80">
        <f t="shared" si="15"/>
        <v>2010.840059135958</v>
      </c>
      <c r="D80">
        <f t="shared" si="8"/>
        <v>350.00000000000006</v>
      </c>
      <c r="F80" t="e">
        <f t="shared" si="9"/>
        <v>#N/A</v>
      </c>
      <c r="G80" s="3" t="e">
        <f t="shared" si="10"/>
        <v>#N/A</v>
      </c>
      <c r="I80" s="4">
        <f t="shared" si="16"/>
        <v>39886.36</v>
      </c>
      <c r="J80">
        <f t="shared" si="17"/>
        <v>2009.20013141324</v>
      </c>
      <c r="K80">
        <f t="shared" si="11"/>
        <v>350.00000000000006</v>
      </c>
      <c r="M80" s="3">
        <f t="shared" si="12"/>
        <v>1030.3485780871156</v>
      </c>
      <c r="N80" s="3" t="e">
        <f t="shared" si="13"/>
        <v>#N/A</v>
      </c>
      <c r="O80" t="e">
        <f t="shared" si="6"/>
        <v>#N/A</v>
      </c>
      <c r="P80" t="e">
        <f t="shared" si="7"/>
        <v>#N/A</v>
      </c>
    </row>
    <row r="81" spans="1:16" ht="12.75" hidden="1">
      <c r="A81">
        <v>4</v>
      </c>
      <c r="B81" s="4">
        <f t="shared" si="14"/>
        <v>40588.12</v>
      </c>
      <c r="C81">
        <f t="shared" si="15"/>
        <v>2011.120078847944</v>
      </c>
      <c r="D81">
        <f t="shared" si="8"/>
        <v>350.00000000000006</v>
      </c>
      <c r="F81" t="e">
        <f t="shared" si="9"/>
        <v>#N/A</v>
      </c>
      <c r="G81" s="3" t="e">
        <f t="shared" si="10"/>
        <v>#N/A</v>
      </c>
      <c r="I81" s="4">
        <f t="shared" si="16"/>
        <v>40032.48</v>
      </c>
      <c r="J81">
        <f t="shared" si="17"/>
        <v>2009.6001752176533</v>
      </c>
      <c r="K81">
        <f t="shared" si="11"/>
        <v>350.00000000000006</v>
      </c>
      <c r="M81" s="3">
        <f t="shared" si="12"/>
        <v>996.2633557254846</v>
      </c>
      <c r="N81" s="3" t="e">
        <f t="shared" si="13"/>
        <v>#N/A</v>
      </c>
      <c r="O81" t="e">
        <f t="shared" si="6"/>
        <v>#N/A</v>
      </c>
      <c r="P81" t="e">
        <f t="shared" si="7"/>
        <v>#N/A</v>
      </c>
    </row>
    <row r="82" spans="1:16" ht="12.75" hidden="1">
      <c r="A82">
        <v>5</v>
      </c>
      <c r="B82" s="4">
        <f t="shared" si="14"/>
        <v>40690.4</v>
      </c>
      <c r="C82">
        <f t="shared" si="15"/>
        <v>2011.40009855993</v>
      </c>
      <c r="D82">
        <f t="shared" si="8"/>
        <v>350.00000000000006</v>
      </c>
      <c r="F82" t="e">
        <f t="shared" si="9"/>
        <v>#N/A</v>
      </c>
      <c r="G82" s="3" t="e">
        <f t="shared" si="10"/>
        <v>#N/A</v>
      </c>
      <c r="I82" s="4">
        <f t="shared" si="16"/>
        <v>40178.6</v>
      </c>
      <c r="J82">
        <f t="shared" si="17"/>
        <v>2010.0002190220664</v>
      </c>
      <c r="K82">
        <f t="shared" si="11"/>
        <v>350.00000000000006</v>
      </c>
      <c r="M82" s="3">
        <f t="shared" si="12"/>
        <v>962.7514471474319</v>
      </c>
      <c r="N82" s="3" t="e">
        <f t="shared" si="13"/>
        <v>#N/A</v>
      </c>
      <c r="O82" t="e">
        <f t="shared" si="6"/>
        <v>#N/A</v>
      </c>
      <c r="P82" t="e">
        <f t="shared" si="7"/>
        <v>#N/A</v>
      </c>
    </row>
    <row r="83" spans="1:16" ht="12.75" hidden="1">
      <c r="A83">
        <v>6</v>
      </c>
      <c r="B83" s="4">
        <f t="shared" si="14"/>
        <v>40792.68</v>
      </c>
      <c r="C83">
        <f t="shared" si="15"/>
        <v>2011.680118271916</v>
      </c>
      <c r="D83">
        <f t="shared" si="8"/>
        <v>350.00000000000006</v>
      </c>
      <c r="F83">
        <f t="shared" si="9"/>
        <v>855.378994241467</v>
      </c>
      <c r="G83" s="3">
        <f t="shared" si="10"/>
        <v>397.4034374001322</v>
      </c>
      <c r="I83" s="4">
        <f t="shared" si="16"/>
        <v>40324.72</v>
      </c>
      <c r="J83">
        <f t="shared" si="17"/>
        <v>2010.4002628264798</v>
      </c>
      <c r="K83">
        <f t="shared" si="11"/>
        <v>350.00000000000006</v>
      </c>
      <c r="M83" s="3">
        <f t="shared" si="12"/>
        <v>929.8128523529542</v>
      </c>
      <c r="N83" s="3" t="e">
        <f t="shared" si="13"/>
        <v>#N/A</v>
      </c>
      <c r="O83" t="e">
        <f t="shared" si="6"/>
        <v>#N/A</v>
      </c>
      <c r="P83" t="e">
        <f t="shared" si="7"/>
        <v>#N/A</v>
      </c>
    </row>
    <row r="84" spans="1:16" ht="12.75" hidden="1">
      <c r="A84">
        <v>7</v>
      </c>
      <c r="B84" s="4">
        <f t="shared" si="14"/>
        <v>40894.96</v>
      </c>
      <c r="C84">
        <f t="shared" si="15"/>
        <v>2011.9601379839019</v>
      </c>
      <c r="D84">
        <f t="shared" si="8"/>
        <v>350.00000000000006</v>
      </c>
      <c r="F84">
        <f t="shared" si="9"/>
        <v>826.1493393867185</v>
      </c>
      <c r="G84" s="3">
        <f t="shared" si="10"/>
        <v>376.08438047362</v>
      </c>
      <c r="I84" s="4">
        <f t="shared" si="16"/>
        <v>40470.84</v>
      </c>
      <c r="J84">
        <f t="shared" si="17"/>
        <v>2010.8003066308931</v>
      </c>
      <c r="K84">
        <f t="shared" si="11"/>
        <v>350.00000000000006</v>
      </c>
      <c r="M84" s="3">
        <f t="shared" si="12"/>
        <v>897.4475713420546</v>
      </c>
      <c r="N84" s="3" t="e">
        <f t="shared" si="13"/>
        <v>#N/A</v>
      </c>
      <c r="O84" t="e">
        <f t="shared" si="6"/>
        <v>#N/A</v>
      </c>
      <c r="P84" t="e">
        <f t="shared" si="7"/>
        <v>#N/A</v>
      </c>
    </row>
    <row r="85" spans="1:16" ht="12.75" hidden="1">
      <c r="A85">
        <v>8</v>
      </c>
      <c r="B85" s="4">
        <f t="shared" si="14"/>
        <v>40997.24</v>
      </c>
      <c r="C85">
        <f t="shared" si="15"/>
        <v>2012.2401576958878</v>
      </c>
      <c r="D85">
        <f t="shared" si="8"/>
        <v>350.00000000000006</v>
      </c>
      <c r="F85">
        <f t="shared" si="9"/>
        <v>797.4278158879565</v>
      </c>
      <c r="G85" s="3">
        <f t="shared" si="10"/>
        <v>354.13509667172355</v>
      </c>
      <c r="I85" s="4">
        <f t="shared" si="16"/>
        <v>40616.96</v>
      </c>
      <c r="J85">
        <f t="shared" si="17"/>
        <v>2011.2003504353063</v>
      </c>
      <c r="K85">
        <f t="shared" si="11"/>
        <v>350.00000000000006</v>
      </c>
      <c r="M85" s="3">
        <f t="shared" si="12"/>
        <v>865.6556041147298</v>
      </c>
      <c r="N85" s="3" t="e">
        <f t="shared" si="13"/>
        <v>#N/A</v>
      </c>
      <c r="O85" t="e">
        <f t="shared" si="6"/>
        <v>#N/A</v>
      </c>
      <c r="P85" t="e">
        <f t="shared" si="7"/>
        <v>#N/A</v>
      </c>
    </row>
    <row r="86" spans="1:16" ht="12.75" hidden="1">
      <c r="A86">
        <v>9</v>
      </c>
      <c r="B86" s="4">
        <f t="shared" si="14"/>
        <v>41099.52</v>
      </c>
      <c r="C86">
        <f t="shared" si="15"/>
        <v>2012.520177407874</v>
      </c>
      <c r="D86">
        <f t="shared" si="8"/>
        <v>350.00000000000006</v>
      </c>
      <c r="F86">
        <f t="shared" si="9"/>
        <v>769.2144237451813</v>
      </c>
      <c r="G86" s="3">
        <f t="shared" si="10"/>
        <v>331.69312762314064</v>
      </c>
      <c r="I86" s="4">
        <f t="shared" si="16"/>
        <v>40763.08</v>
      </c>
      <c r="J86">
        <f t="shared" si="17"/>
        <v>2011.6003942397197</v>
      </c>
      <c r="K86">
        <f t="shared" si="11"/>
        <v>350.00000000000006</v>
      </c>
      <c r="M86" s="3">
        <f t="shared" si="12"/>
        <v>834.4369506709814</v>
      </c>
      <c r="N86" s="3">
        <f t="shared" si="13"/>
        <v>474.240499102639</v>
      </c>
      <c r="O86" t="e">
        <f t="shared" si="6"/>
        <v>#N/A</v>
      </c>
      <c r="P86" t="e">
        <f t="shared" si="7"/>
        <v>#N/A</v>
      </c>
    </row>
    <row r="87" spans="1:16" ht="12.75" hidden="1">
      <c r="A87">
        <v>10</v>
      </c>
      <c r="B87" s="4">
        <f t="shared" si="14"/>
        <v>41201.8</v>
      </c>
      <c r="C87">
        <f t="shared" si="15"/>
        <v>2012.8001971198598</v>
      </c>
      <c r="D87">
        <f t="shared" si="8"/>
        <v>350.00000000000006</v>
      </c>
      <c r="F87">
        <f t="shared" si="9"/>
        <v>741.5091629583908</v>
      </c>
      <c r="G87" s="3">
        <f t="shared" si="10"/>
        <v>308.90864845709</v>
      </c>
      <c r="I87" s="4">
        <f t="shared" si="16"/>
        <v>40909.2</v>
      </c>
      <c r="J87">
        <f t="shared" si="17"/>
        <v>2012.000438044133</v>
      </c>
      <c r="K87">
        <f t="shared" si="11"/>
        <v>350.00000000000006</v>
      </c>
      <c r="M87" s="3">
        <f t="shared" si="12"/>
        <v>803.7916110108113</v>
      </c>
      <c r="N87" s="3">
        <f t="shared" si="13"/>
        <v>448.39175345407097</v>
      </c>
      <c r="O87" t="e">
        <f t="shared" si="6"/>
        <v>#N/A</v>
      </c>
      <c r="P87" t="e">
        <f t="shared" si="7"/>
        <v>#N/A</v>
      </c>
    </row>
    <row r="88" spans="1:16" ht="12.75" hidden="1">
      <c r="A88">
        <v>11</v>
      </c>
      <c r="B88" s="4">
        <f t="shared" si="14"/>
        <v>41304.08</v>
      </c>
      <c r="C88">
        <f t="shared" si="15"/>
        <v>2013.0802168318457</v>
      </c>
      <c r="D88">
        <f t="shared" si="8"/>
        <v>350.00000000000006</v>
      </c>
      <c r="F88">
        <f t="shared" si="9"/>
        <v>714.312033527589</v>
      </c>
      <c r="G88" s="3">
        <f t="shared" si="10"/>
        <v>285.9405500985622</v>
      </c>
      <c r="I88" s="4">
        <f t="shared" si="16"/>
        <v>41055.32</v>
      </c>
      <c r="J88">
        <f t="shared" si="17"/>
        <v>2012.4004818485462</v>
      </c>
      <c r="K88">
        <f t="shared" si="11"/>
        <v>350.00000000000006</v>
      </c>
      <c r="M88" s="3">
        <f t="shared" si="12"/>
        <v>773.719585134216</v>
      </c>
      <c r="N88" s="3">
        <f t="shared" si="13"/>
        <v>419.77759429323737</v>
      </c>
      <c r="O88" t="e">
        <f t="shared" si="6"/>
        <v>#N/A</v>
      </c>
      <c r="P88" t="e">
        <f t="shared" si="7"/>
        <v>#N/A</v>
      </c>
    </row>
    <row r="89" spans="1:14" ht="12.75" hidden="1">
      <c r="A89">
        <v>12</v>
      </c>
      <c r="B89" s="4">
        <f t="shared" si="14"/>
        <v>41406.36</v>
      </c>
      <c r="C89">
        <f t="shared" si="15"/>
        <v>2013.360236543832</v>
      </c>
      <c r="D89">
        <f t="shared" si="8"/>
        <v>350.00000000000006</v>
      </c>
      <c r="F89">
        <f t="shared" si="9"/>
        <v>687.6230354527737</v>
      </c>
      <c r="G89" s="3">
        <f t="shared" si="10"/>
        <v>262.9524651223202</v>
      </c>
      <c r="I89" s="4">
        <f t="shared" si="16"/>
        <v>41201.44</v>
      </c>
      <c r="J89">
        <f t="shared" si="17"/>
        <v>2012.8005256529595</v>
      </c>
      <c r="K89">
        <f t="shared" si="11"/>
        <v>350.00000000000006</v>
      </c>
      <c r="M89" s="3">
        <f t="shared" si="12"/>
        <v>744.2208730411973</v>
      </c>
      <c r="N89" s="3">
        <f t="shared" si="13"/>
        <v>388.94955200974096</v>
      </c>
    </row>
    <row r="90" spans="1:14" ht="12.75" hidden="1">
      <c r="A90">
        <v>13</v>
      </c>
      <c r="B90" s="4">
        <f t="shared" si="14"/>
        <v>41508.64</v>
      </c>
      <c r="C90">
        <f t="shared" si="15"/>
        <v>2013.6402562558178</v>
      </c>
      <c r="D90">
        <f t="shared" si="8"/>
        <v>350.00000000000006</v>
      </c>
      <c r="F90">
        <f t="shared" si="9"/>
        <v>661.4421687339451</v>
      </c>
      <c r="G90" s="3">
        <f t="shared" si="10"/>
        <v>240.10902425109867</v>
      </c>
      <c r="I90" s="4">
        <f t="shared" si="16"/>
        <v>41347.56</v>
      </c>
      <c r="J90">
        <f t="shared" si="17"/>
        <v>2013.200569457373</v>
      </c>
      <c r="K90">
        <f t="shared" si="11"/>
        <v>350.00000000000006</v>
      </c>
      <c r="M90" s="3">
        <f t="shared" si="12"/>
        <v>715.2954747317565</v>
      </c>
      <c r="N90" s="3">
        <f t="shared" si="13"/>
        <v>356.5411146146406</v>
      </c>
    </row>
    <row r="91" spans="1:14" ht="12.75" hidden="1">
      <c r="A91">
        <v>14</v>
      </c>
      <c r="B91" s="4">
        <f t="shared" si="14"/>
        <v>41610.92</v>
      </c>
      <c r="C91">
        <f t="shared" si="15"/>
        <v>2013.9202759678037</v>
      </c>
      <c r="D91">
        <f t="shared" si="8"/>
        <v>350.00000000000006</v>
      </c>
      <c r="F91">
        <f t="shared" si="9"/>
        <v>635.7694333711031</v>
      </c>
      <c r="G91" s="3">
        <f t="shared" si="10"/>
        <v>217.57256024520316</v>
      </c>
      <c r="I91" s="4">
        <f t="shared" si="16"/>
        <v>41493.68</v>
      </c>
      <c r="J91">
        <f t="shared" si="17"/>
        <v>2013.600613261786</v>
      </c>
      <c r="K91">
        <f t="shared" si="11"/>
        <v>350.00000000000006</v>
      </c>
      <c r="M91" s="3">
        <f t="shared" si="12"/>
        <v>686.9433902058906</v>
      </c>
      <c r="N91" s="3">
        <f t="shared" si="13"/>
        <v>323.2092156168737</v>
      </c>
    </row>
    <row r="92" spans="1:14" ht="12.75" hidden="1">
      <c r="A92">
        <v>15</v>
      </c>
      <c r="B92" s="4">
        <f t="shared" si="14"/>
        <v>41713.2</v>
      </c>
      <c r="C92">
        <f t="shared" si="15"/>
        <v>2014.2002956797896</v>
      </c>
      <c r="D92">
        <f t="shared" si="8"/>
        <v>350.00000000000006</v>
      </c>
      <c r="F92">
        <f t="shared" si="9"/>
        <v>610.6048293642477</v>
      </c>
      <c r="G92" s="3">
        <f t="shared" si="10"/>
        <v>195.50039174940738</v>
      </c>
      <c r="I92" s="4">
        <f t="shared" si="16"/>
        <v>41639.8</v>
      </c>
      <c r="J92">
        <f t="shared" si="17"/>
        <v>2014.0006570661994</v>
      </c>
      <c r="K92">
        <f t="shared" si="11"/>
        <v>350.00000000000006</v>
      </c>
      <c r="M92" s="3">
        <f t="shared" si="12"/>
        <v>659.1646194636014</v>
      </c>
      <c r="N92" s="3">
        <f t="shared" si="13"/>
        <v>289.58684558518087</v>
      </c>
    </row>
    <row r="93" spans="1:14" ht="12.75" hidden="1">
      <c r="A93">
        <v>16</v>
      </c>
      <c r="B93" s="4">
        <f t="shared" si="14"/>
        <v>41815.48</v>
      </c>
      <c r="C93">
        <f t="shared" si="15"/>
        <v>2014.4803153917758</v>
      </c>
      <c r="D93">
        <f t="shared" si="8"/>
        <v>350.00000000000006</v>
      </c>
      <c r="F93">
        <f t="shared" si="9"/>
        <v>585.9483567133775</v>
      </c>
      <c r="G93" s="3">
        <f t="shared" si="10"/>
        <v>174.04273876871744</v>
      </c>
      <c r="I93" s="4">
        <f t="shared" si="16"/>
        <v>41785.92</v>
      </c>
      <c r="J93">
        <f t="shared" si="17"/>
        <v>2014.4007008706128</v>
      </c>
      <c r="K93">
        <f t="shared" si="11"/>
        <v>350.00000000000006</v>
      </c>
      <c r="M93" s="3">
        <f t="shared" si="12"/>
        <v>631.9591625048902</v>
      </c>
      <c r="N93" s="3">
        <f t="shared" si="13"/>
        <v>256.252264114575</v>
      </c>
    </row>
    <row r="94" spans="1:14" ht="12.75" hidden="1">
      <c r="A94">
        <v>17</v>
      </c>
      <c r="B94" s="4">
        <f t="shared" si="14"/>
        <v>41917.76</v>
      </c>
      <c r="C94">
        <f t="shared" si="15"/>
        <v>2014.7603351037617</v>
      </c>
      <c r="D94">
        <f t="shared" si="8"/>
        <v>350.00000000000006</v>
      </c>
      <c r="F94">
        <f t="shared" si="9"/>
        <v>561.8000154184954</v>
      </c>
      <c r="G94" s="3">
        <f t="shared" si="10"/>
        <v>153.34125545080857</v>
      </c>
      <c r="I94" s="4">
        <f t="shared" si="16"/>
        <v>41932.04</v>
      </c>
      <c r="J94">
        <f t="shared" si="17"/>
        <v>2014.800744675026</v>
      </c>
      <c r="K94">
        <f t="shared" si="11"/>
        <v>350.00000000000006</v>
      </c>
      <c r="M94" s="3">
        <f t="shared" si="12"/>
        <v>605.3270193297539</v>
      </c>
      <c r="N94" s="3">
        <f t="shared" si="13"/>
        <v>223.7139838276697</v>
      </c>
    </row>
    <row r="95" spans="1:14" ht="12.75" hidden="1">
      <c r="A95">
        <v>18</v>
      </c>
      <c r="B95" s="4">
        <f t="shared" si="14"/>
        <v>42020.04</v>
      </c>
      <c r="C95">
        <f t="shared" si="15"/>
        <v>2015.0403548157476</v>
      </c>
      <c r="D95">
        <f t="shared" si="8"/>
        <v>350.00000000000006</v>
      </c>
      <c r="F95">
        <f t="shared" si="9"/>
        <v>538.1598054796002</v>
      </c>
      <c r="G95" s="3">
        <f t="shared" si="10"/>
        <v>133.5281199555484</v>
      </c>
      <c r="I95" s="4">
        <f t="shared" si="16"/>
        <v>42078.16</v>
      </c>
      <c r="J95">
        <f t="shared" si="17"/>
        <v>2015.2007884794393</v>
      </c>
      <c r="K95">
        <f t="shared" si="11"/>
        <v>350.00000000000006</v>
      </c>
      <c r="M95" s="3">
        <f t="shared" si="12"/>
        <v>579.2681899381944</v>
      </c>
      <c r="N95" s="3">
        <f t="shared" si="13"/>
        <v>192.40751020737775</v>
      </c>
    </row>
    <row r="96" spans="1:14" ht="12.75" hidden="1">
      <c r="A96">
        <v>19</v>
      </c>
      <c r="B96" s="4">
        <f t="shared" si="14"/>
        <v>42122.32</v>
      </c>
      <c r="C96">
        <f t="shared" si="15"/>
        <v>2015.3203745277337</v>
      </c>
      <c r="D96">
        <f t="shared" si="8"/>
        <v>350.00000000000006</v>
      </c>
      <c r="F96">
        <f t="shared" si="9"/>
        <v>515.0277268966914</v>
      </c>
      <c r="G96" s="3">
        <f t="shared" si="10"/>
        <v>114.72559529144743</v>
      </c>
      <c r="I96" s="4">
        <f t="shared" si="16"/>
        <v>42224.28</v>
      </c>
      <c r="J96">
        <f t="shared" si="17"/>
        <v>2015.6008322838527</v>
      </c>
      <c r="K96">
        <f t="shared" si="11"/>
        <v>350.00000000000006</v>
      </c>
      <c r="M96" s="3">
        <f t="shared" si="12"/>
        <v>553.7826743302124</v>
      </c>
      <c r="N96" s="3">
        <f t="shared" si="13"/>
        <v>162.69932045162284</v>
      </c>
    </row>
    <row r="97" spans="1:14" ht="12.75" hidden="1">
      <c r="A97">
        <v>20</v>
      </c>
      <c r="B97" s="4">
        <f t="shared" si="14"/>
        <v>42224.6</v>
      </c>
      <c r="C97">
        <f t="shared" si="15"/>
        <v>2015.6003942397197</v>
      </c>
      <c r="D97">
        <f t="shared" si="8"/>
        <v>350.00000000000006</v>
      </c>
      <c r="F97">
        <f t="shared" si="9"/>
        <v>492.4037796697694</v>
      </c>
      <c r="G97" s="3">
        <f t="shared" si="10"/>
        <v>97.04596570975419</v>
      </c>
      <c r="I97" s="4">
        <f t="shared" si="16"/>
        <v>42370.4</v>
      </c>
      <c r="J97">
        <f t="shared" si="17"/>
        <v>2016.0008760882658</v>
      </c>
      <c r="K97">
        <f t="shared" si="11"/>
        <v>350.00000000000006</v>
      </c>
      <c r="M97" s="3">
        <f t="shared" si="12"/>
        <v>528.8704725058059</v>
      </c>
      <c r="N97" s="3">
        <f t="shared" si="13"/>
        <v>134.89444622527407</v>
      </c>
    </row>
    <row r="98" spans="1:14" ht="12.75" hidden="1">
      <c r="A98">
        <v>21</v>
      </c>
      <c r="B98" s="4">
        <f t="shared" si="14"/>
        <v>42326.88</v>
      </c>
      <c r="C98">
        <f t="shared" si="15"/>
        <v>2015.8804139517056</v>
      </c>
      <c r="D98">
        <f t="shared" si="8"/>
        <v>350.00000000000006</v>
      </c>
      <c r="F98">
        <f t="shared" si="9"/>
        <v>470.287963798834</v>
      </c>
      <c r="G98" s="3">
        <f t="shared" si="10"/>
        <v>80.59175585641624</v>
      </c>
      <c r="I98" s="4">
        <f t="shared" si="16"/>
        <v>42516.52</v>
      </c>
      <c r="J98">
        <f t="shared" si="17"/>
        <v>2016.4009198926792</v>
      </c>
      <c r="K98">
        <f t="shared" si="11"/>
        <v>350.00000000000006</v>
      </c>
      <c r="M98" s="3">
        <f t="shared" si="12"/>
        <v>504.5315844649768</v>
      </c>
      <c r="N98" s="3">
        <f t="shared" si="13"/>
        <v>109.24524245605254</v>
      </c>
    </row>
    <row r="99" spans="1:14" ht="12.75" hidden="1">
      <c r="A99">
        <v>22</v>
      </c>
      <c r="B99" s="4">
        <f t="shared" si="14"/>
        <v>42429.16</v>
      </c>
      <c r="C99">
        <f t="shared" si="15"/>
        <v>2016.1604336636917</v>
      </c>
      <c r="D99">
        <f t="shared" si="8"/>
        <v>350.00000000000006</v>
      </c>
      <c r="F99">
        <f t="shared" si="9"/>
        <v>448.68027928388375</v>
      </c>
      <c r="G99" s="3">
        <f t="shared" si="10"/>
        <v>65.45614975921461</v>
      </c>
      <c r="I99" s="4">
        <f t="shared" si="16"/>
        <v>42662.64</v>
      </c>
      <c r="J99">
        <f t="shared" si="17"/>
        <v>2016.8009636970926</v>
      </c>
      <c r="K99">
        <f t="shared" si="11"/>
        <v>350.00000000000006</v>
      </c>
      <c r="M99" s="3">
        <f t="shared" si="12"/>
        <v>480.76601020772324</v>
      </c>
      <c r="N99" s="3">
        <f t="shared" si="13"/>
        <v>85.95996009547005</v>
      </c>
    </row>
    <row r="100" spans="1:14" ht="12.75" hidden="1">
      <c r="A100">
        <v>23</v>
      </c>
      <c r="B100" s="4">
        <f t="shared" si="14"/>
        <v>42531.44</v>
      </c>
      <c r="C100">
        <f t="shared" si="15"/>
        <v>2016.4404533756776</v>
      </c>
      <c r="D100">
        <f t="shared" si="8"/>
        <v>350.00000000000006</v>
      </c>
      <c r="F100">
        <f t="shared" si="9"/>
        <v>427.5807261249218</v>
      </c>
      <c r="G100" s="3">
        <f t="shared" si="10"/>
        <v>51.72354008697623</v>
      </c>
      <c r="I100" s="4">
        <f t="shared" si="16"/>
        <v>42808.76</v>
      </c>
      <c r="J100">
        <f t="shared" si="17"/>
        <v>2017.2010075015057</v>
      </c>
      <c r="K100">
        <f t="shared" si="11"/>
        <v>350.00000000000006</v>
      </c>
      <c r="M100" s="3">
        <f t="shared" si="12"/>
        <v>457.5737497340461</v>
      </c>
      <c r="N100" s="3">
        <f t="shared" si="13"/>
        <v>65.21045633258251</v>
      </c>
    </row>
    <row r="101" spans="1:14" ht="12.75" hidden="1">
      <c r="A101">
        <v>24</v>
      </c>
      <c r="B101" s="4">
        <f t="shared" si="14"/>
        <v>42633.72</v>
      </c>
      <c r="C101">
        <f t="shared" si="15"/>
        <v>2016.7204730876635</v>
      </c>
      <c r="D101">
        <f t="shared" si="8"/>
        <v>350.00000000000006</v>
      </c>
      <c r="F101">
        <f t="shared" si="9"/>
        <v>406.98930432194624</v>
      </c>
      <c r="G101" s="3">
        <f t="shared" si="10"/>
        <v>39.470152267196774</v>
      </c>
      <c r="I101" s="4">
        <f t="shared" si="16"/>
        <v>42954.88</v>
      </c>
      <c r="J101">
        <f t="shared" si="17"/>
        <v>2017.601051305919</v>
      </c>
      <c r="K101">
        <f t="shared" si="11"/>
        <v>350.00000000000006</v>
      </c>
      <c r="M101" s="3">
        <f t="shared" si="12"/>
        <v>434.9548030439466</v>
      </c>
      <c r="N101" s="3">
        <f t="shared" si="13"/>
        <v>47.138807477225974</v>
      </c>
    </row>
    <row r="102" spans="1:14" ht="12.75" hidden="1">
      <c r="A102">
        <v>25</v>
      </c>
      <c r="B102" s="5">
        <f>IF(Tnext1&lt;&gt;"#N/E",DATE(YEAR(Tnext1)+5,1,1),#N/A)</f>
        <v>42736</v>
      </c>
      <c r="C102">
        <f t="shared" si="15"/>
        <v>2017.0004927996495</v>
      </c>
      <c r="D102">
        <f t="shared" si="8"/>
        <v>350.00000000000006</v>
      </c>
      <c r="F102">
        <f t="shared" si="9"/>
        <v>386.9060138749576</v>
      </c>
      <c r="G102" s="3">
        <f t="shared" si="10"/>
        <v>28.7647013156604</v>
      </c>
      <c r="I102" s="5">
        <f>IF(Tnext2&lt;&gt;"#N/E",DATE(YEAR(Tnext2)+5,1,1),#N/A)</f>
        <v>43101</v>
      </c>
      <c r="J102">
        <f t="shared" si="17"/>
        <v>2018.0010951103325</v>
      </c>
      <c r="K102">
        <f t="shared" si="11"/>
        <v>350.00000000000006</v>
      </c>
      <c r="M102" s="3">
        <f t="shared" si="12"/>
        <v>412.9091701374224</v>
      </c>
      <c r="N102" s="3">
        <f t="shared" si="13"/>
        <v>31.86282136642703</v>
      </c>
    </row>
  </sheetData>
  <sheetProtection sheet="1" scenarios="1" selectLockedCells="1"/>
  <mergeCells count="10">
    <mergeCell ref="B26:F26"/>
    <mergeCell ref="H18:M18"/>
    <mergeCell ref="H19:M19"/>
    <mergeCell ref="H20:M20"/>
    <mergeCell ref="B24:F24"/>
    <mergeCell ref="B18:F18"/>
    <mergeCell ref="B20:F20"/>
    <mergeCell ref="B19:F19"/>
    <mergeCell ref="B21:F21"/>
    <mergeCell ref="B25:F25"/>
  </mergeCells>
  <printOptions/>
  <pageMargins left="0.78" right="0.51" top="0.984251969" bottom="0.984251969" header="0.5" footer="0.5"/>
  <pageSetup fitToHeight="1" fitToWidth="1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tbuclin</dc:creator>
  <cp:keywords/>
  <dc:description/>
  <cp:lastModifiedBy>tbuclin</cp:lastModifiedBy>
  <cp:lastPrinted>2011-03-18T11:54:20Z</cp:lastPrinted>
  <dcterms:created xsi:type="dcterms:W3CDTF">2008-10-09T08:26:47Z</dcterms:created>
  <dcterms:modified xsi:type="dcterms:W3CDTF">2011-03-18T11:55:13Z</dcterms:modified>
  <cp:category/>
  <cp:version/>
  <cp:contentType/>
  <cp:contentStatus/>
</cp:coreProperties>
</file>