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surwilo\Desktop\Misc\0113177\"/>
    </mc:Choice>
  </mc:AlternateContent>
  <workbookProtection workbookPassword="BA83" lockStructure="1"/>
  <bookViews>
    <workbookView xWindow="0" yWindow="0" windowWidth="21600" windowHeight="10320" tabRatio="500"/>
  </bookViews>
  <sheets>
    <sheet name="DLCO" sheetId="2" r:id="rId1"/>
    <sheet name="DLNO" sheetId="3" r:id="rId2"/>
    <sheet name="Functions" sheetId="1" r:id="rId3"/>
    <sheet name="Example of calculation" sheetId="4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  <c r="B17" i="1"/>
  <c r="B44" i="1"/>
  <c r="B48" i="3"/>
  <c r="B47" i="3"/>
  <c r="B49" i="3"/>
  <c r="B50" i="3"/>
  <c r="B43" i="3"/>
  <c r="B38" i="3"/>
  <c r="B39" i="3"/>
  <c r="B42" i="3"/>
  <c r="B34" i="3"/>
  <c r="B17" i="3"/>
  <c r="B29" i="3"/>
  <c r="B46" i="3"/>
  <c r="D50" i="1"/>
  <c r="D55" i="1"/>
  <c r="D53" i="1"/>
  <c r="D22" i="1"/>
  <c r="D21" i="1"/>
  <c r="D24" i="1"/>
  <c r="B34" i="1"/>
  <c r="D38" i="1"/>
  <c r="B7" i="1"/>
  <c r="D9" i="1"/>
  <c r="D13" i="1"/>
  <c r="D6" i="3"/>
  <c r="D6" i="2"/>
  <c r="C7" i="4"/>
  <c r="D52" i="1"/>
  <c r="D51" i="1"/>
  <c r="D25" i="1"/>
  <c r="D10" i="1"/>
  <c r="H38" i="1"/>
  <c r="J10" i="1"/>
  <c r="J9" i="1"/>
  <c r="J13" i="1"/>
  <c r="D12" i="1"/>
  <c r="J12" i="1"/>
  <c r="D11" i="1"/>
  <c r="J11" i="1"/>
  <c r="D28" i="1"/>
  <c r="J28" i="1"/>
  <c r="D37" i="1"/>
  <c r="H37" i="1"/>
  <c r="D36" i="1"/>
  <c r="H36" i="1"/>
  <c r="H52" i="1"/>
  <c r="D48" i="1"/>
  <c r="H48" i="1"/>
  <c r="D39" i="1"/>
  <c r="H39" i="1"/>
  <c r="H50" i="1"/>
  <c r="H46" i="1"/>
  <c r="H55" i="1"/>
  <c r="D54" i="1"/>
  <c r="H54" i="1"/>
  <c r="H53" i="1"/>
  <c r="H51" i="1"/>
  <c r="D49" i="1"/>
  <c r="H49" i="1"/>
  <c r="D47" i="1"/>
  <c r="H47" i="1"/>
  <c r="D40" i="1"/>
  <c r="H40" i="1"/>
  <c r="D5" i="2"/>
  <c r="D5" i="3"/>
  <c r="E27" i="1"/>
  <c r="E26" i="1"/>
  <c r="F27" i="3"/>
  <c r="F18" i="2"/>
  <c r="D27" i="3"/>
  <c r="D25" i="3"/>
  <c r="E21" i="1"/>
  <c r="L27" i="3"/>
  <c r="L25" i="3"/>
  <c r="F19" i="2"/>
  <c r="E20" i="1"/>
  <c r="E19" i="1"/>
  <c r="E28" i="1"/>
  <c r="E25" i="1"/>
  <c r="F15" i="3"/>
  <c r="E24" i="1"/>
  <c r="E23" i="1"/>
  <c r="D23" i="1"/>
  <c r="F23" i="1"/>
  <c r="H23" i="1"/>
  <c r="E10" i="1"/>
  <c r="E9" i="1"/>
  <c r="F24" i="3"/>
  <c r="E22" i="1"/>
  <c r="F22" i="1"/>
  <c r="F20" i="2"/>
  <c r="E13" i="1"/>
  <c r="F13" i="1"/>
  <c r="E12" i="1"/>
  <c r="F12" i="2"/>
  <c r="E11" i="1"/>
  <c r="F25" i="3"/>
  <c r="F12" i="3"/>
  <c r="H24" i="3"/>
  <c r="J24" i="3"/>
  <c r="J25" i="3"/>
  <c r="H25" i="3"/>
  <c r="J27" i="3"/>
  <c r="H27" i="3"/>
  <c r="F13" i="2"/>
  <c r="J20" i="2"/>
  <c r="H20" i="2"/>
  <c r="J19" i="2"/>
  <c r="H19" i="2"/>
  <c r="J18" i="2"/>
  <c r="H18" i="2"/>
  <c r="L24" i="3"/>
  <c r="L19" i="2"/>
  <c r="L20" i="2"/>
  <c r="D19" i="2"/>
  <c r="D24" i="3"/>
  <c r="G23" i="1"/>
  <c r="H13" i="3"/>
  <c r="F13" i="3"/>
  <c r="J15" i="3"/>
  <c r="H15" i="3"/>
  <c r="F23" i="3"/>
  <c r="F30" i="3"/>
  <c r="F22" i="3"/>
  <c r="F17" i="2"/>
  <c r="D20" i="2"/>
  <c r="F9" i="1"/>
  <c r="H9" i="1"/>
  <c r="F9" i="2"/>
  <c r="G13" i="1"/>
  <c r="H13" i="1"/>
  <c r="G22" i="1"/>
  <c r="H22" i="1"/>
  <c r="F16" i="2"/>
  <c r="F26" i="3"/>
  <c r="F12" i="1"/>
  <c r="H12" i="1"/>
  <c r="D46" i="1"/>
  <c r="F21" i="3"/>
  <c r="F28" i="3"/>
  <c r="F29" i="3"/>
  <c r="J23" i="3"/>
  <c r="H23" i="3"/>
  <c r="H22" i="3"/>
  <c r="J22" i="3"/>
  <c r="J21" i="3"/>
  <c r="H21" i="3"/>
  <c r="H29" i="3"/>
  <c r="J29" i="3"/>
  <c r="H28" i="3"/>
  <c r="J28" i="3"/>
  <c r="H26" i="3"/>
  <c r="J26" i="3"/>
  <c r="H30" i="3"/>
  <c r="J30" i="3"/>
  <c r="J16" i="2"/>
  <c r="H16" i="2"/>
  <c r="H17" i="2"/>
  <c r="J17" i="2"/>
  <c r="D17" i="2"/>
  <c r="D16" i="2"/>
  <c r="D18" i="2"/>
  <c r="L16" i="2"/>
  <c r="J13" i="3"/>
  <c r="D13" i="3"/>
  <c r="J23" i="1"/>
  <c r="L13" i="3"/>
  <c r="J25" i="1"/>
  <c r="D15" i="3"/>
  <c r="D28" i="3"/>
  <c r="D21" i="3"/>
  <c r="L22" i="3"/>
  <c r="L30" i="3"/>
  <c r="L23" i="3"/>
  <c r="D26" i="3"/>
  <c r="L29" i="3"/>
  <c r="J12" i="3"/>
  <c r="H12" i="3"/>
  <c r="F11" i="2"/>
  <c r="F11" i="1"/>
  <c r="H11" i="1"/>
  <c r="G9" i="1"/>
  <c r="G12" i="1"/>
  <c r="H13" i="2"/>
  <c r="D13" i="2"/>
  <c r="J13" i="2"/>
  <c r="F10" i="1"/>
  <c r="H10" i="1"/>
  <c r="F10" i="2"/>
  <c r="L18" i="2"/>
  <c r="G10" i="1"/>
  <c r="G11" i="1"/>
  <c r="J11" i="2"/>
  <c r="L13" i="2"/>
  <c r="L15" i="3"/>
  <c r="J22" i="1"/>
  <c r="L12" i="3"/>
  <c r="D12" i="3"/>
  <c r="L26" i="3"/>
  <c r="L17" i="2"/>
  <c r="D22" i="3"/>
  <c r="D23" i="3"/>
  <c r="L21" i="3"/>
  <c r="L28" i="3"/>
  <c r="D30" i="3"/>
  <c r="D29" i="3"/>
  <c r="J9" i="2"/>
  <c r="H9" i="2"/>
  <c r="D9" i="2"/>
  <c r="J10" i="2"/>
  <c r="H10" i="2"/>
  <c r="D10" i="2"/>
  <c r="H12" i="2"/>
  <c r="D12" i="2"/>
  <c r="J12" i="2"/>
  <c r="F18" i="3"/>
  <c r="F11" i="3"/>
  <c r="F27" i="1"/>
  <c r="D26" i="1"/>
  <c r="F16" i="3"/>
  <c r="F24" i="1"/>
  <c r="H24" i="1"/>
  <c r="D20" i="1"/>
  <c r="F20" i="1"/>
  <c r="H20" i="1"/>
  <c r="D19" i="1"/>
  <c r="F19" i="1"/>
  <c r="H11" i="2"/>
  <c r="D11" i="2"/>
  <c r="L12" i="2"/>
  <c r="J18" i="3"/>
  <c r="F26" i="1"/>
  <c r="H26" i="1"/>
  <c r="F9" i="3"/>
  <c r="H19" i="1"/>
  <c r="G19" i="1"/>
  <c r="G27" i="1"/>
  <c r="H27" i="1"/>
  <c r="F17" i="3"/>
  <c r="F14" i="3"/>
  <c r="H18" i="3"/>
  <c r="F10" i="3"/>
  <c r="G20" i="1"/>
  <c r="J11" i="3"/>
  <c r="G24" i="1"/>
  <c r="H11" i="3"/>
  <c r="G26" i="1"/>
  <c r="H16" i="3"/>
  <c r="D16" i="3"/>
  <c r="H10" i="3"/>
  <c r="J10" i="3"/>
  <c r="J9" i="3"/>
  <c r="H9" i="3"/>
  <c r="J21" i="1"/>
  <c r="D11" i="3"/>
  <c r="L11" i="2"/>
  <c r="H14" i="3"/>
  <c r="J14" i="3"/>
  <c r="H17" i="3"/>
  <c r="J17" i="3"/>
  <c r="D18" i="3"/>
  <c r="J16" i="3"/>
  <c r="J26" i="1"/>
  <c r="L16" i="3"/>
  <c r="L11" i="3"/>
  <c r="L9" i="2"/>
  <c r="J19" i="1"/>
  <c r="L9" i="3"/>
  <c r="D9" i="3"/>
  <c r="D17" i="3"/>
  <c r="J27" i="1"/>
  <c r="L17" i="3"/>
  <c r="L18" i="3"/>
  <c r="J24" i="1"/>
  <c r="L14" i="3"/>
  <c r="D14" i="3"/>
  <c r="J20" i="1"/>
  <c r="L10" i="3"/>
  <c r="D10" i="3"/>
  <c r="L10" i="2"/>
</calcChain>
</file>

<file path=xl/sharedStrings.xml><?xml version="1.0" encoding="utf-8"?>
<sst xmlns="http://schemas.openxmlformats.org/spreadsheetml/2006/main" count="171" uniqueCount="62">
  <si>
    <t>Distribution</t>
  </si>
  <si>
    <t>mu</t>
  </si>
  <si>
    <t>sigma</t>
  </si>
  <si>
    <t>variance</t>
  </si>
  <si>
    <t>shape</t>
  </si>
  <si>
    <t>scale</t>
  </si>
  <si>
    <t>nu=lambda</t>
  </si>
  <si>
    <t>GAMMA</t>
  </si>
  <si>
    <t>Va (l)</t>
  </si>
  <si>
    <t>DL,CO (mmol/min/kPa)</t>
  </si>
  <si>
    <t>DL,CO/Va (mmol/min/kPa/l)</t>
  </si>
  <si>
    <t>Sex (1=male, 0=female):</t>
  </si>
  <si>
    <t>Height (in cm):</t>
  </si>
  <si>
    <t>Measured value</t>
  </si>
  <si>
    <t>Percentile score</t>
  </si>
  <si>
    <t>Predicted value</t>
  </si>
  <si>
    <t>5th percentile (LLN)</t>
  </si>
  <si>
    <t>95th percentile (ULN)</t>
  </si>
  <si>
    <t>Measures GAMLSS</t>
  </si>
  <si>
    <t>GAMLSS</t>
  </si>
  <si>
    <t>LLN</t>
  </si>
  <si>
    <t>ULN</t>
  </si>
  <si>
    <t>CV %</t>
  </si>
  <si>
    <t>SD</t>
  </si>
  <si>
    <t>Age (in years):</t>
  </si>
  <si>
    <t>NORMAL</t>
  </si>
  <si>
    <t>Z-Score</t>
  </si>
  <si>
    <t>Z-score</t>
  </si>
  <si>
    <t>DL,CO hb-cor (mmol/min/kPa)</t>
  </si>
  <si>
    <t>DL,CO/Va hb-cor (mmol/min/kPa/l)</t>
  </si>
  <si>
    <t>DL,NO (mmol/min/kPa)</t>
  </si>
  <si>
    <t>Vc (ml)</t>
  </si>
  <si>
    <t>DL,NO/DL,CO</t>
  </si>
  <si>
    <t>DL,NO/Va (mmol/min/kPa/l)</t>
  </si>
  <si>
    <r>
      <t>Adjusted R</t>
    </r>
    <r>
      <rPr>
        <b/>
        <vertAlign val="superscript"/>
        <sz val="11"/>
        <rFont val="Arial"/>
        <family val="2"/>
      </rPr>
      <t>2</t>
    </r>
  </si>
  <si>
    <t>where A is the age in years, S is the sex (1 for males and 0 for females), and H is the height in cm.</t>
  </si>
  <si>
    <t>Example:</t>
  </si>
  <si>
    <t>BCCG</t>
  </si>
  <si>
    <t>Ordinary least squares regression</t>
  </si>
  <si>
    <t>Measures Ordinary Least Squares regression</t>
  </si>
  <si>
    <t>CO diffusion and Methane dilution(10 s breath-hold )</t>
  </si>
  <si>
    <t>NO diffusion and He dilution(5 s breath-hold)</t>
  </si>
  <si>
    <t>Date of birth (dd-mm-yyyy)</t>
  </si>
  <si>
    <t>Date of measurement (dd-mm-yyyy)</t>
  </si>
  <si>
    <r>
      <t>A 10-year-old boy with a height of 140 cm has a predicted D</t>
    </r>
    <r>
      <rPr>
        <vertAlign val="subscript"/>
        <sz val="12"/>
        <color indexed="8"/>
        <rFont val="Times New Roman"/>
      </rPr>
      <t>LCO</t>
    </r>
    <r>
      <rPr>
        <sz val="12"/>
        <color indexed="8"/>
        <rFont val="Times New Roman"/>
      </rPr>
      <t xml:space="preserve"> of:</t>
    </r>
  </si>
  <si>
    <r>
      <t>The reference equation for D</t>
    </r>
    <r>
      <rPr>
        <vertAlign val="subscript"/>
        <sz val="12"/>
        <color indexed="8"/>
        <rFont val="Times New Roman"/>
      </rPr>
      <t>LCO10s</t>
    </r>
    <r>
      <rPr>
        <sz val="12"/>
        <color indexed="8"/>
        <rFont val="Times New Roman"/>
      </rPr>
      <t xml:space="preserve"> is:</t>
    </r>
  </si>
  <si>
    <t>exp(1.082553+0.017804*A+0.094838*S+1.541901*10^-7 *H^3)</t>
  </si>
  <si>
    <t xml:space="preserve">exp(1.082553+0.017804*10+0.094838*1+1.541901*10^-07*140^3)    = </t>
  </si>
  <si>
    <t>Dm (ml/min/mmHg)</t>
  </si>
  <si>
    <t>Dm  (ml/min/mmHg)</t>
  </si>
  <si>
    <t>2,99*DL,NO (mmol/min/kPa) = DL,NO (ml/min/mmHg)</t>
  </si>
  <si>
    <t>2,99* DL,CO (mmol/min/kPa) = DL,CO (ml/min/mmHg)</t>
  </si>
  <si>
    <t>To calculate Dm, DL,CO and DL,NO have to be changed from mmol/min/kpa to ml/min/mmHg</t>
  </si>
  <si>
    <t xml:space="preserve">k =  θNO/ θCO = </t>
  </si>
  <si>
    <t xml:space="preserve">θNO= </t>
  </si>
  <si>
    <t>α = DmNO/DmCO =</t>
  </si>
  <si>
    <t>θCO corrected for sex</t>
  </si>
  <si>
    <t xml:space="preserve">Dm is calculated from the equation: </t>
  </si>
  <si>
    <r>
      <t>Dm = (1/α-1/</t>
    </r>
    <r>
      <rPr>
        <b/>
        <i/>
        <sz val="11"/>
        <color rgb="FF000000"/>
        <rFont val="Arial"/>
      </rPr>
      <t>k</t>
    </r>
    <r>
      <rPr>
        <b/>
        <sz val="11"/>
        <color rgb="FF000000"/>
        <rFont val="Arial"/>
      </rPr>
      <t>)/(1/DL,NO-1/(k*DL,CO))</t>
    </r>
  </si>
  <si>
    <t>Correction for sex:(females+males&lt;15 y: 14,6/13,4; males≥15:1)</t>
  </si>
  <si>
    <t>1/θCO =(1,3+0,0041*100)</t>
  </si>
  <si>
    <t>1/θCO corrected for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</si>
</sst>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000"/>
    <numFmt numFmtId="165" formatCode="#,##0.000000"/>
    <numFmt numFmtId="166" formatCode="0.000"/>
    <numFmt numFmtId="167" formatCode="#,##0.00000"/>
    <numFmt numFmtId="168" formatCode="#,##0.0000000"/>
    <numFmt numFmtId="169" formatCode="0.00000"/>
  </numFmts>
  <fonts count="20" x14ac:knownFonts="1"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vertAlign val="superscript"/>
      <sz val="11"/>
      <name val="Arial"/>
      <family val="2"/>
    </font>
    <font>
      <sz val="12"/>
      <color indexed="8"/>
      <name val="Times New Roman"/>
    </font>
    <font>
      <vertAlign val="subscript"/>
      <sz val="12"/>
      <color indexed="8"/>
      <name val="Times New Roman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800000"/>
      <name val="Arial"/>
      <family val="2"/>
    </font>
    <font>
      <sz val="12"/>
      <color theme="1"/>
      <name val="Times New Roman"/>
    </font>
    <font>
      <sz val="12"/>
      <color rgb="FF000000"/>
      <name val="Times New Roman"/>
    </font>
    <font>
      <b/>
      <sz val="11"/>
      <color rgb="FFDD0806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</font>
    <font>
      <b/>
      <sz val="11"/>
      <color rgb="FF000000"/>
      <name val="Arial"/>
    </font>
    <font>
      <b/>
      <i/>
      <sz val="11"/>
      <color rgb="FF000000"/>
      <name val="Arial"/>
    </font>
  </fonts>
  <fills count="16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66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1" fillId="0" borderId="0" xfId="0" applyFont="1" applyFill="1"/>
    <xf numFmtId="0" fontId="2" fillId="0" borderId="0" xfId="0" applyFont="1" applyFill="1" applyProtection="1"/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0" borderId="2" xfId="0" applyFont="1" applyBorder="1" applyProtection="1"/>
    <xf numFmtId="0" fontId="2" fillId="0" borderId="0" xfId="0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Protection="1">
      <protection locked="0"/>
    </xf>
    <xf numFmtId="0" fontId="1" fillId="0" borderId="2" xfId="0" applyFont="1" applyBorder="1"/>
    <xf numFmtId="2" fontId="2" fillId="3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/>
    <xf numFmtId="0" fontId="1" fillId="0" borderId="0" xfId="0" applyFont="1" applyFill="1" applyBorder="1"/>
    <xf numFmtId="164" fontId="2" fillId="0" borderId="0" xfId="0" applyNumberFormat="1" applyFont="1" applyFill="1" applyBorder="1" applyProtection="1"/>
    <xf numFmtId="0" fontId="2" fillId="0" borderId="0" xfId="0" applyFont="1" applyFill="1" applyBorder="1"/>
    <xf numFmtId="0" fontId="2" fillId="0" borderId="0" xfId="0" applyFont="1" applyBorder="1"/>
    <xf numFmtId="0" fontId="1" fillId="0" borderId="3" xfId="0" applyFont="1" applyBorder="1"/>
    <xf numFmtId="0" fontId="1" fillId="0" borderId="4" xfId="0" applyFont="1" applyFill="1" applyBorder="1"/>
    <xf numFmtId="0" fontId="1" fillId="0" borderId="3" xfId="0" applyFont="1" applyBorder="1" applyProtection="1">
      <protection locked="0"/>
    </xf>
    <xf numFmtId="0" fontId="2" fillId="0" borderId="3" xfId="0" applyFont="1" applyBorder="1"/>
    <xf numFmtId="0" fontId="2" fillId="0" borderId="4" xfId="0" applyFont="1" applyFill="1" applyBorder="1"/>
    <xf numFmtId="0" fontId="2" fillId="0" borderId="3" xfId="0" applyFont="1" applyFill="1" applyBorder="1"/>
    <xf numFmtId="0" fontId="1" fillId="0" borderId="5" xfId="0" applyFont="1" applyBorder="1"/>
    <xf numFmtId="2" fontId="2" fillId="4" borderId="0" xfId="0" applyNumberFormat="1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 applyProtection="1">
      <alignment horizontal="center"/>
    </xf>
    <xf numFmtId="2" fontId="2" fillId="6" borderId="0" xfId="0" applyNumberFormat="1" applyFont="1" applyFill="1" applyAlignment="1" applyProtection="1">
      <alignment horizontal="center"/>
    </xf>
    <xf numFmtId="2" fontId="2" fillId="7" borderId="0" xfId="0" applyNumberFormat="1" applyFont="1" applyFill="1" applyAlignment="1" applyProtection="1">
      <alignment horizontal="center"/>
    </xf>
    <xf numFmtId="0" fontId="1" fillId="7" borderId="2" xfId="0" applyFont="1" applyFill="1" applyBorder="1" applyAlignment="1" applyProtection="1">
      <alignment horizontal="center"/>
    </xf>
    <xf numFmtId="0" fontId="1" fillId="8" borderId="2" xfId="0" applyFont="1" applyFill="1" applyBorder="1" applyAlignment="1" applyProtection="1">
      <alignment horizontal="center"/>
    </xf>
    <xf numFmtId="2" fontId="2" fillId="8" borderId="0" xfId="0" applyNumberFormat="1" applyFont="1" applyFill="1" applyAlignment="1" applyProtection="1">
      <alignment horizontal="center"/>
    </xf>
    <xf numFmtId="0" fontId="1" fillId="9" borderId="2" xfId="0" applyFont="1" applyFill="1" applyBorder="1" applyAlignment="1" applyProtection="1">
      <alignment horizontal="center"/>
    </xf>
    <xf numFmtId="2" fontId="2" fillId="9" borderId="0" xfId="0" applyNumberFormat="1" applyFont="1" applyFill="1" applyAlignment="1" applyProtection="1">
      <alignment horizontal="center"/>
    </xf>
    <xf numFmtId="2" fontId="2" fillId="10" borderId="0" xfId="0" applyNumberFormat="1" applyFont="1" applyFill="1" applyAlignment="1" applyProtection="1">
      <alignment horizontal="center"/>
      <protection locked="0"/>
    </xf>
    <xf numFmtId="1" fontId="2" fillId="11" borderId="0" xfId="0" applyNumberFormat="1" applyFont="1" applyFill="1" applyProtection="1">
      <protection locked="0"/>
    </xf>
    <xf numFmtId="2" fontId="2" fillId="5" borderId="0" xfId="0" applyNumberFormat="1" applyFont="1" applyFill="1" applyAlignment="1">
      <alignment horizontal="center"/>
    </xf>
    <xf numFmtId="0" fontId="1" fillId="12" borderId="2" xfId="0" applyFont="1" applyFill="1" applyBorder="1" applyAlignment="1">
      <alignment horizontal="center"/>
    </xf>
    <xf numFmtId="2" fontId="2" fillId="12" borderId="0" xfId="0" applyNumberFormat="1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2" fontId="2" fillId="13" borderId="0" xfId="0" applyNumberFormat="1" applyFont="1" applyFill="1" applyAlignment="1">
      <alignment horizontal="center"/>
    </xf>
    <xf numFmtId="0" fontId="7" fillId="0" borderId="0" xfId="0" applyFont="1"/>
    <xf numFmtId="0" fontId="7" fillId="0" borderId="3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1" xfId="0" applyFont="1" applyBorder="1"/>
    <xf numFmtId="0" fontId="7" fillId="0" borderId="4" xfId="0" applyFont="1" applyBorder="1"/>
    <xf numFmtId="0" fontId="7" fillId="0" borderId="6" xfId="0" applyFont="1" applyBorder="1"/>
    <xf numFmtId="0" fontId="8" fillId="0" borderId="0" xfId="0" applyFont="1" applyFill="1" applyBorder="1"/>
    <xf numFmtId="14" fontId="2" fillId="2" borderId="0" xfId="0" applyNumberFormat="1" applyFont="1" applyFill="1" applyProtection="1">
      <protection locked="0"/>
    </xf>
    <xf numFmtId="166" fontId="2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9" fillId="0" borderId="0" xfId="0" applyFont="1"/>
    <xf numFmtId="2" fontId="9" fillId="8" borderId="0" xfId="0" applyNumberFormat="1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/>
    <xf numFmtId="0" fontId="10" fillId="14" borderId="2" xfId="0" applyFont="1" applyFill="1" applyBorder="1" applyAlignment="1">
      <alignment horizontal="center"/>
    </xf>
    <xf numFmtId="2" fontId="7" fillId="14" borderId="0" xfId="0" applyNumberFormat="1" applyFont="1" applyFill="1" applyAlignment="1">
      <alignment horizontal="center"/>
    </xf>
    <xf numFmtId="2" fontId="9" fillId="7" borderId="0" xfId="0" applyNumberFormat="1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0" fillId="15" borderId="2" xfId="0" applyFont="1" applyFill="1" applyBorder="1" applyAlignment="1">
      <alignment horizontal="center"/>
    </xf>
    <xf numFmtId="2" fontId="7" fillId="7" borderId="0" xfId="0" applyNumberFormat="1" applyFont="1" applyFill="1" applyAlignment="1">
      <alignment horizontal="center"/>
    </xf>
    <xf numFmtId="2" fontId="7" fillId="15" borderId="0" xfId="0" applyNumberFormat="1" applyFont="1" applyFill="1" applyAlignment="1">
      <alignment horizontal="center"/>
    </xf>
    <xf numFmtId="0" fontId="10" fillId="0" borderId="0" xfId="0" applyFont="1"/>
    <xf numFmtId="0" fontId="11" fillId="0" borderId="8" xfId="0" applyFont="1" applyBorder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7" fillId="11" borderId="0" xfId="0" applyFont="1" applyFill="1" applyProtection="1">
      <protection locked="0"/>
    </xf>
    <xf numFmtId="14" fontId="7" fillId="11" borderId="0" xfId="0" applyNumberFormat="1" applyFont="1" applyFill="1" applyProtection="1">
      <protection locked="0"/>
    </xf>
    <xf numFmtId="0" fontId="3" fillId="0" borderId="0" xfId="0" applyFont="1" applyProtection="1"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7" fillId="0" borderId="4" xfId="0" applyFont="1" applyFill="1" applyBorder="1"/>
    <xf numFmtId="165" fontId="7" fillId="0" borderId="0" xfId="0" applyNumberFormat="1" applyFont="1" applyFill="1" applyBorder="1"/>
    <xf numFmtId="0" fontId="11" fillId="0" borderId="8" xfId="0" applyFont="1" applyFill="1" applyBorder="1"/>
    <xf numFmtId="0" fontId="7" fillId="0" borderId="8" xfId="0" applyFont="1" applyFill="1" applyBorder="1"/>
    <xf numFmtId="0" fontId="7" fillId="0" borderId="7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Protection="1">
      <protection locked="0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 wrapText="1"/>
    </xf>
    <xf numFmtId="0" fontId="7" fillId="0" borderId="3" xfId="0" applyFont="1" applyFill="1" applyBorder="1"/>
    <xf numFmtId="0" fontId="1" fillId="0" borderId="1" xfId="0" applyNumberFormat="1" applyFont="1" applyFill="1" applyBorder="1"/>
    <xf numFmtId="0" fontId="1" fillId="0" borderId="0" xfId="0" applyNumberFormat="1" applyFont="1" applyFill="1" applyBorder="1"/>
    <xf numFmtId="0" fontId="2" fillId="0" borderId="0" xfId="0" applyNumberFormat="1" applyFont="1" applyFill="1" applyBorder="1"/>
    <xf numFmtId="0" fontId="7" fillId="0" borderId="5" xfId="0" applyFont="1" applyFill="1" applyBorder="1"/>
    <xf numFmtId="0" fontId="7" fillId="0" borderId="1" xfId="0" applyFont="1" applyFill="1" applyBorder="1"/>
    <xf numFmtId="0" fontId="7" fillId="0" borderId="1" xfId="0" applyNumberFormat="1" applyFont="1" applyFill="1" applyBorder="1"/>
    <xf numFmtId="0" fontId="7" fillId="0" borderId="6" xfId="0" applyFont="1" applyFill="1" applyBorder="1"/>
    <xf numFmtId="0" fontId="7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7" fillId="0" borderId="0" xfId="0" applyNumberFormat="1" applyFont="1" applyFill="1"/>
    <xf numFmtId="0" fontId="2" fillId="0" borderId="4" xfId="0" applyFont="1" applyBorder="1"/>
    <xf numFmtId="169" fontId="7" fillId="0" borderId="0" xfId="0" applyNumberFormat="1" applyFont="1" applyFill="1"/>
    <xf numFmtId="167" fontId="7" fillId="0" borderId="0" xfId="0" applyNumberFormat="1" applyFont="1" applyFill="1"/>
    <xf numFmtId="168" fontId="7" fillId="0" borderId="0" xfId="0" applyNumberFormat="1" applyFont="1" applyFill="1"/>
    <xf numFmtId="0" fontId="17" fillId="0" borderId="4" xfId="0" applyFont="1" applyFill="1" applyBorder="1"/>
    <xf numFmtId="0" fontId="17" fillId="0" borderId="0" xfId="0" applyFont="1" applyFill="1"/>
    <xf numFmtId="0" fontId="8" fillId="0" borderId="0" xfId="0" applyFont="1" applyFill="1"/>
    <xf numFmtId="0" fontId="8" fillId="0" borderId="4" xfId="0" applyFont="1" applyFill="1" applyBorder="1"/>
    <xf numFmtId="2" fontId="7" fillId="7" borderId="0" xfId="0" applyNumberFormat="1" applyFont="1" applyFill="1" applyAlignment="1" applyProtection="1">
      <alignment horizontal="center"/>
    </xf>
    <xf numFmtId="0" fontId="8" fillId="0" borderId="0" xfId="0" applyFont="1"/>
    <xf numFmtId="0" fontId="2" fillId="0" borderId="8" xfId="0" applyFont="1" applyBorder="1"/>
    <xf numFmtId="0" fontId="2" fillId="0" borderId="1" xfId="0" applyFont="1" applyBorder="1"/>
    <xf numFmtId="0" fontId="2" fillId="0" borderId="8" xfId="0" applyFont="1" applyFill="1" applyBorder="1"/>
    <xf numFmtId="0" fontId="2" fillId="0" borderId="0" xfId="0" applyFont="1" applyFill="1" applyAlignment="1">
      <alignment vertical="center"/>
    </xf>
    <xf numFmtId="0" fontId="2" fillId="0" borderId="1" xfId="0" applyFont="1" applyFill="1" applyBorder="1"/>
    <xf numFmtId="0" fontId="2" fillId="2" borderId="0" xfId="0" applyNumberFormat="1" applyFont="1" applyFill="1" applyProtection="1">
      <protection locked="0"/>
    </xf>
    <xf numFmtId="0" fontId="7" fillId="0" borderId="0" xfId="0" applyFont="1" applyBorder="1" applyProtection="1">
      <protection locked="0"/>
    </xf>
    <xf numFmtId="2" fontId="2" fillId="3" borderId="0" xfId="0" applyNumberFormat="1" applyFont="1" applyFill="1" applyAlignment="1" applyProtection="1">
      <alignment horizontal="center"/>
    </xf>
    <xf numFmtId="0" fontId="18" fillId="0" borderId="9" xfId="0" applyFont="1" applyBorder="1" applyProtection="1"/>
    <xf numFmtId="0" fontId="10" fillId="0" borderId="8" xfId="0" applyFont="1" applyBorder="1" applyProtection="1"/>
    <xf numFmtId="0" fontId="7" fillId="0" borderId="8" xfId="0" applyFont="1" applyBorder="1" applyProtection="1"/>
    <xf numFmtId="0" fontId="7" fillId="0" borderId="7" xfId="0" applyFont="1" applyBorder="1" applyProtection="1"/>
    <xf numFmtId="0" fontId="18" fillId="0" borderId="3" xfId="0" applyFont="1" applyBorder="1" applyProtection="1"/>
    <xf numFmtId="0" fontId="10" fillId="0" borderId="0" xfId="0" applyFont="1" applyBorder="1" applyProtection="1"/>
    <xf numFmtId="0" fontId="7" fillId="0" borderId="0" xfId="0" applyFont="1" applyBorder="1" applyProtection="1"/>
    <xf numFmtId="0" fontId="7" fillId="0" borderId="4" xfId="0" applyFont="1" applyBorder="1" applyProtection="1"/>
    <xf numFmtId="0" fontId="10" fillId="0" borderId="3" xfId="0" applyFont="1" applyBorder="1" applyProtection="1"/>
    <xf numFmtId="0" fontId="1" fillId="0" borderId="3" xfId="0" applyFont="1" applyBorder="1" applyProtection="1"/>
    <xf numFmtId="0" fontId="19" fillId="0" borderId="3" xfId="0" applyFont="1" applyBorder="1" applyProtection="1"/>
    <xf numFmtId="0" fontId="10" fillId="0" borderId="5" xfId="0" applyFont="1" applyBorder="1" applyProtection="1"/>
    <xf numFmtId="0" fontId="7" fillId="0" borderId="1" xfId="0" applyFont="1" applyBorder="1" applyProtection="1"/>
    <xf numFmtId="0" fontId="7" fillId="0" borderId="6" xfId="0" applyFont="1" applyBorder="1" applyProtection="1"/>
    <xf numFmtId="2" fontId="10" fillId="0" borderId="0" xfId="0" applyNumberFormat="1" applyFont="1" applyBorder="1" applyProtection="1"/>
    <xf numFmtId="2" fontId="10" fillId="0" borderId="1" xfId="0" applyNumberFormat="1" applyFont="1" applyBorder="1" applyProtection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F28" sqref="F28"/>
    </sheetView>
  </sheetViews>
  <sheetFormatPr defaultColWidth="8.875" defaultRowHeight="14.25" x14ac:dyDescent="0.2"/>
  <cols>
    <col min="1" max="1" width="48.125" style="49" bestFit="1" customWidth="1"/>
    <col min="2" max="2" width="15.125" style="90" customWidth="1"/>
    <col min="3" max="3" width="3.375" style="49" customWidth="1"/>
    <col min="4" max="4" width="15.5" style="49" customWidth="1"/>
    <col min="5" max="5" width="3.375" style="49" customWidth="1"/>
    <col min="6" max="6" width="14.875" style="49" customWidth="1"/>
    <col min="7" max="7" width="3.375" style="49" customWidth="1"/>
    <col min="8" max="8" width="18.5" style="49" customWidth="1"/>
    <col min="9" max="9" width="3.375" style="49" customWidth="1"/>
    <col min="10" max="10" width="19.875" style="49" customWidth="1"/>
    <col min="11" max="11" width="3.375" style="49" customWidth="1"/>
    <col min="12" max="12" width="11" style="49" customWidth="1"/>
    <col min="13" max="16384" width="8.875" style="49"/>
  </cols>
  <sheetData>
    <row r="1" spans="1:12" ht="15.75" thickBot="1" x14ac:dyDescent="0.3">
      <c r="A1" s="30" t="s">
        <v>40</v>
      </c>
      <c r="B1" s="87"/>
      <c r="C1" s="6"/>
      <c r="D1" s="6"/>
      <c r="E1" s="6"/>
      <c r="F1" s="6"/>
      <c r="G1" s="6"/>
      <c r="H1" s="6"/>
      <c r="I1" s="6"/>
      <c r="J1" s="6"/>
    </row>
    <row r="2" spans="1:12" x14ac:dyDescent="0.2">
      <c r="A2" s="7"/>
      <c r="B2" s="10"/>
      <c r="C2" s="6"/>
      <c r="D2" s="6"/>
      <c r="E2" s="6"/>
      <c r="F2" s="6"/>
      <c r="G2" s="6"/>
      <c r="H2" s="6"/>
      <c r="I2" s="6"/>
      <c r="J2" s="6"/>
    </row>
    <row r="3" spans="1:12" ht="15" x14ac:dyDescent="0.25">
      <c r="A3" s="8" t="s">
        <v>11</v>
      </c>
      <c r="B3" s="42"/>
      <c r="C3" s="6"/>
      <c r="D3" s="6"/>
      <c r="E3" s="6"/>
      <c r="F3" s="6"/>
      <c r="G3" s="6"/>
      <c r="H3" s="6"/>
      <c r="I3" s="6"/>
      <c r="J3" s="6"/>
    </row>
    <row r="4" spans="1:12" ht="15" x14ac:dyDescent="0.25">
      <c r="A4" s="8" t="s">
        <v>12</v>
      </c>
      <c r="B4" s="85"/>
      <c r="C4" s="6"/>
      <c r="D4" s="6"/>
      <c r="E4" s="6"/>
      <c r="F4" s="6"/>
      <c r="G4" s="6"/>
      <c r="H4" s="6"/>
      <c r="I4" s="6"/>
      <c r="J4" s="6"/>
    </row>
    <row r="5" spans="1:12" ht="15" x14ac:dyDescent="0.25">
      <c r="A5" s="8" t="s">
        <v>42</v>
      </c>
      <c r="B5" s="86"/>
      <c r="C5" s="6"/>
      <c r="D5" s="124" t="str">
        <f>IF(B5="","Date of birth is needed for calculating age","")</f>
        <v>Date of birth is needed for calculating age</v>
      </c>
      <c r="E5" s="6"/>
      <c r="F5" s="6"/>
      <c r="G5" s="6"/>
      <c r="H5" s="6"/>
      <c r="I5" s="6"/>
      <c r="J5" s="6"/>
    </row>
    <row r="6" spans="1:12" ht="15" x14ac:dyDescent="0.25">
      <c r="A6" s="8" t="s">
        <v>43</v>
      </c>
      <c r="B6" s="86"/>
      <c r="C6" s="6"/>
      <c r="D6" s="124" t="str">
        <f>IF(B6="","Date of measurement is needed for calculation of age","")</f>
        <v>Date of measurement is needed for calculation of age</v>
      </c>
      <c r="E6" s="6"/>
      <c r="F6" s="6"/>
      <c r="G6" s="6"/>
      <c r="H6" s="6"/>
      <c r="I6" s="6"/>
      <c r="J6" s="6"/>
    </row>
    <row r="7" spans="1:12" s="67" customForma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2" ht="15" x14ac:dyDescent="0.25">
      <c r="A8" s="11" t="s">
        <v>18</v>
      </c>
      <c r="B8" s="88" t="s">
        <v>13</v>
      </c>
      <c r="C8" s="59"/>
      <c r="D8" s="39" t="s">
        <v>14</v>
      </c>
      <c r="E8" s="60"/>
      <c r="F8" s="37" t="s">
        <v>15</v>
      </c>
      <c r="G8" s="60"/>
      <c r="H8" s="36" t="s">
        <v>16</v>
      </c>
      <c r="I8" s="60"/>
      <c r="J8" s="33" t="s">
        <v>17</v>
      </c>
      <c r="L8" s="76" t="s">
        <v>26</v>
      </c>
    </row>
    <row r="9" spans="1:12" ht="15" x14ac:dyDescent="0.25">
      <c r="A9" s="4" t="s">
        <v>8</v>
      </c>
      <c r="B9" s="41"/>
      <c r="C9" s="12"/>
      <c r="D9" s="40" t="str">
        <f>IF(B9="","",GAMMADIST(B9,Functions!G9,Functions!H9,TRUE))</f>
        <v/>
      </c>
      <c r="E9" s="13"/>
      <c r="F9" s="38">
        <f>Functions!D9</f>
        <v>0.27486670717581729</v>
      </c>
      <c r="G9" s="13"/>
      <c r="H9" s="35">
        <f>GAMMAINV(Functions!B1,Functions!G9,Functions!H9)</f>
        <v>0.2382625613173196</v>
      </c>
      <c r="I9" s="13"/>
      <c r="J9" s="34">
        <f>GAMMAINV(Functions!B2,Functions!G9,Functions!H9)</f>
        <v>0.31364576332137895</v>
      </c>
      <c r="L9" s="78" t="str">
        <f>IF(B9="","",Functions!J9)</f>
        <v/>
      </c>
    </row>
    <row r="10" spans="1:12" ht="15" x14ac:dyDescent="0.25">
      <c r="A10" s="4" t="s">
        <v>9</v>
      </c>
      <c r="B10" s="41"/>
      <c r="C10" s="12"/>
      <c r="D10" s="40" t="str">
        <f>IF(B10="","",GAMMADIST(B10,Functions!G10,Functions!H10,TRUE))</f>
        <v/>
      </c>
      <c r="E10" s="13"/>
      <c r="F10" s="38">
        <f>Functions!D10</f>
        <v>2.9522069225606109</v>
      </c>
      <c r="G10" s="13"/>
      <c r="H10" s="35">
        <f>GAMMAINV(Functions!B1,Functions!G10,Functions!H10)</f>
        <v>2.4296996628507967</v>
      </c>
      <c r="I10" s="13"/>
      <c r="J10" s="34">
        <f>GAMMAINV(Functions!B2,Functions!G10,Functions!H10)</f>
        <v>3.5168756048797922</v>
      </c>
      <c r="L10" s="78" t="str">
        <f>IF(B10="","",Functions!J10)</f>
        <v/>
      </c>
    </row>
    <row r="11" spans="1:12" ht="15" x14ac:dyDescent="0.25">
      <c r="A11" s="4" t="s">
        <v>28</v>
      </c>
      <c r="B11" s="41"/>
      <c r="C11" s="12"/>
      <c r="D11" s="40" t="str">
        <f>IF(B11="","",GAMMADIST(B11,Functions!G11,Functions!H11,TRUE))</f>
        <v/>
      </c>
      <c r="E11" s="13"/>
      <c r="F11" s="38">
        <f>Functions!D11</f>
        <v>1.8910230898630451</v>
      </c>
      <c r="G11" s="13"/>
      <c r="H11" s="35">
        <f>GAMMAINV(Functions!B1,Functions!G11,Functions!H11)</f>
        <v>1.5711518491542869</v>
      </c>
      <c r="I11" s="13"/>
      <c r="J11" s="34">
        <f>GAMMAINV(Functions!B2,Functions!G11,Functions!H11)</f>
        <v>2.2354652256488698</v>
      </c>
      <c r="L11" s="78" t="str">
        <f>IF(B11="","",Functions!J11)</f>
        <v/>
      </c>
    </row>
    <row r="12" spans="1:12" ht="15" x14ac:dyDescent="0.25">
      <c r="A12" s="5" t="s">
        <v>10</v>
      </c>
      <c r="B12" s="41"/>
      <c r="C12" s="12"/>
      <c r="D12" s="40" t="str">
        <f>IF(B12="","",GAMMADIST(B12,Functions!G12,Functions!H12,TRUE))</f>
        <v/>
      </c>
      <c r="E12" s="13"/>
      <c r="F12" s="38">
        <f>Functions!D12</f>
        <v>3.3583775992638243</v>
      </c>
      <c r="G12" s="13"/>
      <c r="H12" s="35">
        <f>GAMMAINV(Functions!B1,Functions!G12,Functions!H12)</f>
        <v>2.7949883212557736</v>
      </c>
      <c r="I12" s="13"/>
      <c r="J12" s="34">
        <f>GAMMAINV(Functions!B2,Functions!G12,Functions!H12)</f>
        <v>3.9646564748189523</v>
      </c>
      <c r="L12" s="78" t="str">
        <f>IF(B12="","",Functions!J12)</f>
        <v/>
      </c>
    </row>
    <row r="13" spans="1:12" ht="15" x14ac:dyDescent="0.25">
      <c r="A13" s="5" t="s">
        <v>29</v>
      </c>
      <c r="B13" s="41"/>
      <c r="C13" s="12"/>
      <c r="D13" s="40" t="str">
        <f>IF(B13="","",GAMMADIST(B13,Functions!G13,Functions!H13,TRUE))</f>
        <v/>
      </c>
      <c r="E13" s="13"/>
      <c r="F13" s="38">
        <f>Functions!D13</f>
        <v>3.6055199839909835</v>
      </c>
      <c r="G13" s="13"/>
      <c r="H13" s="35">
        <f>GAMMAINV(Functions!B1,Functions!G13,Functions!H13)</f>
        <v>3.0095894679619311</v>
      </c>
      <c r="I13" s="13"/>
      <c r="J13" s="34">
        <f>GAMMAINV(Functions!B2,Functions!G13,Functions!H13)</f>
        <v>4.2460933438206716</v>
      </c>
      <c r="L13" s="78" t="str">
        <f>IF(B13="","",Functions!J13)</f>
        <v/>
      </c>
    </row>
    <row r="14" spans="1:12" s="67" customFormat="1" x14ac:dyDescent="0.2">
      <c r="B14" s="89"/>
      <c r="J14" s="3"/>
    </row>
    <row r="15" spans="1:12" ht="15" x14ac:dyDescent="0.25">
      <c r="A15" s="11" t="s">
        <v>39</v>
      </c>
      <c r="B15" s="88" t="s">
        <v>13</v>
      </c>
      <c r="C15" s="59"/>
      <c r="D15" s="39" t="s">
        <v>14</v>
      </c>
      <c r="E15" s="60"/>
      <c r="F15" s="37" t="s">
        <v>15</v>
      </c>
      <c r="G15" s="60"/>
      <c r="H15" s="36" t="s">
        <v>16</v>
      </c>
      <c r="I15" s="60"/>
      <c r="J15" s="33" t="s">
        <v>17</v>
      </c>
      <c r="L15" s="76" t="s">
        <v>26</v>
      </c>
    </row>
    <row r="16" spans="1:12" ht="15" x14ac:dyDescent="0.25">
      <c r="A16" s="4" t="s">
        <v>8</v>
      </c>
      <c r="B16" s="41"/>
      <c r="C16" s="12"/>
      <c r="D16" s="40" t="str">
        <f>IF(B16="","",NORMSDIST(Functions!H36))</f>
        <v/>
      </c>
      <c r="E16" s="13"/>
      <c r="F16" s="38">
        <f>Functions!D36</f>
        <v>0.27540432180007052</v>
      </c>
      <c r="G16" s="13"/>
      <c r="H16" s="77">
        <f>EXP(-0.138845)*F16</f>
        <v>0.23970171087487482</v>
      </c>
      <c r="I16" s="13"/>
      <c r="J16" s="72">
        <f>EXP(0.138845)*F16</f>
        <v>0.3164246937968227</v>
      </c>
      <c r="L16" s="78" t="str">
        <f>IF(B16="","",Functions!H36)</f>
        <v/>
      </c>
    </row>
    <row r="17" spans="1:12" ht="15" x14ac:dyDescent="0.25">
      <c r="A17" s="4" t="s">
        <v>9</v>
      </c>
      <c r="B17" s="41"/>
      <c r="C17" s="12"/>
      <c r="D17" s="40" t="str">
        <f>IF(B17="","",NORMSDIST(Functions!H37))</f>
        <v/>
      </c>
      <c r="E17" s="13"/>
      <c r="F17" s="38">
        <f>Functions!D37</f>
        <v>2.9485838374892364</v>
      </c>
      <c r="G17" s="13"/>
      <c r="H17" s="35">
        <f>EXP(-0.185837)*F17</f>
        <v>2.4485303807841441</v>
      </c>
      <c r="I17" s="13"/>
      <c r="J17" s="34">
        <f>EXP(0.185837)*F17</f>
        <v>3.55076118921524</v>
      </c>
      <c r="L17" s="78" t="str">
        <f>IF(B17="","",Functions!H37)</f>
        <v/>
      </c>
    </row>
    <row r="18" spans="1:12" ht="15" x14ac:dyDescent="0.25">
      <c r="A18" s="4" t="s">
        <v>28</v>
      </c>
      <c r="B18" s="41"/>
      <c r="C18" s="12"/>
      <c r="D18" s="40" t="str">
        <f>IF(B18="","",NORMSDIST(Functions!H38))</f>
        <v/>
      </c>
      <c r="E18" s="13"/>
      <c r="F18" s="38">
        <f>Functions!D38</f>
        <v>1.8735780530379809</v>
      </c>
      <c r="G18" s="13"/>
      <c r="H18" s="35">
        <f>EXP(-0.177694)*F18</f>
        <v>1.5685568612753205</v>
      </c>
      <c r="I18" s="13"/>
      <c r="J18" s="34">
        <f>EXP(0.177694)*F18</f>
        <v>2.2379135927348748</v>
      </c>
      <c r="L18" s="78" t="str">
        <f>IF(B18="","",Functions!H38)</f>
        <v/>
      </c>
    </row>
    <row r="19" spans="1:12" ht="15" x14ac:dyDescent="0.25">
      <c r="A19" s="5" t="s">
        <v>10</v>
      </c>
      <c r="B19" s="41"/>
      <c r="C19" s="12"/>
      <c r="D19" s="40" t="str">
        <f>IF(B19="","",NORMSDIST(Functions!H39))</f>
        <v/>
      </c>
      <c r="E19" s="13"/>
      <c r="F19" s="38">
        <f>Functions!D39</f>
        <v>3.3464329918321525</v>
      </c>
      <c r="G19" s="13"/>
      <c r="H19" s="35">
        <f>EXP(-0.176048)*F19</f>
        <v>2.8062441840292522</v>
      </c>
      <c r="I19" s="13"/>
      <c r="J19" s="34">
        <f>EXP(0.176048)*F19</f>
        <v>3.9906056046568028</v>
      </c>
      <c r="L19" s="78" t="str">
        <f>IF(B19="","",Functions!H39)</f>
        <v/>
      </c>
    </row>
    <row r="20" spans="1:12" ht="15" x14ac:dyDescent="0.25">
      <c r="A20" s="5" t="s">
        <v>29</v>
      </c>
      <c r="B20" s="41"/>
      <c r="C20" s="12"/>
      <c r="D20" s="40" t="str">
        <f>IF(B20="","",NORMSDIST(Functions!H40))</f>
        <v/>
      </c>
      <c r="E20" s="13"/>
      <c r="F20" s="38">
        <f>Functions!D40</f>
        <v>3.5970317806659828</v>
      </c>
      <c r="G20" s="13"/>
      <c r="H20" s="35">
        <f>EXP(-0.173079)*F20</f>
        <v>3.0253597196509565</v>
      </c>
      <c r="I20" s="13"/>
      <c r="J20" s="34">
        <f>EXP(0.173079)*F20</f>
        <v>4.2767270110325448</v>
      </c>
      <c r="L20" s="78" t="str">
        <f>IF(B20="","",Functions!H40)</f>
        <v/>
      </c>
    </row>
  </sheetData>
  <sheetProtection password="BA83" sheet="1" objects="1" scenarios="1"/>
  <dataValidations xWindow="344" yWindow="282" count="1">
    <dataValidation type="whole" allowBlank="1" showInputMessage="1" showErrorMessage="1" error="Sex should be entered as 0 (female) of 1 (male)" promptTitle="Valid values for sex" prompt="Enter sex as 0 (female) of 1 (male)" sqref="B3">
      <formula1>0</formula1>
      <formula2>1</formula2>
    </dataValidation>
  </dataValidations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F41" sqref="F41"/>
    </sheetView>
  </sheetViews>
  <sheetFormatPr defaultColWidth="11" defaultRowHeight="14.25" x14ac:dyDescent="0.2"/>
  <cols>
    <col min="1" max="1" width="57" style="49" customWidth="1"/>
    <col min="2" max="2" width="15.125" style="90" customWidth="1"/>
    <col min="3" max="3" width="3.375" style="49" customWidth="1"/>
    <col min="4" max="4" width="15.5" style="49" customWidth="1"/>
    <col min="5" max="5" width="3.375" style="49" customWidth="1"/>
    <col min="6" max="6" width="14.875" style="49" customWidth="1"/>
    <col min="7" max="7" width="3.375" style="49" customWidth="1"/>
    <col min="8" max="8" width="18.5" style="49" customWidth="1"/>
    <col min="9" max="9" width="3.375" style="49" customWidth="1"/>
    <col min="10" max="10" width="19.875" style="49" customWidth="1"/>
    <col min="11" max="11" width="3.375" style="49" customWidth="1"/>
    <col min="12" max="16384" width="11" style="49"/>
  </cols>
  <sheetData>
    <row r="1" spans="1:12" ht="15.75" thickBot="1" x14ac:dyDescent="0.3">
      <c r="A1" s="30" t="s">
        <v>41</v>
      </c>
      <c r="B1" s="91"/>
      <c r="C1" s="2"/>
      <c r="D1" s="2"/>
      <c r="E1" s="2"/>
      <c r="F1" s="2"/>
      <c r="G1" s="2"/>
      <c r="H1" s="2"/>
      <c r="I1" s="2"/>
      <c r="J1" s="2"/>
    </row>
    <row r="2" spans="1:12" ht="15" x14ac:dyDescent="0.25">
      <c r="A2" s="4"/>
      <c r="B2" s="9"/>
      <c r="C2" s="2"/>
      <c r="D2" s="2"/>
      <c r="E2" s="2"/>
      <c r="F2" s="2"/>
      <c r="G2" s="2"/>
      <c r="H2" s="2"/>
      <c r="I2" s="2"/>
      <c r="J2" s="2"/>
    </row>
    <row r="3" spans="1:12" ht="15" x14ac:dyDescent="0.25">
      <c r="A3" s="4" t="s">
        <v>11</v>
      </c>
      <c r="B3" s="14"/>
      <c r="C3" s="2"/>
      <c r="D3" s="2"/>
      <c r="E3" s="2"/>
      <c r="F3" s="2"/>
      <c r="G3" s="2"/>
      <c r="H3" s="2"/>
      <c r="I3" s="2"/>
      <c r="J3" s="2"/>
    </row>
    <row r="4" spans="1:12" ht="15" x14ac:dyDescent="0.25">
      <c r="A4" s="4" t="s">
        <v>12</v>
      </c>
      <c r="B4" s="130"/>
      <c r="C4" s="2"/>
      <c r="D4" s="2"/>
      <c r="E4" s="2"/>
      <c r="F4" s="2"/>
      <c r="G4" s="2"/>
      <c r="H4" s="2"/>
      <c r="I4" s="2"/>
      <c r="J4" s="2"/>
    </row>
    <row r="5" spans="1:12" ht="15" x14ac:dyDescent="0.25">
      <c r="A5" s="4" t="s">
        <v>42</v>
      </c>
      <c r="B5" s="57"/>
      <c r="C5" s="2"/>
      <c r="D5" s="124" t="str">
        <f>IF(B5="","Date of birth is needed for calculating age","")</f>
        <v>Date of birth is needed for calculating age</v>
      </c>
      <c r="E5" s="2"/>
      <c r="F5" s="2"/>
      <c r="G5" s="2"/>
      <c r="H5" s="2"/>
      <c r="I5" s="2"/>
      <c r="J5" s="2"/>
    </row>
    <row r="6" spans="1:12" ht="15" x14ac:dyDescent="0.25">
      <c r="A6" s="4" t="s">
        <v>43</v>
      </c>
      <c r="B6" s="57"/>
      <c r="C6" s="2"/>
      <c r="D6" s="124" t="str">
        <f>IF(B6="","Date of measurement is needed for calculation of age","")</f>
        <v>Date of measurement is needed for calculation of age</v>
      </c>
      <c r="E6" s="2"/>
      <c r="F6" s="2"/>
      <c r="G6" s="2"/>
      <c r="H6" s="2"/>
      <c r="I6" s="2"/>
      <c r="J6" s="2"/>
    </row>
    <row r="7" spans="1:12" x14ac:dyDescent="0.2">
      <c r="A7" s="9"/>
      <c r="B7" s="9"/>
      <c r="C7" s="9"/>
      <c r="D7" s="9"/>
      <c r="E7" s="9"/>
      <c r="F7" s="9"/>
      <c r="G7" s="9"/>
      <c r="H7" s="9"/>
      <c r="I7" s="9"/>
      <c r="J7" s="9"/>
    </row>
    <row r="8" spans="1:12" ht="15" x14ac:dyDescent="0.25">
      <c r="A8" s="15" t="s">
        <v>18</v>
      </c>
      <c r="B8" s="92" t="s">
        <v>13</v>
      </c>
      <c r="C8" s="61"/>
      <c r="D8" s="47" t="s">
        <v>14</v>
      </c>
      <c r="E8" s="62"/>
      <c r="F8" s="46" t="s">
        <v>15</v>
      </c>
      <c r="G8" s="62"/>
      <c r="H8" s="44" t="s">
        <v>16</v>
      </c>
      <c r="I8" s="62"/>
      <c r="J8" s="32" t="s">
        <v>17</v>
      </c>
      <c r="L8" s="69" t="s">
        <v>27</v>
      </c>
    </row>
    <row r="9" spans="1:12" ht="15" x14ac:dyDescent="0.25">
      <c r="A9" s="4" t="s">
        <v>8</v>
      </c>
      <c r="B9" s="16"/>
      <c r="C9" s="17"/>
      <c r="D9" s="48" t="str">
        <f>IF(B9="","",_xlfn.GAMMA.DIST(B9,Functions!G19,Functions!H19,TRUE))</f>
        <v/>
      </c>
      <c r="E9" s="18"/>
      <c r="F9" s="31">
        <f>Functions!D19</f>
        <v>0.49960324777562137</v>
      </c>
      <c r="G9" s="18"/>
      <c r="H9" s="45">
        <f>GAMMAINV(Functions!B1,Functions!G19,Functions!H19)</f>
        <v>0.4344151169704405</v>
      </c>
      <c r="I9" s="18"/>
      <c r="J9" s="43">
        <f>GAMMAINV(Functions!B2,Functions!G19,Functions!H19)</f>
        <v>0.568581503726448</v>
      </c>
      <c r="L9" s="70" t="str">
        <f>IF(B9="","",Functions!J19)</f>
        <v/>
      </c>
    </row>
    <row r="10" spans="1:12" ht="15" x14ac:dyDescent="0.25">
      <c r="A10" s="4" t="s">
        <v>9</v>
      </c>
      <c r="B10" s="16"/>
      <c r="C10" s="17"/>
      <c r="D10" s="48" t="str">
        <f>IF(B10="","",_xlfn.GAMMA.DIST(B10,Functions!G20,Functions!H20,TRUE))</f>
        <v/>
      </c>
      <c r="E10" s="18"/>
      <c r="F10" s="31">
        <f>Functions!D20</f>
        <v>2.5703215299201325</v>
      </c>
      <c r="G10" s="18"/>
      <c r="H10" s="45">
        <f>GAMMAINV(Functions!B1,Functions!G20,Functions!H20)</f>
        <v>2.1423790775690343</v>
      </c>
      <c r="I10" s="18"/>
      <c r="J10" s="43">
        <f>GAMMAINV(Functions!B2,Functions!G20,Functions!H20)</f>
        <v>3.030576732742595</v>
      </c>
      <c r="L10" s="70" t="str">
        <f>IF(B10="","",Functions!J20)</f>
        <v/>
      </c>
    </row>
    <row r="11" spans="1:12" ht="15" x14ac:dyDescent="0.25">
      <c r="A11" s="4" t="s">
        <v>28</v>
      </c>
      <c r="B11" s="16"/>
      <c r="C11" s="17"/>
      <c r="D11" s="40" t="str">
        <f>IF(B11="","",_xlfn.NORM.S.DIST(Functions!J21,TRUE))</f>
        <v/>
      </c>
      <c r="E11" s="18"/>
      <c r="F11" s="31">
        <f>Functions!D21</f>
        <v>1.8949074532372741</v>
      </c>
      <c r="G11" s="18"/>
      <c r="H11" s="123">
        <f>Functions!D21*(1+Functions!I21*Functions!E21*NORMINV(Functions!B1,0,1))^(1/Functions!I21)</f>
        <v>1.5870568238277605</v>
      </c>
      <c r="I11" s="18"/>
      <c r="J11" s="43">
        <f>Functions!D21*(1+Functions!I21*Functions!E21*NORMINV(Functions!B2,0,1))^(1/Functions!I21)</f>
        <v>2.2326109621240189</v>
      </c>
      <c r="L11" s="70" t="str">
        <f>IF(B11="","",Functions!J21)</f>
        <v/>
      </c>
    </row>
    <row r="12" spans="1:12" ht="15" x14ac:dyDescent="0.25">
      <c r="A12" s="4" t="s">
        <v>10</v>
      </c>
      <c r="B12" s="16"/>
      <c r="C12" s="17"/>
      <c r="D12" s="48" t="str">
        <f>IF(B12="","",_xlfn.GAMMA.DIST(B12,Functions!G22,Functions!H22,TRUE))</f>
        <v/>
      </c>
      <c r="E12" s="18"/>
      <c r="F12" s="31">
        <f>Functions!D22</f>
        <v>2.6031857931199682</v>
      </c>
      <c r="G12" s="18"/>
      <c r="H12" s="45">
        <f>GAMMAINV(Functions!B1,Functions!G22,Functions!H22)</f>
        <v>2.2141538384433388</v>
      </c>
      <c r="I12" s="18"/>
      <c r="J12" s="43">
        <f>GAMMAINV(Functions!B2,Functions!G22,Functions!H22)</f>
        <v>3.0183632791025388</v>
      </c>
      <c r="L12" s="70" t="str">
        <f>IF(B12="","",Functions!J22)</f>
        <v/>
      </c>
    </row>
    <row r="13" spans="1:12" ht="15" x14ac:dyDescent="0.25">
      <c r="A13" s="4" t="s">
        <v>29</v>
      </c>
      <c r="B13" s="16"/>
      <c r="C13" s="17"/>
      <c r="D13" s="48" t="str">
        <f>IF(B13="","",_xlfn.GAMMA.DIST(B13,Functions!G23,Functions!H23,TRUE))</f>
        <v/>
      </c>
      <c r="E13" s="18"/>
      <c r="F13" s="31">
        <f>Functions!D23</f>
        <v>5.046495288101414</v>
      </c>
      <c r="G13" s="18"/>
      <c r="H13" s="45">
        <f>GAMMAINV(Functions!B1,Functions!G23,Functions!H23)</f>
        <v>4.2910452768416505</v>
      </c>
      <c r="I13" s="18"/>
      <c r="J13" s="43">
        <f>GAMMAINV(Functions!B2,Functions!G23,Functions!H23)</f>
        <v>5.8528089529613041</v>
      </c>
      <c r="L13" s="70" t="str">
        <f>IF(B13="","",Functions!J23)</f>
        <v/>
      </c>
    </row>
    <row r="14" spans="1:12" ht="15" x14ac:dyDescent="0.25">
      <c r="A14" s="4" t="s">
        <v>30</v>
      </c>
      <c r="B14" s="16"/>
      <c r="C14" s="65"/>
      <c r="D14" s="48" t="str">
        <f>IF(B14="","",_xlfn.GAMMA.DIST(B14,Functions!G24,Functions!H24,TRUE))</f>
        <v/>
      </c>
      <c r="E14" s="65"/>
      <c r="F14" s="66">
        <f>Functions!D24</f>
        <v>3.7228890752748747</v>
      </c>
      <c r="G14" s="65"/>
      <c r="H14" s="45">
        <f>GAMMAINV(Functions!B1,Functions!G24,Functions!H24)</f>
        <v>3.1012311908684684</v>
      </c>
      <c r="I14" s="65"/>
      <c r="J14" s="43">
        <f>GAMMAINV(Functions!B2,Functions!G24,Functions!H24)</f>
        <v>4.3916359489806789</v>
      </c>
      <c r="L14" s="70" t="str">
        <f>IF(B14="","",Functions!J24)</f>
        <v/>
      </c>
    </row>
    <row r="15" spans="1:12" ht="15" x14ac:dyDescent="0.25">
      <c r="A15" s="4" t="s">
        <v>33</v>
      </c>
      <c r="B15" s="16"/>
      <c r="C15" s="65"/>
      <c r="D15" s="48" t="str">
        <f>IF(B15="","",_xlfn.NORM.S.DIST(Functions!J25,TRUE))</f>
        <v/>
      </c>
      <c r="E15" s="65"/>
      <c r="F15" s="66">
        <f>Functions!D25</f>
        <v>3.5509635883713457</v>
      </c>
      <c r="G15" s="65"/>
      <c r="H15" s="45">
        <f>NORMINV(Functions!B1,Functions!D25,Functions!E25)</f>
        <v>2.3766398974603167</v>
      </c>
      <c r="I15" s="65"/>
      <c r="J15" s="43">
        <f>NORMINV(Functions!B2,Functions!D25,Functions!E25)</f>
        <v>4.7252872792823739</v>
      </c>
      <c r="L15" s="70" t="str">
        <f>IF(B15="","",Functions!J25)</f>
        <v/>
      </c>
    </row>
    <row r="16" spans="1:12" ht="15" x14ac:dyDescent="0.25">
      <c r="A16" s="4" t="s">
        <v>31</v>
      </c>
      <c r="B16" s="16"/>
      <c r="C16" s="65"/>
      <c r="D16" s="48" t="str">
        <f>IF(B16="","",_xlfn.GAMMA.DIST(B16,Functions!G26,Functions!H26,TRUE))</f>
        <v/>
      </c>
      <c r="E16" s="65"/>
      <c r="F16" s="66">
        <f>Functions!D26</f>
        <v>15.330295980949789</v>
      </c>
      <c r="G16" s="65"/>
      <c r="H16" s="45">
        <f>GAMMAINV(Functions!B1,Functions!G26,Functions!H26)</f>
        <v>12.386208120063539</v>
      </c>
      <c r="I16" s="65"/>
      <c r="J16" s="43">
        <f>GAMMAINV(Functions!B2,Functions!G26,Functions!H26)</f>
        <v>18.534134282680746</v>
      </c>
      <c r="L16" s="70" t="str">
        <f>IF(B16="","",Functions!J26)</f>
        <v/>
      </c>
    </row>
    <row r="17" spans="1:14" ht="15" x14ac:dyDescent="0.25">
      <c r="A17" s="4" t="s">
        <v>49</v>
      </c>
      <c r="B17" s="132" t="e">
        <f>B34</f>
        <v>#DIV/0!</v>
      </c>
      <c r="C17" s="65"/>
      <c r="D17" s="48" t="e">
        <f>IF(B17="","",_xlfn.GAMMA.DIST(B17,Functions!G27,Functions!H27,TRUE))</f>
        <v>#DIV/0!</v>
      </c>
      <c r="E17" s="65"/>
      <c r="F17" s="66">
        <f>Functions!D27</f>
        <v>8.2928939707828437</v>
      </c>
      <c r="G17" s="65"/>
      <c r="H17" s="45">
        <f>GAMMAINV(Functions!B1,Functions!G27,Functions!H27)</f>
        <v>6.4275831338265883</v>
      </c>
      <c r="I17" s="65"/>
      <c r="J17" s="43">
        <f>GAMMAINV(Functions!B2,Functions!G27,Functions!H27)</f>
        <v>10.354303278445775</v>
      </c>
      <c r="L17" s="70" t="e">
        <f>IF(B17="","",Functions!J27)</f>
        <v>#DIV/0!</v>
      </c>
    </row>
    <row r="18" spans="1:14" s="67" customFormat="1" ht="15" x14ac:dyDescent="0.25">
      <c r="A18" s="100" t="s">
        <v>32</v>
      </c>
      <c r="B18" s="16"/>
      <c r="C18" s="49"/>
      <c r="D18" s="48" t="str">
        <f>IF(B18="","",_xlfn.NORM.S.DIST(Functions!J28,TRUE))</f>
        <v/>
      </c>
      <c r="E18" s="13"/>
      <c r="F18" s="66">
        <f>Functions!D28</f>
        <v>2.561876505674674</v>
      </c>
      <c r="G18" s="65"/>
      <c r="H18" s="45">
        <f>NORMINV(Functions!B1,Functions!D28,Functions!E28)</f>
        <v>2.131074466529046</v>
      </c>
      <c r="I18" s="65"/>
      <c r="J18" s="43">
        <f>NORMINV(Functions!B2,Functions!D28,Functions!E28)</f>
        <v>2.9926785448203015</v>
      </c>
      <c r="K18" s="49"/>
      <c r="L18" s="70" t="str">
        <f>IF(B18="","",Functions!J28)</f>
        <v/>
      </c>
      <c r="M18" s="49"/>
      <c r="N18" s="49"/>
    </row>
    <row r="19" spans="1:14" s="67" customFormat="1" x14ac:dyDescent="0.2">
      <c r="A19" s="68"/>
      <c r="B19" s="90"/>
      <c r="C19" s="49"/>
      <c r="D19" s="49"/>
      <c r="E19" s="13"/>
      <c r="F19" s="49"/>
      <c r="G19" s="13"/>
      <c r="H19" s="49"/>
      <c r="I19" s="13"/>
      <c r="J19" s="49"/>
      <c r="K19" s="49"/>
      <c r="L19" s="49"/>
      <c r="M19" s="49"/>
      <c r="N19" s="49"/>
    </row>
    <row r="20" spans="1:14" ht="15" x14ac:dyDescent="0.25">
      <c r="A20" s="15" t="s">
        <v>39</v>
      </c>
      <c r="B20" s="92" t="s">
        <v>13</v>
      </c>
      <c r="C20" s="61"/>
      <c r="D20" s="47" t="s">
        <v>14</v>
      </c>
      <c r="E20" s="62"/>
      <c r="F20" s="46" t="s">
        <v>15</v>
      </c>
      <c r="G20" s="62"/>
      <c r="H20" s="44" t="s">
        <v>16</v>
      </c>
      <c r="I20" s="62"/>
      <c r="J20" s="32" t="s">
        <v>17</v>
      </c>
      <c r="L20" s="69" t="s">
        <v>27</v>
      </c>
    </row>
    <row r="21" spans="1:14" ht="15" x14ac:dyDescent="0.25">
      <c r="A21" s="4" t="s">
        <v>8</v>
      </c>
      <c r="B21" s="16"/>
      <c r="C21" s="17"/>
      <c r="D21" s="48" t="str">
        <f>IF(B21="","",NORMSDIST(Functions!H46))</f>
        <v/>
      </c>
      <c r="E21" s="18"/>
      <c r="F21" s="31">
        <f>Functions!D46</f>
        <v>0.49841460907013851</v>
      </c>
      <c r="G21" s="18"/>
      <c r="H21" s="45">
        <f>EXP(-0.135729)*F21</f>
        <v>0.43515543059562539</v>
      </c>
      <c r="I21" s="18"/>
      <c r="J21" s="43">
        <f>EXP(0.135729)*F21</f>
        <v>0.57086986641649951</v>
      </c>
      <c r="L21" s="70" t="str">
        <f>IF(B21="","",Functions!H46)</f>
        <v/>
      </c>
    </row>
    <row r="22" spans="1:14" ht="15" x14ac:dyDescent="0.25">
      <c r="A22" s="4" t="s">
        <v>9</v>
      </c>
      <c r="B22" s="16"/>
      <c r="C22" s="17"/>
      <c r="D22" s="48" t="str">
        <f>IF(B22="","",NORMSDIST(Functions!H47))</f>
        <v/>
      </c>
      <c r="E22" s="18"/>
      <c r="F22" s="31">
        <f>Functions!D47</f>
        <v>2.5654451209505735</v>
      </c>
      <c r="G22" s="18"/>
      <c r="H22" s="45">
        <f>EXP(-0.17483)*F22</f>
        <v>2.1539470580571658</v>
      </c>
      <c r="I22" s="18"/>
      <c r="J22" s="43">
        <f>EXP(0.17483)*F22</f>
        <v>3.0555573053617877</v>
      </c>
      <c r="L22" s="70" t="str">
        <f>IF(B22="","",Functions!H47)</f>
        <v/>
      </c>
    </row>
    <row r="23" spans="1:14" ht="15" x14ac:dyDescent="0.25">
      <c r="A23" s="4" t="s">
        <v>28</v>
      </c>
      <c r="B23" s="16"/>
      <c r="C23" s="17"/>
      <c r="D23" s="48" t="str">
        <f>IF(B23="","",NORMSDIST(Functions!H48))</f>
        <v/>
      </c>
      <c r="E23" s="18"/>
      <c r="F23" s="31">
        <f>Functions!D48</f>
        <v>1.8353753298151467</v>
      </c>
      <c r="G23" s="18"/>
      <c r="H23" s="45">
        <f>EXP(-0.172159)*F23</f>
        <v>1.5451021118839321</v>
      </c>
      <c r="I23" s="18"/>
      <c r="J23" s="43">
        <f>EXP(0.172159)*F23</f>
        <v>2.180181216105352</v>
      </c>
      <c r="L23" s="70" t="str">
        <f>IF(B23="","",Functions!H48)</f>
        <v/>
      </c>
    </row>
    <row r="24" spans="1:14" ht="15" x14ac:dyDescent="0.25">
      <c r="A24" s="4" t="s">
        <v>10</v>
      </c>
      <c r="B24" s="16"/>
      <c r="C24" s="17"/>
      <c r="D24" s="48" t="str">
        <f>IF(B24="","",NORMSDIST(Functions!H49))</f>
        <v/>
      </c>
      <c r="E24" s="18"/>
      <c r="F24" s="31">
        <f>Functions!D49</f>
        <v>2.5858648065497758</v>
      </c>
      <c r="G24" s="18"/>
      <c r="H24" s="45">
        <f>EXP(-0.155572)*F24</f>
        <v>2.2133074932153911</v>
      </c>
      <c r="I24" s="18"/>
      <c r="J24" s="43">
        <f>EXP(0.155572)*F24</f>
        <v>3.0211332217732587</v>
      </c>
      <c r="L24" s="70" t="str">
        <f>IF(B24="","",Functions!H49)</f>
        <v/>
      </c>
    </row>
    <row r="25" spans="1:14" ht="15" x14ac:dyDescent="0.25">
      <c r="A25" s="4" t="s">
        <v>29</v>
      </c>
      <c r="B25" s="16"/>
      <c r="C25" s="17"/>
      <c r="D25" s="48" t="str">
        <f>IF(B25="","",NORMSDIST(Functions!H50))</f>
        <v/>
      </c>
      <c r="E25" s="18"/>
      <c r="F25" s="31">
        <f>Functions!D50</f>
        <v>4.889886047277396</v>
      </c>
      <c r="G25" s="18"/>
      <c r="H25" s="45">
        <f>EXP(-0.155836)*F25</f>
        <v>4.1842731121385501</v>
      </c>
      <c r="I25" s="18"/>
      <c r="J25" s="43">
        <f>EXP(0.155836)*F25</f>
        <v>5.7144896890197092</v>
      </c>
      <c r="L25" s="70" t="str">
        <f>IF(B25="","",Functions!H50)</f>
        <v/>
      </c>
    </row>
    <row r="26" spans="1:14" ht="15" x14ac:dyDescent="0.25">
      <c r="A26" s="4" t="s">
        <v>30</v>
      </c>
      <c r="B26" s="16"/>
      <c r="C26" s="65"/>
      <c r="D26" s="48" t="str">
        <f>IF(B26="","",NORMSDIST(Functions!H51))</f>
        <v/>
      </c>
      <c r="E26" s="65"/>
      <c r="F26" s="66">
        <f>Functions!D51</f>
        <v>3.6053180805252296</v>
      </c>
      <c r="G26" s="65"/>
      <c r="H26" s="71">
        <f>EXP(-0.175846)*F26</f>
        <v>3.0239502304580879</v>
      </c>
      <c r="I26" s="65"/>
      <c r="J26" s="72">
        <f>EXP(0.175846)*F26</f>
        <v>4.2984564794881077</v>
      </c>
      <c r="L26" s="70" t="str">
        <f>IF(B26="","",Functions!H51)</f>
        <v/>
      </c>
    </row>
    <row r="27" spans="1:14" ht="15" x14ac:dyDescent="0.25">
      <c r="A27" s="4" t="s">
        <v>33</v>
      </c>
      <c r="B27" s="16"/>
      <c r="C27" s="65"/>
      <c r="D27" s="48" t="str">
        <f>IF(B27="","",NORMSDIST(Functions!H52))</f>
        <v/>
      </c>
      <c r="E27" s="65"/>
      <c r="F27" s="66">
        <f>Functions!D52</f>
        <v>3.4573866492530332</v>
      </c>
      <c r="G27" s="65"/>
      <c r="H27" s="71">
        <f>EXP(-0.144655)*F27</f>
        <v>2.9917485027147985</v>
      </c>
      <c r="I27" s="65"/>
      <c r="J27" s="72">
        <f>EXP(0.144655)*F27</f>
        <v>3.995497091946782</v>
      </c>
      <c r="L27" s="70" t="str">
        <f>IF(B27="","",Functions!H52)</f>
        <v/>
      </c>
    </row>
    <row r="28" spans="1:14" ht="15" x14ac:dyDescent="0.25">
      <c r="A28" s="4" t="s">
        <v>31</v>
      </c>
      <c r="B28" s="16"/>
      <c r="C28" s="65"/>
      <c r="D28" s="48" t="str">
        <f>IF(B28="","",NORMSDIST(Functions!H53))</f>
        <v/>
      </c>
      <c r="E28" s="65"/>
      <c r="F28" s="66">
        <f>Functions!D53</f>
        <v>14.840367476499514</v>
      </c>
      <c r="G28" s="65"/>
      <c r="H28" s="71">
        <f>EXP(-0.203597)*F28</f>
        <v>12.106639244310996</v>
      </c>
      <c r="I28" s="65"/>
      <c r="J28" s="72">
        <f>EXP(0.203597)*F28</f>
        <v>18.191382628423113</v>
      </c>
      <c r="L28" s="70" t="str">
        <f>IF(B28="","",Functions!H53)</f>
        <v/>
      </c>
    </row>
    <row r="29" spans="1:14" ht="15" x14ac:dyDescent="0.25">
      <c r="A29" s="4" t="s">
        <v>48</v>
      </c>
      <c r="B29" s="132" t="e">
        <f>B34</f>
        <v>#DIV/0!</v>
      </c>
      <c r="C29" s="65"/>
      <c r="D29" s="48" t="e">
        <f>IF(B29="","",NORMSDIST(Functions!H54))</f>
        <v>#DIV/0!</v>
      </c>
      <c r="E29" s="65"/>
      <c r="F29" s="66">
        <f>Functions!D54</f>
        <v>7.8330346345860695</v>
      </c>
      <c r="G29" s="65"/>
      <c r="H29" s="71">
        <f>EXP(-0.241307)*F29</f>
        <v>6.1536352207699201</v>
      </c>
      <c r="I29" s="65"/>
      <c r="J29" s="72">
        <f>EXP(0.241307)*F29</f>
        <v>9.9707618968919363</v>
      </c>
      <c r="L29" s="70" t="e">
        <f>IF(B29="","",Functions!H54)</f>
        <v>#DIV/0!</v>
      </c>
    </row>
    <row r="30" spans="1:14" ht="15" x14ac:dyDescent="0.25">
      <c r="A30" s="4" t="s">
        <v>32</v>
      </c>
      <c r="B30" s="16"/>
      <c r="C30" s="65"/>
      <c r="D30" s="48" t="str">
        <f>IF(B30="","",NORMSDIST(Functions!H55))</f>
        <v/>
      </c>
      <c r="E30" s="65"/>
      <c r="F30" s="66">
        <f>Functions!D55</f>
        <v>2.5168320810439644</v>
      </c>
      <c r="G30" s="65"/>
      <c r="H30" s="71">
        <f>EXP(-0.094557)*F30</f>
        <v>2.2897531110832405</v>
      </c>
      <c r="I30" s="65"/>
      <c r="J30" s="72">
        <f>EXP(0.094557)*F30</f>
        <v>2.7664308844089232</v>
      </c>
      <c r="L30" s="70" t="str">
        <f>IF(B30="","",Functions!H55)</f>
        <v/>
      </c>
    </row>
    <row r="31" spans="1:14" s="67" customFormat="1" ht="15" thickBot="1" x14ac:dyDescent="0.25">
      <c r="B31" s="89"/>
      <c r="F31" s="73"/>
      <c r="H31" s="74"/>
      <c r="J31" s="75"/>
    </row>
    <row r="32" spans="1:14" ht="15" x14ac:dyDescent="0.25">
      <c r="A32" s="133" t="s">
        <v>57</v>
      </c>
      <c r="B32" s="134"/>
      <c r="C32" s="135"/>
      <c r="D32" s="136"/>
    </row>
    <row r="33" spans="1:4" ht="15" x14ac:dyDescent="0.25">
      <c r="A33" s="137"/>
      <c r="B33" s="138"/>
      <c r="C33" s="139"/>
      <c r="D33" s="140"/>
    </row>
    <row r="34" spans="1:4" ht="15" x14ac:dyDescent="0.25">
      <c r="A34" s="137" t="s">
        <v>58</v>
      </c>
      <c r="B34" s="147" t="e">
        <f>(1/B42-1/B43)/(1/B39-1/(B43*B38))</f>
        <v>#DIV/0!</v>
      </c>
      <c r="C34" s="139"/>
      <c r="D34" s="140"/>
    </row>
    <row r="35" spans="1:4" ht="15" x14ac:dyDescent="0.25">
      <c r="A35" s="141"/>
      <c r="B35" s="138"/>
      <c r="C35" s="139"/>
      <c r="D35" s="140"/>
    </row>
    <row r="36" spans="1:4" ht="15" x14ac:dyDescent="0.25">
      <c r="A36" s="137" t="s">
        <v>52</v>
      </c>
      <c r="B36" s="138"/>
      <c r="C36" s="139"/>
      <c r="D36" s="140"/>
    </row>
    <row r="37" spans="1:4" ht="15" x14ac:dyDescent="0.25">
      <c r="A37" s="137"/>
      <c r="B37" s="138"/>
      <c r="C37" s="139"/>
      <c r="D37" s="140"/>
    </row>
    <row r="38" spans="1:4" ht="15" x14ac:dyDescent="0.25">
      <c r="A38" s="137" t="s">
        <v>51</v>
      </c>
      <c r="B38" s="147">
        <f>2.99*B10</f>
        <v>0</v>
      </c>
      <c r="C38" s="139"/>
      <c r="D38" s="140"/>
    </row>
    <row r="39" spans="1:4" ht="15" x14ac:dyDescent="0.25">
      <c r="A39" s="142" t="s">
        <v>50</v>
      </c>
      <c r="B39" s="147">
        <f>2.99*B14</f>
        <v>0</v>
      </c>
      <c r="C39" s="139"/>
      <c r="D39" s="140"/>
    </row>
    <row r="40" spans="1:4" ht="15" x14ac:dyDescent="0.25">
      <c r="A40" s="137"/>
      <c r="B40" s="138"/>
      <c r="C40" s="139"/>
      <c r="D40" s="140"/>
    </row>
    <row r="41" spans="1:4" ht="15" x14ac:dyDescent="0.25">
      <c r="A41" s="141"/>
      <c r="B41" s="138"/>
      <c r="C41" s="139"/>
      <c r="D41" s="140"/>
    </row>
    <row r="42" spans="1:4" ht="15" x14ac:dyDescent="0.25">
      <c r="A42" s="141" t="s">
        <v>55</v>
      </c>
      <c r="B42" s="138">
        <f>1.97</f>
        <v>1.97</v>
      </c>
      <c r="C42" s="139"/>
      <c r="D42" s="140"/>
    </row>
    <row r="43" spans="1:4" ht="15" x14ac:dyDescent="0.25">
      <c r="A43" s="143" t="s">
        <v>53</v>
      </c>
      <c r="B43" s="147">
        <f>4.5/B50</f>
        <v>8.38410447761194</v>
      </c>
      <c r="C43" s="139"/>
      <c r="D43" s="140"/>
    </row>
    <row r="44" spans="1:4" ht="15" x14ac:dyDescent="0.25">
      <c r="A44" s="141"/>
      <c r="B44" s="138"/>
      <c r="C44" s="139"/>
      <c r="D44" s="140"/>
    </row>
    <row r="45" spans="1:4" ht="15" x14ac:dyDescent="0.25">
      <c r="A45" s="141"/>
      <c r="B45" s="138"/>
      <c r="C45" s="139"/>
      <c r="D45" s="140"/>
    </row>
    <row r="46" spans="1:4" ht="15" x14ac:dyDescent="0.25">
      <c r="A46" s="141" t="s">
        <v>54</v>
      </c>
      <c r="B46" s="138">
        <f>4.5</f>
        <v>4.5</v>
      </c>
      <c r="C46" s="139"/>
      <c r="D46" s="140"/>
    </row>
    <row r="47" spans="1:4" ht="15" x14ac:dyDescent="0.25">
      <c r="A47" s="141" t="s">
        <v>60</v>
      </c>
      <c r="B47" s="138">
        <f>(1.3+0.0041*100)</f>
        <v>1.71</v>
      </c>
      <c r="C47" s="139"/>
      <c r="D47" s="140"/>
    </row>
    <row r="48" spans="1:4" ht="15" x14ac:dyDescent="0.25">
      <c r="A48" s="141" t="s">
        <v>59</v>
      </c>
      <c r="B48" s="147">
        <f>IF(AND(B3=1,Functions!B17&gt;=15),1,14.6/13.4)</f>
        <v>1.0895522388059702</v>
      </c>
      <c r="C48" s="139"/>
      <c r="D48" s="140"/>
    </row>
    <row r="49" spans="1:4" ht="15" x14ac:dyDescent="0.25">
      <c r="A49" s="141" t="s">
        <v>61</v>
      </c>
      <c r="B49" s="147">
        <f>B47*B48</f>
        <v>1.8631343283582089</v>
      </c>
      <c r="C49" s="139"/>
      <c r="D49" s="140"/>
    </row>
    <row r="50" spans="1:4" ht="15.75" thickBot="1" x14ac:dyDescent="0.3">
      <c r="A50" s="144" t="s">
        <v>56</v>
      </c>
      <c r="B50" s="148">
        <f>1/B49</f>
        <v>0.53672995273572055</v>
      </c>
      <c r="C50" s="145"/>
      <c r="D50" s="146"/>
    </row>
    <row r="51" spans="1:4" x14ac:dyDescent="0.2">
      <c r="A51" s="51"/>
      <c r="B51" s="131"/>
      <c r="C51" s="51"/>
      <c r="D51" s="51"/>
    </row>
    <row r="52" spans="1:4" x14ac:dyDescent="0.2">
      <c r="A52" s="51"/>
      <c r="C52" s="51"/>
      <c r="D52" s="51"/>
    </row>
    <row r="53" spans="1:4" x14ac:dyDescent="0.2">
      <c r="A53" s="51"/>
      <c r="B53" s="131"/>
      <c r="C53" s="51"/>
      <c r="D53" s="51"/>
    </row>
    <row r="54" spans="1:4" x14ac:dyDescent="0.2">
      <c r="A54" s="51"/>
      <c r="B54" s="131"/>
      <c r="C54" s="51"/>
      <c r="D54" s="51"/>
    </row>
  </sheetData>
  <sheetProtection password="BA83" sheet="1" objects="1" scenarios="1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J27" sqref="J27"/>
    </sheetView>
  </sheetViews>
  <sheetFormatPr defaultColWidth="11" defaultRowHeight="14.25" x14ac:dyDescent="0.2"/>
  <cols>
    <col min="1" max="1" width="48.125" style="49" bestFit="1" customWidth="1"/>
    <col min="2" max="2" width="6.5" style="49" customWidth="1"/>
    <col min="3" max="3" width="11.125" style="49" bestFit="1" customWidth="1"/>
    <col min="4" max="5" width="11.875" style="2" bestFit="1" customWidth="1"/>
    <col min="6" max="7" width="11.875" style="49" bestFit="1" customWidth="1"/>
    <col min="8" max="8" width="13" style="49" bestFit="1" customWidth="1"/>
    <col min="9" max="9" width="12.375" style="49" customWidth="1"/>
    <col min="10" max="10" width="10.875" style="49" bestFit="1" customWidth="1"/>
    <col min="11" max="11" width="3.125" style="49" customWidth="1"/>
    <col min="12" max="16384" width="11" style="49"/>
  </cols>
  <sheetData>
    <row r="1" spans="1:14" ht="15" x14ac:dyDescent="0.25">
      <c r="A1" s="79" t="s">
        <v>20</v>
      </c>
      <c r="B1" s="49">
        <v>0.05</v>
      </c>
    </row>
    <row r="2" spans="1:14" ht="15" x14ac:dyDescent="0.25">
      <c r="A2" s="79" t="s">
        <v>21</v>
      </c>
      <c r="B2" s="49">
        <v>0.95</v>
      </c>
    </row>
    <row r="3" spans="1:14" ht="15" thickBot="1" x14ac:dyDescent="0.25"/>
    <row r="4" spans="1:14" ht="15" x14ac:dyDescent="0.25">
      <c r="A4" s="80" t="s">
        <v>19</v>
      </c>
      <c r="B4" s="64"/>
      <c r="C4" s="64"/>
      <c r="D4" s="125"/>
      <c r="E4" s="125"/>
      <c r="F4" s="64"/>
      <c r="G4" s="64"/>
      <c r="H4" s="64"/>
      <c r="I4" s="64"/>
      <c r="J4" s="64"/>
      <c r="K4" s="63"/>
    </row>
    <row r="5" spans="1:14" s="2" customFormat="1" ht="15.75" thickBot="1" x14ac:dyDescent="0.3">
      <c r="A5" s="30" t="s">
        <v>40</v>
      </c>
      <c r="B5" s="1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27</v>
      </c>
      <c r="K5" s="115"/>
      <c r="N5" s="3"/>
    </row>
    <row r="6" spans="1:14" s="4" customFormat="1" ht="15" x14ac:dyDescent="0.25">
      <c r="A6" s="24"/>
      <c r="B6" s="19"/>
      <c r="C6" s="19"/>
      <c r="D6" s="20"/>
      <c r="E6" s="19"/>
      <c r="F6" s="19"/>
      <c r="G6" s="19"/>
      <c r="H6" s="19"/>
      <c r="I6" s="19"/>
      <c r="J6" s="20"/>
      <c r="K6" s="25"/>
      <c r="L6" s="5"/>
      <c r="M6" s="5"/>
      <c r="N6" s="5"/>
    </row>
    <row r="7" spans="1:14" s="4" customFormat="1" ht="15" x14ac:dyDescent="0.25">
      <c r="A7" s="26" t="s">
        <v>24</v>
      </c>
      <c r="B7" s="58">
        <f>YEARFRAC(DLCO!B5,DLCO!B6,3)*365/365.25</f>
        <v>0</v>
      </c>
      <c r="C7" s="58"/>
      <c r="D7" s="20"/>
      <c r="E7" s="19"/>
      <c r="F7" s="19"/>
      <c r="G7" s="19"/>
      <c r="H7" s="19"/>
      <c r="I7" s="19"/>
      <c r="J7" s="20"/>
      <c r="K7" s="25"/>
      <c r="L7" s="5"/>
      <c r="M7" s="5"/>
      <c r="N7" s="5"/>
    </row>
    <row r="8" spans="1:14" s="4" customFormat="1" ht="15" x14ac:dyDescent="0.25">
      <c r="A8" s="24"/>
      <c r="B8" s="19"/>
      <c r="C8" s="19"/>
      <c r="D8" s="22"/>
      <c r="E8" s="23"/>
      <c r="F8" s="23"/>
      <c r="G8" s="23"/>
      <c r="H8" s="23"/>
      <c r="I8" s="23"/>
      <c r="J8" s="22"/>
      <c r="K8" s="25"/>
      <c r="L8" s="5"/>
      <c r="M8" s="5"/>
      <c r="N8" s="5"/>
    </row>
    <row r="9" spans="1:14" s="2" customFormat="1" x14ac:dyDescent="0.2">
      <c r="A9" s="27" t="s">
        <v>8</v>
      </c>
      <c r="B9" s="23"/>
      <c r="C9" s="23" t="s">
        <v>7</v>
      </c>
      <c r="D9" s="2">
        <f>EXP(-1.291469-0.126469*B7+0.050897*DLCO!B3+0.021317*DLCO!B4-2.464499*10^-7*DLCO!B4^3+0.000944*B7*DLCO!B4)</f>
        <v>0.27486670717581729</v>
      </c>
      <c r="E9" s="2">
        <f>EXP(-2.48367)</f>
        <v>8.3436451229554065E-2</v>
      </c>
      <c r="F9" s="23">
        <f>(D9*E9)^2</f>
        <v>5.2596388882878917E-4</v>
      </c>
      <c r="G9" s="23">
        <f>(D9^2)/F9</f>
        <v>143.64428493734471</v>
      </c>
      <c r="H9" s="23">
        <f>F9/D9</f>
        <v>1.9135234464476582E-3</v>
      </c>
      <c r="I9" s="23"/>
      <c r="J9" s="22" t="str">
        <f>IF(DLCO!B9="","",IF(DLCO!B9&gt;D9,_xlfn.NORM.INV(_xlfn.GAMMA.DIST(DLCO!B9,1/E9^2,D9*E9^2, TRUE),0,1),-_xlfn.NORM.INV(1-_xlfn.GAMMA.DIST(DLCO!B9,1/E9^2,D9*E9^2, TRUE),0,1)))</f>
        <v/>
      </c>
      <c r="K9" s="28"/>
      <c r="L9" s="3"/>
      <c r="M9" s="3"/>
      <c r="N9" s="3"/>
    </row>
    <row r="10" spans="1:14" s="2" customFormat="1" x14ac:dyDescent="0.2">
      <c r="A10" s="27" t="s">
        <v>9</v>
      </c>
      <c r="B10" s="23"/>
      <c r="C10" s="23" t="s">
        <v>7</v>
      </c>
      <c r="D10" s="2">
        <f>EXP(1.082553+0.017804*B7+0.094838*DLCO!B3+1.541901*10^-7*DLCO!B4^3)</f>
        <v>2.9522069225606109</v>
      </c>
      <c r="E10" s="2">
        <f>EXP(-2.188269)</f>
        <v>0.1121106442774642</v>
      </c>
      <c r="F10" s="23">
        <f>(D10*E10)^2</f>
        <v>0.10954366961055854</v>
      </c>
      <c r="G10" s="23">
        <f>(D10^2)/F10</f>
        <v>79.562112028924886</v>
      </c>
      <c r="H10" s="23">
        <f>F10/D10</f>
        <v>3.7105688213597617E-2</v>
      </c>
      <c r="I10" s="23"/>
      <c r="J10" s="22" t="str">
        <f>IF(DLCO!B10="","",IF(DLCO!B10&gt;D10,_xlfn.NORM.INV(_xlfn.GAMMA.DIST(DLCO!B10,1/E10^2,D10*E10^2, TRUE),0,1),-_xlfn.NORM.INV(1-_xlfn.GAMMA.DIST(DLCO!B10,1/E10^2,D10*E10^2, TRUE),0,1)))</f>
        <v/>
      </c>
      <c r="K10" s="28"/>
      <c r="L10" s="3"/>
      <c r="M10" s="3"/>
      <c r="N10" s="3"/>
    </row>
    <row r="11" spans="1:14" s="2" customFormat="1" x14ac:dyDescent="0.2">
      <c r="A11" s="27" t="s">
        <v>28</v>
      </c>
      <c r="B11" s="23"/>
      <c r="C11" s="23" t="s">
        <v>7</v>
      </c>
      <c r="D11" s="22">
        <f>EXP(0.637118-0.043459*B7+0.09387*DLCO!B3+0.006995*DLCO!B4+0.000366*B7*DLCO!B4)</f>
        <v>1.8910230898630451</v>
      </c>
      <c r="E11" s="23">
        <f>EXP(-2.235554)</f>
        <v>0.10693287262894252</v>
      </c>
      <c r="F11" s="23">
        <f>(D11*E11)^2</f>
        <v>4.0889907777026419E-2</v>
      </c>
      <c r="G11" s="23">
        <f>(D11^2)/F11</f>
        <v>87.453567904701913</v>
      </c>
      <c r="H11" s="23">
        <f>F11/D11</f>
        <v>2.1623166843503648E-2</v>
      </c>
      <c r="I11" s="23"/>
      <c r="J11" s="22" t="str">
        <f>IF(DLCO!B11="","",IF(DLCO!B11&gt;D11,_xlfn.NORM.INV(_xlfn.GAMMA.DIST(DLCO!B11,1/E11^2,D11*E11^2, TRUE),0,1),-_xlfn.NORM.INV(1-_xlfn.GAMMA.DIST(DLCO!B11,1/E11^2,D11*E11^2, TRUE),0,1)))</f>
        <v/>
      </c>
      <c r="K11" s="28"/>
      <c r="L11" s="3"/>
      <c r="M11" s="3"/>
      <c r="N11" s="3"/>
    </row>
    <row r="12" spans="1:14" s="2" customFormat="1" x14ac:dyDescent="0.2">
      <c r="A12" s="29" t="s">
        <v>10</v>
      </c>
      <c r="B12" s="22"/>
      <c r="C12" s="23" t="s">
        <v>7</v>
      </c>
      <c r="D12" s="22">
        <f>EXP(1.211458+0.057623*DLCO!B3-0.004311*DLCO!B4)</f>
        <v>3.3583775992638243</v>
      </c>
      <c r="E12" s="23">
        <f>EXP(-2.244196)</f>
        <v>0.10601274036181144</v>
      </c>
      <c r="F12" s="23">
        <f>(D12*E12)^2</f>
        <v>0.1267579394263959</v>
      </c>
      <c r="G12" s="23">
        <f>(D12^2)/F12</f>
        <v>88.9782537510103</v>
      </c>
      <c r="H12" s="23">
        <f>F12/D12</f>
        <v>3.7743802082940876E-2</v>
      </c>
      <c r="I12" s="23"/>
      <c r="J12" s="22" t="str">
        <f>IF(DLCO!B12="","",IF(DLCO!B12&gt;D12,_xlfn.NORM.INV(_xlfn.GAMMA.DIST(DLCO!B12,1/E12^2,D12*E12^2, TRUE),0,1),-_xlfn.NORM.INV(1-_xlfn.GAMMA.DIST(DLCO!B12,1/E12^2,D12*E12^2, TRUE),0,1)))</f>
        <v/>
      </c>
      <c r="K12" s="28"/>
      <c r="L12" s="3"/>
      <c r="M12" s="3"/>
      <c r="N12" s="3"/>
    </row>
    <row r="13" spans="1:14" s="2" customFormat="1" x14ac:dyDescent="0.2">
      <c r="A13" s="29" t="s">
        <v>29</v>
      </c>
      <c r="B13" s="22"/>
      <c r="C13" s="23" t="s">
        <v>7</v>
      </c>
      <c r="D13" s="22">
        <f>EXP(1.282466+0.056597*DLCO!B3-0.004739*DLCO!B4)</f>
        <v>3.6055199839909835</v>
      </c>
      <c r="E13" s="23">
        <f>EXP(-2.259677)</f>
        <v>0.10438419540531779</v>
      </c>
      <c r="F13" s="23">
        <f>(D13*E13)^2</f>
        <v>0.14164632461343327</v>
      </c>
      <c r="G13" s="23">
        <f>(D13^2)/F13</f>
        <v>91.77629133996949</v>
      </c>
      <c r="H13" s="23">
        <f>F13/D13</f>
        <v>3.9285962979643131E-2</v>
      </c>
      <c r="I13" s="23"/>
      <c r="J13" s="22" t="str">
        <f>IF(DLCO!B13="","",IF(DLCO!B13&gt;D13,_xlfn.NORM.INV(_xlfn.GAMMA.DIST(DLCO!B13,1/E13^2,D13*E13^2, TRUE),0,1),-_xlfn.NORM.INV(1-_xlfn.GAMMA.DIST(DLCO!B13,1/E13^2,D13*E13^2, TRUE),0,1)))</f>
        <v/>
      </c>
      <c r="K13" s="28"/>
      <c r="L13" s="3"/>
      <c r="M13" s="3"/>
      <c r="N13" s="3"/>
    </row>
    <row r="14" spans="1:14" x14ac:dyDescent="0.2">
      <c r="A14" s="50"/>
      <c r="B14" s="51"/>
      <c r="C14" s="51"/>
      <c r="D14" s="23"/>
      <c r="E14" s="23"/>
      <c r="F14" s="51"/>
      <c r="G14" s="51"/>
      <c r="H14" s="51"/>
      <c r="I14" s="51"/>
      <c r="J14" s="51"/>
      <c r="K14" s="54"/>
    </row>
    <row r="15" spans="1:14" s="2" customFormat="1" ht="15.75" thickBot="1" x14ac:dyDescent="0.3">
      <c r="A15" s="30" t="s">
        <v>41</v>
      </c>
      <c r="B15" s="1"/>
      <c r="C15" s="1" t="s">
        <v>0</v>
      </c>
      <c r="D15" s="1" t="s">
        <v>1</v>
      </c>
      <c r="E15" s="1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27</v>
      </c>
      <c r="K15" s="115"/>
      <c r="N15" s="3"/>
    </row>
    <row r="16" spans="1:14" s="4" customFormat="1" ht="15" x14ac:dyDescent="0.25">
      <c r="A16" s="24"/>
      <c r="B16" s="19"/>
      <c r="C16" s="19"/>
      <c r="D16" s="20"/>
      <c r="E16" s="19"/>
      <c r="F16" s="19"/>
      <c r="G16" s="19"/>
      <c r="H16" s="19"/>
      <c r="I16" s="19"/>
      <c r="J16" s="20"/>
      <c r="K16" s="25"/>
      <c r="L16" s="5"/>
      <c r="M16" s="5"/>
      <c r="N16" s="5"/>
    </row>
    <row r="17" spans="1:14" s="4" customFormat="1" ht="15" x14ac:dyDescent="0.25">
      <c r="A17" s="26" t="s">
        <v>24</v>
      </c>
      <c r="B17" s="58">
        <f>YEARFRAC(DLNO!B5,DLNO!B6,3)*365/365.25</f>
        <v>0</v>
      </c>
      <c r="C17" s="21"/>
      <c r="D17" s="20"/>
      <c r="E17" s="19"/>
      <c r="F17" s="19"/>
      <c r="G17" s="19"/>
      <c r="H17" s="19"/>
      <c r="I17" s="19"/>
      <c r="J17" s="20"/>
      <c r="K17" s="25"/>
      <c r="L17" s="5"/>
      <c r="M17" s="5"/>
      <c r="N17" s="5"/>
    </row>
    <row r="18" spans="1:14" s="4" customFormat="1" ht="15" x14ac:dyDescent="0.25">
      <c r="A18" s="24"/>
      <c r="B18" s="19"/>
      <c r="C18" s="19"/>
      <c r="D18" s="22"/>
      <c r="E18" s="23"/>
      <c r="F18" s="23"/>
      <c r="G18" s="23"/>
      <c r="H18" s="23"/>
      <c r="I18" s="23"/>
      <c r="J18" s="22"/>
      <c r="K18" s="25"/>
      <c r="L18" s="5"/>
      <c r="M18" s="5"/>
      <c r="N18" s="5"/>
    </row>
    <row r="19" spans="1:14" s="3" customFormat="1" x14ac:dyDescent="0.2">
      <c r="A19" s="29" t="s">
        <v>8</v>
      </c>
      <c r="B19" s="22"/>
      <c r="C19" s="22" t="s">
        <v>7</v>
      </c>
      <c r="D19" s="3">
        <f>EXP(-0.693941-0.018119*B17+0.040861*DLNO!B3+0.011103*DLNO!B4+0.000251*B17*DLNO!B4)</f>
        <v>0.49960324777562137</v>
      </c>
      <c r="E19" s="22">
        <f>EXP(-2.504736)</f>
        <v>8.1697163189643304E-2</v>
      </c>
      <c r="F19" s="22">
        <f>(D19*E19)^2</f>
        <v>1.6659595753961006E-3</v>
      </c>
      <c r="G19" s="22">
        <f>(D19^2)/F19</f>
        <v>149.82560734020387</v>
      </c>
      <c r="H19" s="22">
        <f>F19/D19</f>
        <v>3.3345651430678963E-3</v>
      </c>
      <c r="I19" s="22"/>
      <c r="J19" s="22" t="str">
        <f>IF(DLNO!B9="","",IF(DLNO!B9&gt;D19,_xlfn.NORM.INV(_xlfn.GAMMA.DIST(DLNO!B9,1/E19^2,D19*E19^2, TRUE),0,1),-_xlfn.NORM.INV(1-_xlfn.GAMMA.DIST(DLNO!B9,1/E19^2,D19*E19^2, TRUE),0,1)))</f>
        <v/>
      </c>
      <c r="K19" s="28"/>
    </row>
    <row r="20" spans="1:14" s="3" customFormat="1" x14ac:dyDescent="0.2">
      <c r="A20" s="29" t="s">
        <v>9</v>
      </c>
      <c r="B20" s="22"/>
      <c r="C20" s="22" t="s">
        <v>7</v>
      </c>
      <c r="D20" s="128">
        <f>EXP(0.944031+0.020535*B17+0.090818*DLNO!B3+1.623281*10^-7*DLNO!B4^3)</f>
        <v>2.5703215299201325</v>
      </c>
      <c r="E20" s="3">
        <f>EXP(-2.252071)</f>
        <v>0.10518116864263864</v>
      </c>
      <c r="F20" s="22">
        <f t="shared" ref="F20:F27" si="0">(D20*E20)^2</f>
        <v>7.3088810140287341E-2</v>
      </c>
      <c r="G20" s="22">
        <f t="shared" ref="G20:G27" si="1">(D20^2)/F20</f>
        <v>90.39075549992252</v>
      </c>
      <c r="H20" s="22">
        <f>F20/D20</f>
        <v>2.8435668179832126E-2</v>
      </c>
      <c r="I20" s="22"/>
      <c r="J20" s="22" t="str">
        <f>IF(DLNO!B10="","",IF(DLNO!B10&gt;D20,_xlfn.NORM.INV(_xlfn.GAMMA.DIST(DLNO!B10,1/E20^2,D20*E20^2, TRUE),0,1),-_xlfn.NORM.INV(1-_xlfn.GAMMA.DIST(DLNO!B10,1/E20^2,D20*E20^2, TRUE),0,1)))</f>
        <v/>
      </c>
      <c r="K20" s="28"/>
    </row>
    <row r="21" spans="1:14" s="3" customFormat="1" x14ac:dyDescent="0.2">
      <c r="A21" s="29" t="s">
        <v>28</v>
      </c>
      <c r="B21" s="22"/>
      <c r="C21" s="22" t="s">
        <v>37</v>
      </c>
      <c r="D21" s="3">
        <f>EXP(0.63917-0.056997*B17+0.092194*DLNO!B3+0.006159*DLNO!B4+0.000477*B17*DLNO!B4)</f>
        <v>1.8949074532372741</v>
      </c>
      <c r="E21" s="3">
        <f>EXP(-2.267842)</f>
        <v>0.10353536850140786</v>
      </c>
      <c r="F21" s="22"/>
      <c r="G21" s="22"/>
      <c r="H21" s="22"/>
      <c r="I21" s="22">
        <v>0.45674979999999998</v>
      </c>
      <c r="J21" s="22" t="str">
        <f>IF(DLNO!B11="","",((DLNO!B11/D21)^I21-1)/(I21*E21))</f>
        <v/>
      </c>
      <c r="K21" s="28"/>
    </row>
    <row r="22" spans="1:14" s="3" customFormat="1" x14ac:dyDescent="0.2">
      <c r="A22" s="29" t="s">
        <v>10</v>
      </c>
      <c r="B22" s="22"/>
      <c r="C22" s="22" t="s">
        <v>7</v>
      </c>
      <c r="D22" s="22">
        <f>EXP(0.956736+0.057573*DLNO!B3-0.00276*DLNO!B4)</f>
        <v>2.6031857931199682</v>
      </c>
      <c r="E22" s="22">
        <f>EXP(-2.364376)</f>
        <v>9.4007943026515606E-2</v>
      </c>
      <c r="F22" s="22">
        <f t="shared" si="0"/>
        <v>5.9887947766910768E-2</v>
      </c>
      <c r="G22" s="22">
        <f t="shared" si="1"/>
        <v>113.15425767930263</v>
      </c>
      <c r="H22" s="22">
        <f t="shared" ref="H22:H27" si="2">F22/D22</f>
        <v>2.3005637140917978E-2</v>
      </c>
      <c r="I22" s="22"/>
      <c r="J22" s="22" t="str">
        <f>IF(DLNO!B12="","",IF(DLNO!B12&gt;D22,_xlfn.NORM.INV(_xlfn.GAMMA.DIST(DLNO!B12,1/E22^2,D22*E22^2, TRUE),0,1),-_xlfn.NORM.INV(1-_xlfn.GAMMA.DIST(DLNO!B12,1/E22^2,D22*E22^2, TRUE),0,1)))</f>
        <v/>
      </c>
      <c r="K22" s="28"/>
    </row>
    <row r="23" spans="1:14" s="3" customFormat="1" x14ac:dyDescent="0.2">
      <c r="A23" s="29" t="s">
        <v>29</v>
      </c>
      <c r="B23" s="22"/>
      <c r="C23" s="22" t="s">
        <v>7</v>
      </c>
      <c r="D23" s="128">
        <f>EXP(1.618694+0.052646*DLNO!B3-0.009193*DLNO!B4+8.828029*10^-8*DLNO!B4^3)</f>
        <v>5.046495288101414</v>
      </c>
      <c r="E23" s="3">
        <f>EXP(-2.362619)</f>
        <v>9.4173260170996101E-2</v>
      </c>
      <c r="F23" s="22">
        <f t="shared" si="0"/>
        <v>0.22585772801490564</v>
      </c>
      <c r="G23" s="22">
        <f t="shared" si="1"/>
        <v>112.75733142568872</v>
      </c>
      <c r="H23" s="22">
        <f t="shared" si="2"/>
        <v>4.4755362904515372E-2</v>
      </c>
      <c r="I23" s="22"/>
      <c r="J23" s="22" t="str">
        <f>IF(DLNO!B13="","",IF(DLNO!B13&gt;D23,_xlfn.NORM.INV(_xlfn.GAMMA.DIST(DLNO!B13,1/E23^2,D23*E23^2, TRUE),0,1),-_xlfn.NORM.INV(1-_xlfn.GAMMA.DIST(DLNO!B13,1/E23^2,D23*E23^2, TRUE),0,1)))</f>
        <v/>
      </c>
      <c r="K23" s="28"/>
    </row>
    <row r="24" spans="1:14" s="67" customFormat="1" x14ac:dyDescent="0.2">
      <c r="A24" s="29" t="s">
        <v>30</v>
      </c>
      <c r="B24" s="93"/>
      <c r="C24" s="22" t="s">
        <v>7</v>
      </c>
      <c r="D24" s="3">
        <f>EXP(1.3145+0.021399*B17-0.005811*DLNO!B3+0.011884*DLNO!B4-1.289283*10^-8*DLNO!B4^3+2.707044*10^-8*DLNO!B3*DLNO!B4^3)</f>
        <v>3.7228890752748747</v>
      </c>
      <c r="E24" s="3">
        <f>EXP(-2.249015)</f>
        <v>0.10550309394533107</v>
      </c>
      <c r="F24" s="22">
        <f t="shared" si="0"/>
        <v>0.15427323429801856</v>
      </c>
      <c r="G24" s="22">
        <f t="shared" si="1"/>
        <v>89.839972110956282</v>
      </c>
      <c r="H24" s="22">
        <f t="shared" si="2"/>
        <v>4.1439116551338022E-2</v>
      </c>
      <c r="I24" s="93"/>
      <c r="J24" s="22" t="str">
        <f>IF(DLNO!B14="","",IF(DLNO!B14&gt;D24,_xlfn.NORM.INV(_xlfn.GAMMA.DIST(DLNO!B14,1/E24^2,D24*E24^2, TRUE),0,1),-_xlfn.NORM.INV(1-_xlfn.GAMMA.DIST(DLNO!B14,1/E24^2,D24*E24^2, TRUE),0,1)))</f>
        <v/>
      </c>
      <c r="K24" s="94"/>
    </row>
    <row r="25" spans="1:14" s="121" customFormat="1" x14ac:dyDescent="0.2">
      <c r="A25" s="104" t="s">
        <v>33</v>
      </c>
      <c r="B25" s="93"/>
      <c r="C25" s="93" t="s">
        <v>25</v>
      </c>
      <c r="D25" s="128">
        <f>EXP(1.267219+1.116765*DLNO!B3+0.009765*DLNO!B4-1.828027*10^-7*DLNO!B4^3-0.011664*DLNO!B3*DLNO!B4+1.934376*10^-7 *DLNO!B3*DLNO!B4^3)</f>
        <v>3.5509635883713457</v>
      </c>
      <c r="E25" s="3">
        <f>EXP(-0.336959)</f>
        <v>0.71393811076520464</v>
      </c>
      <c r="F25" s="93"/>
      <c r="G25" s="93"/>
      <c r="H25" s="93"/>
      <c r="I25" s="93"/>
      <c r="J25" s="93" t="str">
        <f>IF(DLNO!B15="","",1/E25*(DLNO!B15-D25))</f>
        <v/>
      </c>
      <c r="K25" s="122"/>
    </row>
    <row r="26" spans="1:14" s="120" customFormat="1" x14ac:dyDescent="0.2">
      <c r="A26" s="29" t="s">
        <v>31</v>
      </c>
      <c r="B26" s="93"/>
      <c r="C26" s="22" t="s">
        <v>7</v>
      </c>
      <c r="D26" s="2">
        <f>EXP(2.729831-0.072859*B17-0.026797*DLNO!B3+0.006621*DLNO!B4+0.012575*B17*DLNO!B3+0.000474*B17*DLNO!B4)</f>
        <v>15.330295980949789</v>
      </c>
      <c r="E26" s="2">
        <f>EXP(-2.102736)</f>
        <v>0.12212184538336282</v>
      </c>
      <c r="F26" s="22">
        <f t="shared" si="0"/>
        <v>3.5049981756951039</v>
      </c>
      <c r="G26" s="22">
        <f t="shared" si="1"/>
        <v>67.052238855136338</v>
      </c>
      <c r="H26" s="22">
        <f t="shared" si="2"/>
        <v>0.22863212687156165</v>
      </c>
      <c r="I26" s="93"/>
      <c r="J26" s="22" t="str">
        <f>IF(DLNO!B16="","",IF(DLNO!B16&gt;D26,_xlfn.NORM.INV(_xlfn.GAMMA.DIST(DLNO!B16,1/E26^2,D26*E26^2, TRUE),0,1),-_xlfn.NORM.INV(1-_xlfn.GAMMA.DIST(DLNO!B16,1/E26^2,D26*E26^2, TRUE),0,1)))</f>
        <v/>
      </c>
      <c r="K26" s="119"/>
    </row>
    <row r="27" spans="1:14" s="120" customFormat="1" x14ac:dyDescent="0.2">
      <c r="A27" s="29" t="s">
        <v>49</v>
      </c>
      <c r="B27" s="93"/>
      <c r="C27" s="22" t="s">
        <v>7</v>
      </c>
      <c r="D27" s="2">
        <f>EXP(2.082508+0.032891+0.057322*DLNO!B3+0.01229*DLNO!B4)</f>
        <v>8.2928939707828437</v>
      </c>
      <c r="E27" s="2">
        <f>EXP(-1.93591)</f>
        <v>0.14429290251964619</v>
      </c>
      <c r="F27" s="22">
        <f t="shared" si="0"/>
        <v>1.4318653001885389</v>
      </c>
      <c r="G27" s="22">
        <f t="shared" si="1"/>
        <v>48.029720673858755</v>
      </c>
      <c r="H27" s="22">
        <f t="shared" si="2"/>
        <v>0.17266171558845719</v>
      </c>
      <c r="I27" s="93"/>
      <c r="J27" s="22" t="e">
        <f>IF(DLNO!B17="","",IF(DLNO!B17&gt;D27,_xlfn.NORM.INV(_xlfn.GAMMA.DIST(DLNO!B17,1/E27^2,D27*E27^2, TRUE),0,1),-_xlfn.NORM.INV(1-_xlfn.GAMMA.DIST(DLNO!B17,1/E27^2,D27*E27^2, TRUE),0,1)))</f>
        <v>#DIV/0!</v>
      </c>
      <c r="K27" s="119"/>
    </row>
    <row r="28" spans="1:14" s="67" customFormat="1" x14ac:dyDescent="0.2">
      <c r="A28" s="29" t="s">
        <v>32</v>
      </c>
      <c r="B28" s="93"/>
      <c r="C28" s="22" t="s">
        <v>25</v>
      </c>
      <c r="D28" s="22">
        <f>EXP(0.94074+0.04579*B17+0.003903*DLNO!B4-0.000284*B17*DLNO!B4)</f>
        <v>2.561876505674674</v>
      </c>
      <c r="E28" s="22">
        <f>EXP(-1.339758)</f>
        <v>0.26190904290010586</v>
      </c>
      <c r="F28" s="22"/>
      <c r="G28" s="22"/>
      <c r="H28" s="22"/>
      <c r="I28" s="95"/>
      <c r="J28" s="93" t="str">
        <f>IF(DLNO!B18="","",1/E28*(DLNO!B18-D28))</f>
        <v/>
      </c>
      <c r="K28" s="94"/>
    </row>
    <row r="29" spans="1:14" ht="15" thickBot="1" x14ac:dyDescent="0.25">
      <c r="A29" s="52"/>
      <c r="B29" s="53"/>
      <c r="C29" s="53"/>
      <c r="D29" s="126"/>
      <c r="E29" s="126"/>
      <c r="F29" s="53"/>
      <c r="G29" s="53"/>
      <c r="H29" s="53"/>
      <c r="I29" s="53"/>
      <c r="J29" s="53"/>
      <c r="K29" s="55"/>
    </row>
    <row r="30" spans="1:14" s="67" customFormat="1" ht="15" thickBot="1" x14ac:dyDescent="0.25">
      <c r="D30" s="3"/>
      <c r="E30" s="3"/>
    </row>
    <row r="31" spans="1:14" s="67" customFormat="1" ht="15" x14ac:dyDescent="0.25">
      <c r="A31" s="96" t="s">
        <v>38</v>
      </c>
      <c r="B31" s="97"/>
      <c r="C31" s="97"/>
      <c r="D31" s="127"/>
      <c r="E31" s="127"/>
      <c r="F31" s="97"/>
      <c r="G31" s="97"/>
      <c r="H31" s="97"/>
      <c r="I31" s="97"/>
      <c r="J31" s="97"/>
      <c r="K31" s="98"/>
    </row>
    <row r="32" spans="1:14" s="67" customFormat="1" ht="18" thickBot="1" x14ac:dyDescent="0.3">
      <c r="A32" s="30" t="s">
        <v>40</v>
      </c>
      <c r="B32" s="99"/>
      <c r="C32" s="99" t="s">
        <v>0</v>
      </c>
      <c r="D32" s="99" t="s">
        <v>1</v>
      </c>
      <c r="E32" s="99" t="s">
        <v>34</v>
      </c>
      <c r="F32" s="99" t="s">
        <v>23</v>
      </c>
      <c r="G32" s="99" t="s">
        <v>22</v>
      </c>
      <c r="H32" s="99" t="s">
        <v>27</v>
      </c>
      <c r="I32" s="20"/>
      <c r="J32" s="22"/>
      <c r="K32" s="94"/>
    </row>
    <row r="33" spans="1:11" s="67" customFormat="1" ht="15" x14ac:dyDescent="0.25">
      <c r="A33" s="100"/>
      <c r="B33" s="20"/>
      <c r="C33" s="20"/>
      <c r="D33" s="20"/>
      <c r="E33" s="20"/>
      <c r="F33" s="20"/>
      <c r="G33" s="20"/>
      <c r="H33" s="20"/>
      <c r="I33" s="20"/>
      <c r="J33" s="20"/>
      <c r="K33" s="94"/>
    </row>
    <row r="34" spans="1:11" s="67" customFormat="1" ht="15" x14ac:dyDescent="0.25">
      <c r="A34" s="101" t="s">
        <v>24</v>
      </c>
      <c r="B34" s="58">
        <f>YEARFRAC(DLCO!B5,DLCO!B6,3)*365/365.25</f>
        <v>0</v>
      </c>
      <c r="C34" s="21"/>
      <c r="D34" s="20"/>
      <c r="E34" s="20"/>
      <c r="F34" s="20"/>
      <c r="G34" s="20"/>
      <c r="H34" s="20"/>
      <c r="I34" s="20"/>
      <c r="J34" s="20"/>
      <c r="K34" s="94"/>
    </row>
    <row r="35" spans="1:11" s="67" customFormat="1" ht="15" x14ac:dyDescent="0.25">
      <c r="A35" s="100"/>
      <c r="B35" s="20"/>
      <c r="C35" s="20"/>
      <c r="D35" s="22"/>
      <c r="E35" s="22"/>
      <c r="F35" s="22"/>
      <c r="G35" s="22"/>
      <c r="H35" s="22"/>
      <c r="I35" s="22"/>
      <c r="J35" s="20"/>
      <c r="K35" s="94"/>
    </row>
    <row r="36" spans="1:11" s="67" customFormat="1" x14ac:dyDescent="0.2">
      <c r="A36" s="29" t="s">
        <v>8</v>
      </c>
      <c r="B36" s="22"/>
      <c r="C36" s="22"/>
      <c r="D36" s="3">
        <f>EXP(-1.289515-0.125313*B34+0.050469*DLCO!B3+0.021222*DLCO!B4-2.432868*10^-7*DLCO!B4^3+0.000936*B34*DLCO!B4)</f>
        <v>0.27540432180007052</v>
      </c>
      <c r="E36" s="3">
        <v>0.93987299999999996</v>
      </c>
      <c r="F36" s="67">
        <v>8.4412000000000001E-2</v>
      </c>
      <c r="G36" s="113">
        <v>6.4140329999999999</v>
      </c>
      <c r="H36" s="22" t="str">
        <f>IF(DLCO!B16="","",1/F36*(LN(DLCO!B16)-LN(D36)))</f>
        <v/>
      </c>
      <c r="I36" s="22"/>
      <c r="J36" s="22"/>
      <c r="K36" s="94"/>
    </row>
    <row r="37" spans="1:11" s="67" customFormat="1" x14ac:dyDescent="0.2">
      <c r="A37" s="29" t="s">
        <v>9</v>
      </c>
      <c r="B37" s="22"/>
      <c r="C37" s="22"/>
      <c r="D37" s="3">
        <f>EXP(1.081325+0.017209*B34+0.093031*DLCO!B3+1.549891*10^-7*DLCO!B4^3)</f>
        <v>2.9485838374892364</v>
      </c>
      <c r="E37" s="3">
        <v>0.84108000000000005</v>
      </c>
      <c r="F37" s="112">
        <v>0.112981</v>
      </c>
      <c r="G37" s="114">
        <v>5.9555959999999999</v>
      </c>
      <c r="H37" s="22" t="str">
        <f>IF(DLCO!B17="","",1/F37*(LN(DLCO!B17)-LN(D37)))</f>
        <v/>
      </c>
      <c r="I37" s="22"/>
      <c r="J37" s="22"/>
      <c r="K37" s="94"/>
    </row>
    <row r="38" spans="1:11" s="67" customFormat="1" x14ac:dyDescent="0.2">
      <c r="A38" s="29" t="s">
        <v>28</v>
      </c>
      <c r="B38" s="22"/>
      <c r="C38" s="22"/>
      <c r="D38" s="22">
        <f>EXP(0.62785-0.04346*B34+0.092308*DLCO!B3+0.007057*DLCO!B4+0.000364*B34*DLCO!B4)</f>
        <v>1.8735780530379809</v>
      </c>
      <c r="E38" s="22">
        <v>0.84533199999999997</v>
      </c>
      <c r="F38" s="22">
        <v>0.10803</v>
      </c>
      <c r="G38" s="102">
        <v>5.6775080000000004</v>
      </c>
      <c r="H38" s="22" t="str">
        <f>IF(DLCO!B18="","",1/F38*(LN(DLCO!B18)-LN(D38)))</f>
        <v/>
      </c>
      <c r="I38" s="22"/>
      <c r="J38" s="22"/>
      <c r="K38" s="94"/>
    </row>
    <row r="39" spans="1:11" s="67" customFormat="1" x14ac:dyDescent="0.2">
      <c r="A39" s="29" t="s">
        <v>10</v>
      </c>
      <c r="B39" s="22"/>
      <c r="C39" s="22"/>
      <c r="D39" s="22">
        <f>EXP(1.207895+0.055931*DLCO!B3-0.004319*DLCO!B4)</f>
        <v>3.3464329918321525</v>
      </c>
      <c r="E39" s="22">
        <v>0.36017500000000002</v>
      </c>
      <c r="F39" s="22">
        <v>0.10703</v>
      </c>
      <c r="G39" s="103">
        <v>18.423211999999999</v>
      </c>
      <c r="H39" s="22" t="str">
        <f>IF(DLCO!B19="","",1/F39*(LN(DLCO!B19)-LN(D39)))</f>
        <v/>
      </c>
      <c r="I39" s="22"/>
      <c r="J39" s="22"/>
      <c r="K39" s="94"/>
    </row>
    <row r="40" spans="1:11" s="67" customFormat="1" x14ac:dyDescent="0.2">
      <c r="A40" s="29" t="s">
        <v>29</v>
      </c>
      <c r="B40" s="22"/>
      <c r="C40" s="22"/>
      <c r="D40" s="22">
        <f>EXP(1.280109+0.054645*DLCO!B3-0.004753*DLCO!B4)</f>
        <v>3.5970317806659828</v>
      </c>
      <c r="E40" s="22">
        <v>0.41041100000000003</v>
      </c>
      <c r="F40" s="22">
        <v>0.105225</v>
      </c>
      <c r="G40" s="102">
        <v>17.935172999999999</v>
      </c>
      <c r="H40" s="22" t="str">
        <f>IF(DLCO!B20="","",1/F40*(LN(DLCO!B20)-LN(D40)))</f>
        <v/>
      </c>
      <c r="I40" s="22"/>
      <c r="J40" s="22"/>
      <c r="K40" s="94"/>
    </row>
    <row r="41" spans="1:11" s="67" customFormat="1" x14ac:dyDescent="0.2">
      <c r="A41" s="104"/>
      <c r="B41" s="93"/>
      <c r="C41" s="93"/>
      <c r="D41" s="22"/>
      <c r="E41" s="22"/>
      <c r="F41" s="93"/>
      <c r="G41" s="93"/>
      <c r="H41" s="93"/>
      <c r="I41" s="93"/>
      <c r="J41" s="93"/>
      <c r="K41" s="94"/>
    </row>
    <row r="42" spans="1:11" s="67" customFormat="1" ht="18" thickBot="1" x14ac:dyDescent="0.3">
      <c r="A42" s="30" t="s">
        <v>41</v>
      </c>
      <c r="B42" s="99"/>
      <c r="C42" s="99" t="s">
        <v>0</v>
      </c>
      <c r="D42" s="99" t="s">
        <v>1</v>
      </c>
      <c r="E42" s="99" t="s">
        <v>34</v>
      </c>
      <c r="F42" s="99" t="s">
        <v>23</v>
      </c>
      <c r="G42" s="105" t="s">
        <v>22</v>
      </c>
      <c r="H42" s="99" t="s">
        <v>27</v>
      </c>
      <c r="I42" s="20"/>
      <c r="J42" s="22"/>
      <c r="K42" s="94"/>
    </row>
    <row r="43" spans="1:11" s="67" customFormat="1" ht="15" x14ac:dyDescent="0.25">
      <c r="A43" s="100"/>
      <c r="B43" s="20"/>
      <c r="C43" s="20"/>
      <c r="D43" s="20"/>
      <c r="E43" s="20"/>
      <c r="F43" s="20"/>
      <c r="G43" s="106"/>
      <c r="H43" s="20"/>
      <c r="I43" s="20"/>
      <c r="J43" s="20"/>
      <c r="K43" s="94"/>
    </row>
    <row r="44" spans="1:11" s="67" customFormat="1" ht="15" x14ac:dyDescent="0.25">
      <c r="A44" s="101" t="s">
        <v>24</v>
      </c>
      <c r="B44" s="58">
        <f>YEARFRAC(DLNO!B5,DLNO!B6,3)*365/365.25</f>
        <v>0</v>
      </c>
      <c r="C44" s="21"/>
      <c r="D44" s="20"/>
      <c r="E44" s="20"/>
      <c r="F44" s="20"/>
      <c r="G44" s="106"/>
      <c r="H44" s="20"/>
      <c r="I44" s="20"/>
      <c r="J44" s="20"/>
      <c r="K44" s="94"/>
    </row>
    <row r="45" spans="1:11" s="67" customFormat="1" ht="15" x14ac:dyDescent="0.25">
      <c r="A45" s="100"/>
      <c r="B45" s="20"/>
      <c r="C45" s="20"/>
      <c r="D45" s="22"/>
      <c r="E45" s="22"/>
      <c r="F45" s="22"/>
      <c r="G45" s="107"/>
      <c r="H45" s="22"/>
      <c r="I45" s="22"/>
      <c r="J45" s="20"/>
      <c r="K45" s="94"/>
    </row>
    <row r="46" spans="1:11" s="67" customFormat="1" x14ac:dyDescent="0.2">
      <c r="A46" s="29" t="s">
        <v>8</v>
      </c>
      <c r="B46" s="22"/>
      <c r="C46" s="22"/>
      <c r="D46" s="3">
        <f>EXP(-0.696323-0.018304*B44+0.040278*DLNO!B3+0.011111*DLNO!B4+0.000251*B44*DLNO!B4)</f>
        <v>0.49841460907013851</v>
      </c>
      <c r="E46" s="3">
        <v>0.94246600000000003</v>
      </c>
      <c r="F46" s="67">
        <v>8.2517999999999994E-2</v>
      </c>
      <c r="G46" s="116">
        <v>6.6600979999999996</v>
      </c>
      <c r="H46" s="22" t="str">
        <f>IF(DLNO!B21="","",1/F46*(LN(DLNO!B21)-LN(D46)))</f>
        <v/>
      </c>
      <c r="I46" s="22"/>
      <c r="J46" s="22"/>
      <c r="K46" s="94"/>
    </row>
    <row r="47" spans="1:11" s="67" customFormat="1" x14ac:dyDescent="0.2">
      <c r="A47" s="29" t="s">
        <v>9</v>
      </c>
      <c r="B47" s="22"/>
      <c r="C47" s="22"/>
      <c r="D47" s="3">
        <f>EXP(0.942132+0.01995*B44+0.089852*DLNO!B3+1.633615*10^-7*DLNO!B4^3)</f>
        <v>2.5654451209505735</v>
      </c>
      <c r="E47" s="128">
        <v>0.87982800000000005</v>
      </c>
      <c r="F47" s="67">
        <v>0.10628899999999999</v>
      </c>
      <c r="G47" s="117">
        <v>5.8890019999999996</v>
      </c>
      <c r="H47" s="22" t="str">
        <f>IF(DLNO!B22="","",1/F47*(LN(DLNO!B22)-LN(D47)))</f>
        <v/>
      </c>
      <c r="I47" s="22"/>
      <c r="J47" s="22"/>
      <c r="K47" s="94"/>
    </row>
    <row r="48" spans="1:11" s="67" customFormat="1" x14ac:dyDescent="0.2">
      <c r="A48" s="29" t="s">
        <v>28</v>
      </c>
      <c r="B48" s="22"/>
      <c r="C48" s="22"/>
      <c r="D48" s="22">
        <f>EXP(0.607249-0.055443*B44+0.091665*DLNO!B3+0.006415*DLNO!B4+0.000462*B44*DLNO!B4)</f>
        <v>1.8353753298151467</v>
      </c>
      <c r="E48" s="22">
        <v>0.87700100000000003</v>
      </c>
      <c r="F48" s="22">
        <v>0.10466499999999999</v>
      </c>
      <c r="G48" s="102">
        <v>5.7771039999999996</v>
      </c>
      <c r="H48" s="22" t="str">
        <f>IF(DLNO!B23="","",1/F48*(LN(DLNO!B23)-LN(D48)))</f>
        <v/>
      </c>
      <c r="I48" s="56"/>
      <c r="J48" s="22"/>
      <c r="K48" s="94"/>
    </row>
    <row r="49" spans="1:11" s="67" customFormat="1" x14ac:dyDescent="0.2">
      <c r="A49" s="29" t="s">
        <v>10</v>
      </c>
      <c r="B49" s="22"/>
      <c r="C49" s="22"/>
      <c r="D49" s="22">
        <f>EXP(0.95006+0.056777*DLNO!B3-0.002743*DLNO!B4)</f>
        <v>2.5858648065497758</v>
      </c>
      <c r="E49" s="22">
        <v>0.26074700000000001</v>
      </c>
      <c r="F49" s="22">
        <v>9.4580999999999998E-2</v>
      </c>
      <c r="G49" s="102">
        <v>16.720300999999999</v>
      </c>
      <c r="H49" s="22" t="str">
        <f>IF(DLNO!B24="","",1/F49*(LN(DLNO!B24)-LN(D49)))</f>
        <v/>
      </c>
      <c r="I49" s="22"/>
      <c r="J49" s="22"/>
      <c r="K49" s="94"/>
    </row>
    <row r="50" spans="1:11" s="67" customFormat="1" x14ac:dyDescent="0.2">
      <c r="A50" s="29" t="s">
        <v>29</v>
      </c>
      <c r="B50" s="22"/>
      <c r="C50" s="22"/>
      <c r="D50" s="3">
        <f>EXP(1.587169+0.052229*DLNO!B3-0.008926*DLNO!B4+8.468944*10^-8*DLNO!B4^3)</f>
        <v>4.889886047277396</v>
      </c>
      <c r="E50" s="3">
        <v>0.32689299999999999</v>
      </c>
      <c r="F50" s="67">
        <v>9.4741000000000006E-2</v>
      </c>
      <c r="G50" s="113">
        <v>16.539491999999999</v>
      </c>
      <c r="H50" s="22" t="str">
        <f>IF(DLNO!B25="","",1/F50*(LN(DLNO!B25)-LN(D50)))</f>
        <v/>
      </c>
      <c r="I50" s="22"/>
      <c r="J50" s="22"/>
      <c r="K50" s="94"/>
    </row>
    <row r="51" spans="1:11" s="67" customFormat="1" x14ac:dyDescent="0.2">
      <c r="A51" s="29" t="s">
        <v>30</v>
      </c>
      <c r="B51" s="93"/>
      <c r="C51" s="22"/>
      <c r="D51" s="3">
        <f>EXP(1.28241+0.020881*B44-0.009795*DLNO!B3+0.012201*DLNO!B4-1.702062*10^-8*DLNO!B4^3+2.791172*10^-8*DLNO!B3*DLNO!B4^3)</f>
        <v>3.6053180805252296</v>
      </c>
      <c r="E51" s="3">
        <v>0.89391399999999999</v>
      </c>
      <c r="F51" s="67">
        <v>0.106907</v>
      </c>
      <c r="G51" s="118">
        <v>3.19103</v>
      </c>
      <c r="H51" s="93" t="str">
        <f>IF(DLNO!B26="","",1/F51*(LN(DLNO!B26)-LN(D51)))</f>
        <v/>
      </c>
      <c r="I51" s="93"/>
      <c r="J51" s="93"/>
      <c r="K51" s="94"/>
    </row>
    <row r="52" spans="1:11" s="67" customFormat="1" x14ac:dyDescent="0.2">
      <c r="A52" s="29" t="s">
        <v>33</v>
      </c>
      <c r="B52" s="93"/>
      <c r="C52" s="22"/>
      <c r="D52" s="3">
        <f>EXP(1.240513+1.140192*DLNO!B3+0.010018*DLNO!B4-1.870038*10^-7*DLNO!B4^3-0.011924*DLNO!B3*DLNO!B4+1.976888*10^-7*DLNO!B3*DLNO!B4^3)</f>
        <v>3.4573866492530332</v>
      </c>
      <c r="E52" s="3">
        <v>0.146839</v>
      </c>
      <c r="F52" s="67">
        <v>8.7943999999999994E-2</v>
      </c>
      <c r="G52" s="118">
        <v>4.1657469999999996</v>
      </c>
      <c r="H52" s="93" t="str">
        <f>IF(DLNO!B27="","",1/F52*(LN(DLNO!B27)-LN(D52)))</f>
        <v/>
      </c>
      <c r="I52" s="93"/>
      <c r="J52" s="93"/>
      <c r="K52" s="94"/>
    </row>
    <row r="53" spans="1:11" s="67" customFormat="1" x14ac:dyDescent="0.2">
      <c r="A53" s="29" t="s">
        <v>31</v>
      </c>
      <c r="B53" s="93"/>
      <c r="C53" s="22"/>
      <c r="D53" s="22">
        <f>EXP(2.697351-0.072456*B44-0.025137*DLNO!B3+0.00686*DLNO!B4+0.012386*B44*DLNO!B3+0.000466*B44*DLNO!B4)</f>
        <v>14.840367476499514</v>
      </c>
      <c r="E53" s="22">
        <v>0.82032799999999995</v>
      </c>
      <c r="F53" s="22">
        <v>0.123778</v>
      </c>
      <c r="G53" s="102">
        <v>3.2657400000000001</v>
      </c>
      <c r="H53" s="93" t="str">
        <f>IF(DLNO!B28="","",1/F53*(LN(DLNO!B28)-LN(D53)))</f>
        <v/>
      </c>
      <c r="I53" s="93"/>
      <c r="J53" s="93"/>
      <c r="K53" s="94"/>
    </row>
    <row r="54" spans="1:11" s="67" customFormat="1" x14ac:dyDescent="0.2">
      <c r="A54" s="29" t="s">
        <v>49</v>
      </c>
      <c r="B54" s="93"/>
      <c r="C54" s="93"/>
      <c r="D54" s="3">
        <f>EXP(2.05835+0.031975*B44+0.05647*DLNO!B3+0.012455*DLNO!B4)</f>
        <v>7.8330346345860695</v>
      </c>
      <c r="E54" s="3">
        <v>0.84813700000000003</v>
      </c>
      <c r="F54" s="67">
        <v>0.146704</v>
      </c>
      <c r="G54" s="118">
        <v>3.3839079999999999</v>
      </c>
      <c r="H54" s="22" t="e">
        <f>IF(DLNO!B29="","",1/F54*(LN(DLNO!B29)-LN(D54)))</f>
        <v>#DIV/0!</v>
      </c>
      <c r="I54" s="93"/>
      <c r="J54" s="93"/>
      <c r="K54" s="94"/>
    </row>
    <row r="55" spans="1:11" s="3" customFormat="1" x14ac:dyDescent="0.2">
      <c r="A55" s="29" t="s">
        <v>32</v>
      </c>
      <c r="B55" s="22"/>
      <c r="C55" s="22"/>
      <c r="D55" s="22">
        <f>EXP(0.923001+0.047222*B44+0.004006*DLNO!B4-0.000293*B44*DLNO!B4)</f>
        <v>2.5168320810439644</v>
      </c>
      <c r="E55" s="22">
        <v>0.21109</v>
      </c>
      <c r="F55" s="22">
        <v>5.7487000000000003E-2</v>
      </c>
      <c r="G55" s="102">
        <v>3.7199849999999999</v>
      </c>
      <c r="H55" s="22" t="str">
        <f>IF(DLNO!B30="","",1/F55*(LN(DLNO!B30)-LN(D55)))</f>
        <v/>
      </c>
      <c r="I55" s="22"/>
      <c r="J55" s="22"/>
      <c r="K55" s="28"/>
    </row>
    <row r="56" spans="1:11" s="67" customFormat="1" ht="15" thickBot="1" x14ac:dyDescent="0.25">
      <c r="A56" s="108"/>
      <c r="B56" s="109"/>
      <c r="C56" s="109"/>
      <c r="D56" s="129"/>
      <c r="E56" s="129"/>
      <c r="F56" s="109"/>
      <c r="G56" s="109"/>
      <c r="H56" s="110"/>
      <c r="I56" s="109"/>
      <c r="J56" s="109"/>
      <c r="K56" s="111"/>
    </row>
    <row r="60" spans="1:11" ht="15.75" x14ac:dyDescent="0.25">
      <c r="A60"/>
    </row>
    <row r="61" spans="1:11" ht="15.75" x14ac:dyDescent="0.25">
      <c r="A61"/>
    </row>
    <row r="62" spans="1:11" ht="15.75" x14ac:dyDescent="0.25">
      <c r="A62"/>
    </row>
    <row r="63" spans="1:11" ht="15.75" x14ac:dyDescent="0.25">
      <c r="A63"/>
    </row>
    <row r="64" spans="1:11" ht="15.75" x14ac:dyDescent="0.25">
      <c r="A64"/>
    </row>
    <row r="65" spans="1:1" ht="15.75" x14ac:dyDescent="0.25">
      <c r="A65"/>
    </row>
  </sheetData>
  <sheetProtection password="BA83" sheet="1" objects="1" scenarios="1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/>
  </sheetViews>
  <sheetFormatPr defaultColWidth="8.875" defaultRowHeight="15.75" x14ac:dyDescent="0.25"/>
  <cols>
    <col min="1" max="1" width="11" customWidth="1"/>
    <col min="2" max="2" width="79.625" bestFit="1" customWidth="1"/>
    <col min="3" max="256" width="11" customWidth="1"/>
  </cols>
  <sheetData>
    <row r="3" spans="2:3" x14ac:dyDescent="0.25">
      <c r="B3" s="81" t="s">
        <v>36</v>
      </c>
    </row>
    <row r="4" spans="2:3" ht="18.75" x14ac:dyDescent="0.25">
      <c r="B4" s="82" t="s">
        <v>45</v>
      </c>
    </row>
    <row r="5" spans="2:3" x14ac:dyDescent="0.25">
      <c r="B5" s="83" t="s">
        <v>46</v>
      </c>
    </row>
    <row r="6" spans="2:3" ht="18.75" x14ac:dyDescent="0.25">
      <c r="B6" s="83" t="s">
        <v>44</v>
      </c>
    </row>
    <row r="7" spans="2:3" x14ac:dyDescent="0.25">
      <c r="B7" s="83" t="s">
        <v>47</v>
      </c>
      <c r="C7">
        <f>EXP(1.082553+0.017804*10+0.094838*1+1.541901*10^-7*140^3)</f>
        <v>5.9211378475195842</v>
      </c>
    </row>
    <row r="8" spans="2:3" x14ac:dyDescent="0.25">
      <c r="B8" s="83"/>
    </row>
    <row r="9" spans="2:3" x14ac:dyDescent="0.25">
      <c r="B9" s="84" t="s">
        <v>35</v>
      </c>
    </row>
  </sheetData>
  <sheetProtection password="BA83" sheet="1" objects="1" scenarios="1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DLCO</vt:lpstr>
      <vt:lpstr>DLNO</vt:lpstr>
      <vt:lpstr>Functions</vt:lpstr>
      <vt:lpstr>Example of calculation</vt:lpstr>
    </vt:vector>
  </TitlesOfParts>
  <Company>Københavns Universitet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Thomas</dc:creator>
  <cp:lastModifiedBy>Douglas Surwilo</cp:lastModifiedBy>
  <dcterms:created xsi:type="dcterms:W3CDTF">2013-07-19T09:40:09Z</dcterms:created>
  <dcterms:modified xsi:type="dcterms:W3CDTF">2014-12-12T17:24:21Z</dcterms:modified>
</cp:coreProperties>
</file>